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36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6264-2024</t>
        </is>
      </c>
      <c r="B2" s="1" t="n">
        <v>45337</v>
      </c>
      <c r="C2" s="1" t="n">
        <v>45962</v>
      </c>
      <c r="D2" t="inlineStr">
        <is>
          <t>JÖNKÖPINGS LÄN</t>
        </is>
      </c>
      <c r="E2" t="inlineStr">
        <is>
          <t>HABO</t>
        </is>
      </c>
      <c r="G2" t="n">
        <v>8.199999999999999</v>
      </c>
      <c r="H2" t="n">
        <v>2</v>
      </c>
      <c r="I2" t="n">
        <v>14</v>
      </c>
      <c r="J2" t="n">
        <v>10</v>
      </c>
      <c r="K2" t="n">
        <v>3</v>
      </c>
      <c r="L2" t="n">
        <v>2</v>
      </c>
      <c r="M2" t="n">
        <v>0</v>
      </c>
      <c r="N2" t="n">
        <v>0</v>
      </c>
      <c r="O2" t="n">
        <v>15</v>
      </c>
      <c r="P2" t="n">
        <v>5</v>
      </c>
      <c r="Q2" t="n">
        <v>30</v>
      </c>
      <c r="R2" s="2" t="inlineStr">
        <is>
          <t>Bredgentiana
Fältgentiana
Fläckmaskros
Knubbig hårjordtunga
Slåttergubbe
Granspira
Lutvaxing
Lädervaxing
Mjölrödskivling
Månlåsbräken
Praktvaxing
Scharlakansvaxing
Slåtterfibbla
Sommarfibbla
Svinrot
Aprikosfingersvamp
Blodvaxing
Gulvaxing
Hagfingersvamp
Honungsvaxing
Luktvaxing
Papegojvaxskivling
Papegojvaxskivling/rödgrön vaxskivling
Småvaxing
Sprödvaxing
Toppvaxing
Vit vaxskivling
Ängsfingersvamp
Ängsvaxskivling
Nattviol</t>
        </is>
      </c>
      <c r="S2">
        <f>HYPERLINK("https://klasma.github.io/Logging_0643/artfynd/A 6264-2024 artfynd.xlsx", "A 6264-2024")</f>
        <v/>
      </c>
      <c r="T2">
        <f>HYPERLINK("https://klasma.github.io/Logging_0643/kartor/A 6264-2024 karta.png", "A 6264-2024")</f>
        <v/>
      </c>
      <c r="V2">
        <f>HYPERLINK("https://klasma.github.io/Logging_0643/klagomål/A 6264-2024 FSC-klagomål.docx", "A 6264-2024")</f>
        <v/>
      </c>
      <c r="W2">
        <f>HYPERLINK("https://klasma.github.io/Logging_0643/klagomålsmail/A 6264-2024 FSC-klagomål mail.docx", "A 6264-2024")</f>
        <v/>
      </c>
      <c r="X2">
        <f>HYPERLINK("https://klasma.github.io/Logging_0643/tillsyn/A 6264-2024 tillsynsbegäran.docx", "A 6264-2024")</f>
        <v/>
      </c>
      <c r="Y2">
        <f>HYPERLINK("https://klasma.github.io/Logging_0643/tillsynsmail/A 6264-2024 tillsynsbegäran mail.docx", "A 6264-2024")</f>
        <v/>
      </c>
    </row>
    <row r="3" ht="15" customHeight="1">
      <c r="A3" t="inlineStr">
        <is>
          <t>A 29114-2023</t>
        </is>
      </c>
      <c r="B3" s="1" t="n">
        <v>45097</v>
      </c>
      <c r="C3" s="1" t="n">
        <v>45962</v>
      </c>
      <c r="D3" t="inlineStr">
        <is>
          <t>JÖNKÖPINGS LÄN</t>
        </is>
      </c>
      <c r="E3" t="inlineStr">
        <is>
          <t>VETLANDA</t>
        </is>
      </c>
      <c r="F3" t="inlineStr">
        <is>
          <t>Kyrkan</t>
        </is>
      </c>
      <c r="G3" t="n">
        <v>4</v>
      </c>
      <c r="H3" t="n">
        <v>15</v>
      </c>
      <c r="I3" t="n">
        <v>0</v>
      </c>
      <c r="J3" t="n">
        <v>6</v>
      </c>
      <c r="K3" t="n">
        <v>5</v>
      </c>
      <c r="L3" t="n">
        <v>0</v>
      </c>
      <c r="M3" t="n">
        <v>0</v>
      </c>
      <c r="N3" t="n">
        <v>0</v>
      </c>
      <c r="O3" t="n">
        <v>11</v>
      </c>
      <c r="P3" t="n">
        <v>5</v>
      </c>
      <c r="Q3" t="n">
        <v>15</v>
      </c>
      <c r="R3" s="2" t="inlineStr">
        <is>
          <t>Bläsand
Hussvala
Kricka
Kungsfiskare
Tofsvipa
Buskskvätta
Drillsnäppa
Fiskmås
Skedand
Skrattmås
Sävsparv
Enkelbeckasin
Gröngöling
Röd glada
Törnskata</t>
        </is>
      </c>
      <c r="S3">
        <f>HYPERLINK("https://klasma.github.io/Logging_0685/artfynd/A 29114-2023 artfynd.xlsx", "A 29114-2023")</f>
        <v/>
      </c>
      <c r="T3">
        <f>HYPERLINK("https://klasma.github.io/Logging_0685/kartor/A 29114-2023 karta.png", "A 29114-2023")</f>
        <v/>
      </c>
      <c r="V3">
        <f>HYPERLINK("https://klasma.github.io/Logging_0685/klagomål/A 29114-2023 FSC-klagomål.docx", "A 29114-2023")</f>
        <v/>
      </c>
      <c r="W3">
        <f>HYPERLINK("https://klasma.github.io/Logging_0685/klagomålsmail/A 29114-2023 FSC-klagomål mail.docx", "A 29114-2023")</f>
        <v/>
      </c>
      <c r="X3">
        <f>HYPERLINK("https://klasma.github.io/Logging_0685/tillsyn/A 29114-2023 tillsynsbegäran.docx", "A 29114-2023")</f>
        <v/>
      </c>
      <c r="Y3">
        <f>HYPERLINK("https://klasma.github.io/Logging_0685/tillsynsmail/A 29114-2023 tillsynsbegäran mail.docx", "A 29114-2023")</f>
        <v/>
      </c>
      <c r="Z3">
        <f>HYPERLINK("https://klasma.github.io/Logging_0685/fåglar/A 29114-2023 prioriterade fågelarter.docx", "A 29114-2023")</f>
        <v/>
      </c>
    </row>
    <row r="4" ht="15" customHeight="1">
      <c r="A4" t="inlineStr">
        <is>
          <t>A 35568-2025</t>
        </is>
      </c>
      <c r="B4" s="1" t="n">
        <v>45856.56684027778</v>
      </c>
      <c r="C4" s="1" t="n">
        <v>45962</v>
      </c>
      <c r="D4" t="inlineStr">
        <is>
          <t>JÖNKÖPINGS LÄN</t>
        </is>
      </c>
      <c r="E4" t="inlineStr">
        <is>
          <t>JÖNKÖPING</t>
        </is>
      </c>
      <c r="G4" t="n">
        <v>2.5</v>
      </c>
      <c r="H4" t="n">
        <v>3</v>
      </c>
      <c r="I4" t="n">
        <v>1</v>
      </c>
      <c r="J4" t="n">
        <v>7</v>
      </c>
      <c r="K4" t="n">
        <v>2</v>
      </c>
      <c r="L4" t="n">
        <v>2</v>
      </c>
      <c r="M4" t="n">
        <v>0</v>
      </c>
      <c r="N4" t="n">
        <v>0</v>
      </c>
      <c r="O4" t="n">
        <v>11</v>
      </c>
      <c r="P4" t="n">
        <v>4</v>
      </c>
      <c r="Q4" t="n">
        <v>14</v>
      </c>
      <c r="R4" s="2" t="inlineStr">
        <is>
          <t>Ask
Mosippa
Blågrönt mannagräs
Källblekvide
Backstarr
Borsttåg
Gullklöver
Slåtterfibbla
Svinrot
Vippärt
Vårstarr
Vätteros
Grönvit nattviol
Mattlummer</t>
        </is>
      </c>
      <c r="S4">
        <f>HYPERLINK("https://klasma.github.io/Logging_0680/artfynd/A 35568-2025 artfynd.xlsx", "A 35568-2025")</f>
        <v/>
      </c>
      <c r="T4">
        <f>HYPERLINK("https://klasma.github.io/Logging_0680/kartor/A 35568-2025 karta.png", "A 35568-2025")</f>
        <v/>
      </c>
      <c r="V4">
        <f>HYPERLINK("https://klasma.github.io/Logging_0680/klagomål/A 35568-2025 FSC-klagomål.docx", "A 35568-2025")</f>
        <v/>
      </c>
      <c r="W4">
        <f>HYPERLINK("https://klasma.github.io/Logging_0680/klagomålsmail/A 35568-2025 FSC-klagomål mail.docx", "A 35568-2025")</f>
        <v/>
      </c>
      <c r="X4">
        <f>HYPERLINK("https://klasma.github.io/Logging_0680/tillsyn/A 35568-2025 tillsynsbegäran.docx", "A 35568-2025")</f>
        <v/>
      </c>
      <c r="Y4">
        <f>HYPERLINK("https://klasma.github.io/Logging_0680/tillsynsmail/A 35568-2025 tillsynsbegäran mail.docx", "A 35568-2025")</f>
        <v/>
      </c>
    </row>
    <row r="5" ht="15" customHeight="1">
      <c r="A5" t="inlineStr">
        <is>
          <t>A 228-2024</t>
        </is>
      </c>
      <c r="B5" s="1" t="n">
        <v>45293</v>
      </c>
      <c r="C5" s="1" t="n">
        <v>45962</v>
      </c>
      <c r="D5" t="inlineStr">
        <is>
          <t>JÖNKÖPINGS LÄN</t>
        </is>
      </c>
      <c r="E5" t="inlineStr">
        <is>
          <t>ANEBY</t>
        </is>
      </c>
      <c r="G5" t="n">
        <v>3.8</v>
      </c>
      <c r="H5" t="n">
        <v>8</v>
      </c>
      <c r="I5" t="n">
        <v>5</v>
      </c>
      <c r="J5" t="n">
        <v>5</v>
      </c>
      <c r="K5" t="n">
        <v>1</v>
      </c>
      <c r="L5" t="n">
        <v>0</v>
      </c>
      <c r="M5" t="n">
        <v>0</v>
      </c>
      <c r="N5" t="n">
        <v>0</v>
      </c>
      <c r="O5" t="n">
        <v>6</v>
      </c>
      <c r="P5" t="n">
        <v>1</v>
      </c>
      <c r="Q5" t="n">
        <v>13</v>
      </c>
      <c r="R5" s="2" t="inlineStr">
        <is>
          <t>Knärot
Björktrast
Kråka
Spillkråka
Talltita
Vedtrappmossa
Flagellkvastmossa
Grön sköldmossa
Gulnål
Smal svampklubba
Vedticka
Vanlig padda
Revlummer</t>
        </is>
      </c>
      <c r="S5">
        <f>HYPERLINK("https://klasma.github.io/Logging_0604/artfynd/A 228-2024 artfynd.xlsx", "A 228-2024")</f>
        <v/>
      </c>
      <c r="T5">
        <f>HYPERLINK("https://klasma.github.io/Logging_0604/kartor/A 228-2024 karta.png", "A 228-2024")</f>
        <v/>
      </c>
      <c r="U5">
        <f>HYPERLINK("https://klasma.github.io/Logging_0604/knärot/A 228-2024 karta knärot.png", "A 228-2024")</f>
        <v/>
      </c>
      <c r="V5">
        <f>HYPERLINK("https://klasma.github.io/Logging_0604/klagomål/A 228-2024 FSC-klagomål.docx", "A 228-2024")</f>
        <v/>
      </c>
      <c r="W5">
        <f>HYPERLINK("https://klasma.github.io/Logging_0604/klagomålsmail/A 228-2024 FSC-klagomål mail.docx", "A 228-2024")</f>
        <v/>
      </c>
      <c r="X5">
        <f>HYPERLINK("https://klasma.github.io/Logging_0604/tillsyn/A 228-2024 tillsynsbegäran.docx", "A 228-2024")</f>
        <v/>
      </c>
      <c r="Y5">
        <f>HYPERLINK("https://klasma.github.io/Logging_0604/tillsynsmail/A 228-2024 tillsynsbegäran mail.docx", "A 228-2024")</f>
        <v/>
      </c>
      <c r="Z5">
        <f>HYPERLINK("https://klasma.github.io/Logging_0604/fåglar/A 228-2024 prioriterade fågelarter.docx", "A 228-2024")</f>
        <v/>
      </c>
    </row>
    <row r="6" ht="15" customHeight="1">
      <c r="A6" t="inlineStr">
        <is>
          <t>A 63516-2020</t>
        </is>
      </c>
      <c r="B6" s="1" t="n">
        <v>44165</v>
      </c>
      <c r="C6" s="1" t="n">
        <v>45962</v>
      </c>
      <c r="D6" t="inlineStr">
        <is>
          <t>JÖNKÖPINGS LÄN</t>
        </is>
      </c>
      <c r="E6" t="inlineStr">
        <is>
          <t>HABO</t>
        </is>
      </c>
      <c r="G6" t="n">
        <v>49.7</v>
      </c>
      <c r="H6" t="n">
        <v>1</v>
      </c>
      <c r="I6" t="n">
        <v>5</v>
      </c>
      <c r="J6" t="n">
        <v>6</v>
      </c>
      <c r="K6" t="n">
        <v>1</v>
      </c>
      <c r="L6" t="n">
        <v>1</v>
      </c>
      <c r="M6" t="n">
        <v>0</v>
      </c>
      <c r="N6" t="n">
        <v>0</v>
      </c>
      <c r="O6" t="n">
        <v>8</v>
      </c>
      <c r="P6" t="n">
        <v>2</v>
      </c>
      <c r="Q6" t="n">
        <v>13</v>
      </c>
      <c r="R6" s="2" t="inlineStr">
        <is>
          <t>Mosippa
Lakritsmusseron
Blå taggsvamp
Motaggsvamp
Orange taggsvamp
Skrovlig taggsvamp
Talltaggsvamp
Tallticka
Blomkålssvamp
Dropptaggsvamp
Mindre märgborre
Skarp dropptaggsvamp
Zontaggsvamp</t>
        </is>
      </c>
      <c r="S6">
        <f>HYPERLINK("https://klasma.github.io/Logging_0643/artfynd/A 63516-2020 artfynd.xlsx", "A 63516-2020")</f>
        <v/>
      </c>
      <c r="T6">
        <f>HYPERLINK("https://klasma.github.io/Logging_0643/kartor/A 63516-2020 karta.png", "A 63516-2020")</f>
        <v/>
      </c>
      <c r="V6">
        <f>HYPERLINK("https://klasma.github.io/Logging_0643/klagomål/A 63516-2020 FSC-klagomål.docx", "A 63516-2020")</f>
        <v/>
      </c>
      <c r="W6">
        <f>HYPERLINK("https://klasma.github.io/Logging_0643/klagomålsmail/A 63516-2020 FSC-klagomål mail.docx", "A 63516-2020")</f>
        <v/>
      </c>
      <c r="X6">
        <f>HYPERLINK("https://klasma.github.io/Logging_0643/tillsyn/A 63516-2020 tillsynsbegäran.docx", "A 63516-2020")</f>
        <v/>
      </c>
      <c r="Y6">
        <f>HYPERLINK("https://klasma.github.io/Logging_0643/tillsynsmail/A 63516-2020 tillsynsbegäran mail.docx", "A 63516-2020")</f>
        <v/>
      </c>
    </row>
    <row r="7" ht="15" customHeight="1">
      <c r="A7" t="inlineStr">
        <is>
          <t>A 14606-2024</t>
        </is>
      </c>
      <c r="B7" s="1" t="n">
        <v>45396.71037037037</v>
      </c>
      <c r="C7" s="1" t="n">
        <v>45962</v>
      </c>
      <c r="D7" t="inlineStr">
        <is>
          <t>JÖNKÖPINGS LÄN</t>
        </is>
      </c>
      <c r="E7" t="inlineStr">
        <is>
          <t>MULLSJÖ</t>
        </is>
      </c>
      <c r="G7" t="n">
        <v>9.699999999999999</v>
      </c>
      <c r="H7" t="n">
        <v>1</v>
      </c>
      <c r="I7" t="n">
        <v>9</v>
      </c>
      <c r="J7" t="n">
        <v>3</v>
      </c>
      <c r="K7" t="n">
        <v>0</v>
      </c>
      <c r="L7" t="n">
        <v>1</v>
      </c>
      <c r="M7" t="n">
        <v>0</v>
      </c>
      <c r="N7" t="n">
        <v>0</v>
      </c>
      <c r="O7" t="n">
        <v>4</v>
      </c>
      <c r="P7" t="n">
        <v>1</v>
      </c>
      <c r="Q7" t="n">
        <v>13</v>
      </c>
      <c r="R7" s="2" t="inlineStr">
        <is>
          <t>Ädellav
Brunpudrad nållav
Grynig filtlav
Lunglav
Brandticka
Grön sköldmossa
Gulnål
Korallblylav
Lönnlav
Mörk husmossa
Skinnlav
Skogshakmossa
Skuggsprötmossa</t>
        </is>
      </c>
      <c r="S7">
        <f>HYPERLINK("https://klasma.github.io/Logging_0642/artfynd/A 14606-2024 artfynd.xlsx", "A 14606-2024")</f>
        <v/>
      </c>
      <c r="T7">
        <f>HYPERLINK("https://klasma.github.io/Logging_0642/kartor/A 14606-2024 karta.png", "A 14606-2024")</f>
        <v/>
      </c>
      <c r="V7">
        <f>HYPERLINK("https://klasma.github.io/Logging_0642/klagomål/A 14606-2024 FSC-klagomål.docx", "A 14606-2024")</f>
        <v/>
      </c>
      <c r="W7">
        <f>HYPERLINK("https://klasma.github.io/Logging_0642/klagomålsmail/A 14606-2024 FSC-klagomål mail.docx", "A 14606-2024")</f>
        <v/>
      </c>
      <c r="X7">
        <f>HYPERLINK("https://klasma.github.io/Logging_0642/tillsyn/A 14606-2024 tillsynsbegäran.docx", "A 14606-2024")</f>
        <v/>
      </c>
      <c r="Y7">
        <f>HYPERLINK("https://klasma.github.io/Logging_0642/tillsynsmail/A 14606-2024 tillsynsbegäran mail.docx", "A 14606-2024")</f>
        <v/>
      </c>
    </row>
    <row r="8" ht="15" customHeight="1">
      <c r="A8" t="inlineStr">
        <is>
          <t>A 47339-2025</t>
        </is>
      </c>
      <c r="B8" s="1" t="n">
        <v>45930</v>
      </c>
      <c r="C8" s="1" t="n">
        <v>45962</v>
      </c>
      <c r="D8" t="inlineStr">
        <is>
          <t>JÖNKÖPINGS LÄN</t>
        </is>
      </c>
      <c r="E8" t="inlineStr">
        <is>
          <t>VETLANDA</t>
        </is>
      </c>
      <c r="F8" t="inlineStr">
        <is>
          <t>Kyrkan</t>
        </is>
      </c>
      <c r="G8" t="n">
        <v>3</v>
      </c>
      <c r="H8" t="n">
        <v>4</v>
      </c>
      <c r="I8" t="n">
        <v>5</v>
      </c>
      <c r="J8" t="n">
        <v>4</v>
      </c>
      <c r="K8" t="n">
        <v>2</v>
      </c>
      <c r="L8" t="n">
        <v>0</v>
      </c>
      <c r="M8" t="n">
        <v>0</v>
      </c>
      <c r="N8" t="n">
        <v>0</v>
      </c>
      <c r="O8" t="n">
        <v>6</v>
      </c>
      <c r="P8" t="n">
        <v>2</v>
      </c>
      <c r="Q8" t="n">
        <v>12</v>
      </c>
      <c r="R8" s="2" t="inlineStr">
        <is>
          <t>Backsippa
Slåttergubbe
Motaggsvamp
Rördrom
Sommarfibbla
Svinrot
Dropptaggsvamp
Flagellkvastmossa
Grönpyrola
Korallrot
Rödgul trumpetsvamp
Grönvit nattviol</t>
        </is>
      </c>
      <c r="S8">
        <f>HYPERLINK("https://klasma.github.io/Logging_0685/artfynd/A 47339-2025 artfynd.xlsx", "A 47339-2025")</f>
        <v/>
      </c>
      <c r="T8">
        <f>HYPERLINK("https://klasma.github.io/Logging_0685/kartor/A 47339-2025 karta.png", "A 47339-2025")</f>
        <v/>
      </c>
      <c r="V8">
        <f>HYPERLINK("https://klasma.github.io/Logging_0685/klagomål/A 47339-2025 FSC-klagomål.docx", "A 47339-2025")</f>
        <v/>
      </c>
      <c r="W8">
        <f>HYPERLINK("https://klasma.github.io/Logging_0685/klagomålsmail/A 47339-2025 FSC-klagomål mail.docx", "A 47339-2025")</f>
        <v/>
      </c>
      <c r="X8">
        <f>HYPERLINK("https://klasma.github.io/Logging_0685/tillsyn/A 47339-2025 tillsynsbegäran.docx", "A 47339-2025")</f>
        <v/>
      </c>
      <c r="Y8">
        <f>HYPERLINK("https://klasma.github.io/Logging_0685/tillsynsmail/A 47339-2025 tillsynsbegäran mail.docx", "A 47339-2025")</f>
        <v/>
      </c>
    </row>
    <row r="9" ht="15" customHeight="1">
      <c r="A9" t="inlineStr">
        <is>
          <t>A 35569-2025</t>
        </is>
      </c>
      <c r="B9" s="1" t="n">
        <v>45856.57200231482</v>
      </c>
      <c r="C9" s="1" t="n">
        <v>45962</v>
      </c>
      <c r="D9" t="inlineStr">
        <is>
          <t>JÖNKÖPINGS LÄN</t>
        </is>
      </c>
      <c r="E9" t="inlineStr">
        <is>
          <t>JÖNKÖPING</t>
        </is>
      </c>
      <c r="G9" t="n">
        <v>2.4</v>
      </c>
      <c r="H9" t="n">
        <v>3</v>
      </c>
      <c r="I9" t="n">
        <v>4</v>
      </c>
      <c r="J9" t="n">
        <v>4</v>
      </c>
      <c r="K9" t="n">
        <v>0</v>
      </c>
      <c r="L9" t="n">
        <v>0</v>
      </c>
      <c r="M9" t="n">
        <v>0</v>
      </c>
      <c r="N9" t="n">
        <v>0</v>
      </c>
      <c r="O9" t="n">
        <v>4</v>
      </c>
      <c r="P9" t="n">
        <v>0</v>
      </c>
      <c r="Q9" t="n">
        <v>11</v>
      </c>
      <c r="R9" s="2" t="inlineStr">
        <is>
          <t>Gullklöver
Slåtterfibbla
Sommarfibbla
Vippärt
Grönpyrola
Sårläka
Vätteros
Vårärt
Grönvit nattviol
Nattviol
Blåsippa</t>
        </is>
      </c>
      <c r="S9">
        <f>HYPERLINK("https://klasma.github.io/Logging_0680/artfynd/A 35569-2025 artfynd.xlsx", "A 35569-2025")</f>
        <v/>
      </c>
      <c r="T9">
        <f>HYPERLINK("https://klasma.github.io/Logging_0680/kartor/A 35569-2025 karta.png", "A 35569-2025")</f>
        <v/>
      </c>
      <c r="V9">
        <f>HYPERLINK("https://klasma.github.io/Logging_0680/klagomål/A 35569-2025 FSC-klagomål.docx", "A 35569-2025")</f>
        <v/>
      </c>
      <c r="W9">
        <f>HYPERLINK("https://klasma.github.io/Logging_0680/klagomålsmail/A 35569-2025 FSC-klagomål mail.docx", "A 35569-2025")</f>
        <v/>
      </c>
      <c r="X9">
        <f>HYPERLINK("https://klasma.github.io/Logging_0680/tillsyn/A 35569-2025 tillsynsbegäran.docx", "A 35569-2025")</f>
        <v/>
      </c>
      <c r="Y9">
        <f>HYPERLINK("https://klasma.github.io/Logging_0680/tillsynsmail/A 35569-2025 tillsynsbegäran mail.docx", "A 35569-2025")</f>
        <v/>
      </c>
    </row>
    <row r="10" ht="15" customHeight="1">
      <c r="A10" t="inlineStr">
        <is>
          <t>A 16941-2023</t>
        </is>
      </c>
      <c r="B10" s="1" t="n">
        <v>45033</v>
      </c>
      <c r="C10" s="1" t="n">
        <v>45962</v>
      </c>
      <c r="D10" t="inlineStr">
        <is>
          <t>JÖNKÖPINGS LÄN</t>
        </is>
      </c>
      <c r="E10" t="inlineStr">
        <is>
          <t>VAGGERYD</t>
        </is>
      </c>
      <c r="G10" t="n">
        <v>18.2</v>
      </c>
      <c r="H10" t="n">
        <v>3</v>
      </c>
      <c r="I10" t="n">
        <v>7</v>
      </c>
      <c r="J10" t="n">
        <v>2</v>
      </c>
      <c r="K10" t="n">
        <v>1</v>
      </c>
      <c r="L10" t="n">
        <v>0</v>
      </c>
      <c r="M10" t="n">
        <v>0</v>
      </c>
      <c r="N10" t="n">
        <v>0</v>
      </c>
      <c r="O10" t="n">
        <v>3</v>
      </c>
      <c r="P10" t="n">
        <v>1</v>
      </c>
      <c r="Q10" t="n">
        <v>11</v>
      </c>
      <c r="R10" s="2" t="inlineStr">
        <is>
          <t>Knärot
Garnlav
Persiljespindling
Dropptaggsvamp
Fjällig taggsvamp s.str.
Granbarkgnagare
Grönpyrola
Kattfotslav
Kryddspindling
Spindelblomster
Mattlummer</t>
        </is>
      </c>
      <c r="S10">
        <f>HYPERLINK("https://klasma.github.io/Logging_0665/artfynd/A 16941-2023 artfynd.xlsx", "A 16941-2023")</f>
        <v/>
      </c>
      <c r="T10">
        <f>HYPERLINK("https://klasma.github.io/Logging_0665/kartor/A 16941-2023 karta.png", "A 16941-2023")</f>
        <v/>
      </c>
      <c r="U10">
        <f>HYPERLINK("https://klasma.github.io/Logging_0665/knärot/A 16941-2023 karta knärot.png", "A 16941-2023")</f>
        <v/>
      </c>
      <c r="V10">
        <f>HYPERLINK("https://klasma.github.io/Logging_0665/klagomål/A 16941-2023 FSC-klagomål.docx", "A 16941-2023")</f>
        <v/>
      </c>
      <c r="W10">
        <f>HYPERLINK("https://klasma.github.io/Logging_0665/klagomålsmail/A 16941-2023 FSC-klagomål mail.docx", "A 16941-2023")</f>
        <v/>
      </c>
      <c r="X10">
        <f>HYPERLINK("https://klasma.github.io/Logging_0665/tillsyn/A 16941-2023 tillsynsbegäran.docx", "A 16941-2023")</f>
        <v/>
      </c>
      <c r="Y10">
        <f>HYPERLINK("https://klasma.github.io/Logging_0665/tillsynsmail/A 16941-2023 tillsynsbegäran mail.docx", "A 16941-2023")</f>
        <v/>
      </c>
    </row>
    <row r="11" ht="15" customHeight="1">
      <c r="A11" t="inlineStr">
        <is>
          <t>A 44185-2024</t>
        </is>
      </c>
      <c r="B11" s="1" t="n">
        <v>45572</v>
      </c>
      <c r="C11" s="1" t="n">
        <v>45962</v>
      </c>
      <c r="D11" t="inlineStr">
        <is>
          <t>JÖNKÖPINGS LÄN</t>
        </is>
      </c>
      <c r="E11" t="inlineStr">
        <is>
          <t>VETLANDA</t>
        </is>
      </c>
      <c r="G11" t="n">
        <v>1.7</v>
      </c>
      <c r="H11" t="n">
        <v>3</v>
      </c>
      <c r="I11" t="n">
        <v>6</v>
      </c>
      <c r="J11" t="n">
        <v>1</v>
      </c>
      <c r="K11" t="n">
        <v>1</v>
      </c>
      <c r="L11" t="n">
        <v>1</v>
      </c>
      <c r="M11" t="n">
        <v>0</v>
      </c>
      <c r="N11" t="n">
        <v>0</v>
      </c>
      <c r="O11" t="n">
        <v>3</v>
      </c>
      <c r="P11" t="n">
        <v>2</v>
      </c>
      <c r="Q11" t="n">
        <v>10</v>
      </c>
      <c r="R11" s="2" t="inlineStr">
        <is>
          <t>Grönfink
Knärot
Svartvit taggsvamp
Dropptaggsvamp
Grönpyrola
Svart trolldruva
Tallfingersvamp
Tjockfotad fingersvamp
Zontaggsvamp
Kungsfågel</t>
        </is>
      </c>
      <c r="S11">
        <f>HYPERLINK("https://klasma.github.io/Logging_0685/artfynd/A 44185-2024 artfynd.xlsx", "A 44185-2024")</f>
        <v/>
      </c>
      <c r="T11">
        <f>HYPERLINK("https://klasma.github.io/Logging_0685/kartor/A 44185-2024 karta.png", "A 44185-2024")</f>
        <v/>
      </c>
      <c r="U11">
        <f>HYPERLINK("https://klasma.github.io/Logging_0685/knärot/A 44185-2024 karta knärot.png", "A 44185-2024")</f>
        <v/>
      </c>
      <c r="V11">
        <f>HYPERLINK("https://klasma.github.io/Logging_0685/klagomål/A 44185-2024 FSC-klagomål.docx", "A 44185-2024")</f>
        <v/>
      </c>
      <c r="W11">
        <f>HYPERLINK("https://klasma.github.io/Logging_0685/klagomålsmail/A 44185-2024 FSC-klagomål mail.docx", "A 44185-2024")</f>
        <v/>
      </c>
      <c r="X11">
        <f>HYPERLINK("https://klasma.github.io/Logging_0685/tillsyn/A 44185-2024 tillsynsbegäran.docx", "A 44185-2024")</f>
        <v/>
      </c>
      <c r="Y11">
        <f>HYPERLINK("https://klasma.github.io/Logging_0685/tillsynsmail/A 44185-2024 tillsynsbegäran mail.docx", "A 44185-2024")</f>
        <v/>
      </c>
      <c r="Z11">
        <f>HYPERLINK("https://klasma.github.io/Logging_0685/fåglar/A 44185-2024 prioriterade fågelarter.docx", "A 44185-2024")</f>
        <v/>
      </c>
    </row>
    <row r="12" ht="15" customHeight="1">
      <c r="A12" t="inlineStr">
        <is>
          <t>A 2491-2021</t>
        </is>
      </c>
      <c r="B12" s="1" t="n">
        <v>44214</v>
      </c>
      <c r="C12" s="1" t="n">
        <v>45962</v>
      </c>
      <c r="D12" t="inlineStr">
        <is>
          <t>JÖNKÖPINGS LÄN</t>
        </is>
      </c>
      <c r="E12" t="inlineStr">
        <is>
          <t>VETLANDA</t>
        </is>
      </c>
      <c r="G12" t="n">
        <v>8.800000000000001</v>
      </c>
      <c r="H12" t="n">
        <v>1</v>
      </c>
      <c r="I12" t="n">
        <v>5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9</v>
      </c>
      <c r="R12" s="2" t="inlineStr">
        <is>
          <t>Gul taggsvamp
Svartvit taggsvamp
Ullticka
Fjällig taggsvamp s.str.
Grönpyrola
Kambräken
Skarp dropptaggsvamp
Tjockfotad fingersvamp
Revlummer</t>
        </is>
      </c>
      <c r="S12">
        <f>HYPERLINK("https://klasma.github.io/Logging_0685/artfynd/A 2491-2021 artfynd.xlsx", "A 2491-2021")</f>
        <v/>
      </c>
      <c r="T12">
        <f>HYPERLINK("https://klasma.github.io/Logging_0685/kartor/A 2491-2021 karta.png", "A 2491-2021")</f>
        <v/>
      </c>
      <c r="V12">
        <f>HYPERLINK("https://klasma.github.io/Logging_0685/klagomål/A 2491-2021 FSC-klagomål.docx", "A 2491-2021")</f>
        <v/>
      </c>
      <c r="W12">
        <f>HYPERLINK("https://klasma.github.io/Logging_0685/klagomålsmail/A 2491-2021 FSC-klagomål mail.docx", "A 2491-2021")</f>
        <v/>
      </c>
      <c r="X12">
        <f>HYPERLINK("https://klasma.github.io/Logging_0685/tillsyn/A 2491-2021 tillsynsbegäran.docx", "A 2491-2021")</f>
        <v/>
      </c>
      <c r="Y12">
        <f>HYPERLINK("https://klasma.github.io/Logging_0685/tillsynsmail/A 2491-2021 tillsynsbegäran mail.docx", "A 2491-2021")</f>
        <v/>
      </c>
    </row>
    <row r="13" ht="15" customHeight="1">
      <c r="A13" t="inlineStr">
        <is>
          <t>A 2491-2021</t>
        </is>
      </c>
      <c r="B13" s="1" t="n">
        <v>44214</v>
      </c>
      <c r="C13" s="1" t="n">
        <v>45962</v>
      </c>
      <c r="D13" t="inlineStr">
        <is>
          <t>JÖNKÖPINGS LÄN</t>
        </is>
      </c>
      <c r="E13" t="inlineStr">
        <is>
          <t>VETLANDA</t>
        </is>
      </c>
      <c r="G13" t="n">
        <v>8.800000000000001</v>
      </c>
      <c r="H13" t="n">
        <v>1</v>
      </c>
      <c r="I13" t="n">
        <v>5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9</v>
      </c>
      <c r="R13" s="2" t="inlineStr">
        <is>
          <t>Gul taggsvamp
Svartvit taggsvamp
Ullticka
Fjällig taggsvamp s.str.
Grönpyrola
Kambräken
Skarp dropptaggsvamp
Tjockfotad fingersvamp
Revlummer</t>
        </is>
      </c>
      <c r="S13">
        <f>HYPERLINK("https://klasma.github.io/Logging_0685/artfynd/A 2491-2021 artfynd.xlsx", "A 2491-2021")</f>
        <v/>
      </c>
      <c r="T13">
        <f>HYPERLINK("https://klasma.github.io/Logging_0685/kartor/A 2491-2021 karta.png", "A 2491-2021")</f>
        <v/>
      </c>
      <c r="V13">
        <f>HYPERLINK("https://klasma.github.io/Logging_0685/klagomål/A 2491-2021 FSC-klagomål.docx", "A 2491-2021")</f>
        <v/>
      </c>
      <c r="W13">
        <f>HYPERLINK("https://klasma.github.io/Logging_0685/klagomålsmail/A 2491-2021 FSC-klagomål mail.docx", "A 2491-2021")</f>
        <v/>
      </c>
      <c r="X13">
        <f>HYPERLINK("https://klasma.github.io/Logging_0685/tillsyn/A 2491-2021 tillsynsbegäran.docx", "A 2491-2021")</f>
        <v/>
      </c>
      <c r="Y13">
        <f>HYPERLINK("https://klasma.github.io/Logging_0685/tillsynsmail/A 2491-2021 tillsynsbegäran mail.docx", "A 2491-2021")</f>
        <v/>
      </c>
    </row>
    <row r="14" ht="15" customHeight="1">
      <c r="A14" t="inlineStr">
        <is>
          <t>A 36428-2021</t>
        </is>
      </c>
      <c r="B14" s="1" t="n">
        <v>44390</v>
      </c>
      <c r="C14" s="1" t="n">
        <v>45962</v>
      </c>
      <c r="D14" t="inlineStr">
        <is>
          <t>JÖNKÖPINGS LÄN</t>
        </is>
      </c>
      <c r="E14" t="inlineStr">
        <is>
          <t>HABO</t>
        </is>
      </c>
      <c r="G14" t="n">
        <v>2.9</v>
      </c>
      <c r="H14" t="n">
        <v>0</v>
      </c>
      <c r="I14" t="n">
        <v>2</v>
      </c>
      <c r="J14" t="n">
        <v>5</v>
      </c>
      <c r="K14" t="n">
        <v>1</v>
      </c>
      <c r="L14" t="n">
        <v>0</v>
      </c>
      <c r="M14" t="n">
        <v>0</v>
      </c>
      <c r="N14" t="n">
        <v>0</v>
      </c>
      <c r="O14" t="n">
        <v>6</v>
      </c>
      <c r="P14" t="n">
        <v>1</v>
      </c>
      <c r="Q14" t="n">
        <v>8</v>
      </c>
      <c r="R14" s="2" t="inlineStr">
        <is>
          <t>Torrmusseron
Motaggsvamp
Orange taggsvamp
Skrovlig taggsvamp
Svart taggsvamp
Svartvit taggsvamp
Dropptaggsvamp
Zontaggsvamp</t>
        </is>
      </c>
      <c r="S14">
        <f>HYPERLINK("https://klasma.github.io/Logging_0643/artfynd/A 36428-2021 artfynd.xlsx", "A 36428-2021")</f>
        <v/>
      </c>
      <c r="T14">
        <f>HYPERLINK("https://klasma.github.io/Logging_0643/kartor/A 36428-2021 karta.png", "A 36428-2021")</f>
        <v/>
      </c>
      <c r="V14">
        <f>HYPERLINK("https://klasma.github.io/Logging_0643/klagomål/A 36428-2021 FSC-klagomål.docx", "A 36428-2021")</f>
        <v/>
      </c>
      <c r="W14">
        <f>HYPERLINK("https://klasma.github.io/Logging_0643/klagomålsmail/A 36428-2021 FSC-klagomål mail.docx", "A 36428-2021")</f>
        <v/>
      </c>
      <c r="X14">
        <f>HYPERLINK("https://klasma.github.io/Logging_0643/tillsyn/A 36428-2021 tillsynsbegäran.docx", "A 36428-2021")</f>
        <v/>
      </c>
      <c r="Y14">
        <f>HYPERLINK("https://klasma.github.io/Logging_0643/tillsynsmail/A 36428-2021 tillsynsbegäran mail.docx", "A 36428-2021")</f>
        <v/>
      </c>
    </row>
    <row r="15" ht="15" customHeight="1">
      <c r="A15" t="inlineStr">
        <is>
          <t>A 49079-2023</t>
        </is>
      </c>
      <c r="B15" s="1" t="n">
        <v>45204</v>
      </c>
      <c r="C15" s="1" t="n">
        <v>45962</v>
      </c>
      <c r="D15" t="inlineStr">
        <is>
          <t>JÖNKÖPINGS LÄN</t>
        </is>
      </c>
      <c r="E15" t="inlineStr">
        <is>
          <t>ANEBY</t>
        </is>
      </c>
      <c r="F15" t="inlineStr">
        <is>
          <t>Övriga Aktiebolag</t>
        </is>
      </c>
      <c r="G15" t="n">
        <v>6.5</v>
      </c>
      <c r="H15" t="n">
        <v>8</v>
      </c>
      <c r="I15" t="n">
        <v>0</v>
      </c>
      <c r="J15" t="n">
        <v>2</v>
      </c>
      <c r="K15" t="n">
        <v>1</v>
      </c>
      <c r="L15" t="n">
        <v>0</v>
      </c>
      <c r="M15" t="n">
        <v>0</v>
      </c>
      <c r="N15" t="n">
        <v>0</v>
      </c>
      <c r="O15" t="n">
        <v>3</v>
      </c>
      <c r="P15" t="n">
        <v>1</v>
      </c>
      <c r="Q15" t="n">
        <v>8</v>
      </c>
      <c r="R15" s="2" t="inlineStr">
        <is>
          <t>Kricka
Havsörn
Nordfladdermus
Fiskgjuse
Vattenfladdermus
Kopparödla
Skogsödla
Grönvit nattviol</t>
        </is>
      </c>
      <c r="S15">
        <f>HYPERLINK("https://klasma.github.io/Logging_0604/artfynd/A 49079-2023 artfynd.xlsx", "A 49079-2023")</f>
        <v/>
      </c>
      <c r="T15">
        <f>HYPERLINK("https://klasma.github.io/Logging_0604/kartor/A 49079-2023 karta.png", "A 49079-2023")</f>
        <v/>
      </c>
      <c r="V15">
        <f>HYPERLINK("https://klasma.github.io/Logging_0604/klagomål/A 49079-2023 FSC-klagomål.docx", "A 49079-2023")</f>
        <v/>
      </c>
      <c r="W15">
        <f>HYPERLINK("https://klasma.github.io/Logging_0604/klagomålsmail/A 49079-2023 FSC-klagomål mail.docx", "A 49079-2023")</f>
        <v/>
      </c>
      <c r="X15">
        <f>HYPERLINK("https://klasma.github.io/Logging_0604/tillsyn/A 49079-2023 tillsynsbegäran.docx", "A 49079-2023")</f>
        <v/>
      </c>
      <c r="Y15">
        <f>HYPERLINK("https://klasma.github.io/Logging_0604/tillsynsmail/A 49079-2023 tillsynsbegäran mail.docx", "A 49079-2023")</f>
        <v/>
      </c>
      <c r="Z15">
        <f>HYPERLINK("https://klasma.github.io/Logging_0604/fåglar/A 49079-2023 prioriterade fågelarter.docx", "A 49079-2023")</f>
        <v/>
      </c>
    </row>
    <row r="16" ht="15" customHeight="1">
      <c r="A16" t="inlineStr">
        <is>
          <t>A 52402-2024</t>
        </is>
      </c>
      <c r="B16" s="1" t="n">
        <v>45609</v>
      </c>
      <c r="C16" s="1" t="n">
        <v>45962</v>
      </c>
      <c r="D16" t="inlineStr">
        <is>
          <t>JÖNKÖPINGS LÄN</t>
        </is>
      </c>
      <c r="E16" t="inlineStr">
        <is>
          <t>JÖNKÖPING</t>
        </is>
      </c>
      <c r="G16" t="n">
        <v>38.2</v>
      </c>
      <c r="H16" t="n">
        <v>2</v>
      </c>
      <c r="I16" t="n">
        <v>5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8</v>
      </c>
      <c r="R16" s="2" t="inlineStr">
        <is>
          <t>Garnlav
Hornuggla
Björksplintborre
Bronshjon
Kattfotslav
Skuggblåslav
Vedticka
Revlummer</t>
        </is>
      </c>
      <c r="S16">
        <f>HYPERLINK("https://klasma.github.io/Logging_0680/artfynd/A 52402-2024 artfynd.xlsx", "A 52402-2024")</f>
        <v/>
      </c>
      <c r="T16">
        <f>HYPERLINK("https://klasma.github.io/Logging_0680/kartor/A 52402-2024 karta.png", "A 52402-2024")</f>
        <v/>
      </c>
      <c r="V16">
        <f>HYPERLINK("https://klasma.github.io/Logging_0680/klagomål/A 52402-2024 FSC-klagomål.docx", "A 52402-2024")</f>
        <v/>
      </c>
      <c r="W16">
        <f>HYPERLINK("https://klasma.github.io/Logging_0680/klagomålsmail/A 52402-2024 FSC-klagomål mail.docx", "A 52402-2024")</f>
        <v/>
      </c>
      <c r="X16">
        <f>HYPERLINK("https://klasma.github.io/Logging_0680/tillsyn/A 52402-2024 tillsynsbegäran.docx", "A 52402-2024")</f>
        <v/>
      </c>
      <c r="Y16">
        <f>HYPERLINK("https://klasma.github.io/Logging_0680/tillsynsmail/A 52402-2024 tillsynsbegäran mail.docx", "A 52402-2024")</f>
        <v/>
      </c>
      <c r="Z16">
        <f>HYPERLINK("https://klasma.github.io/Logging_0680/fåglar/A 52402-2024 prioriterade fågelarter.docx", "A 52402-2024")</f>
        <v/>
      </c>
    </row>
    <row r="17" ht="15" customHeight="1">
      <c r="A17" t="inlineStr">
        <is>
          <t>A 7521-2024</t>
        </is>
      </c>
      <c r="B17" s="1" t="n">
        <v>45348</v>
      </c>
      <c r="C17" s="1" t="n">
        <v>45962</v>
      </c>
      <c r="D17" t="inlineStr">
        <is>
          <t>JÖNKÖPINGS LÄN</t>
        </is>
      </c>
      <c r="E17" t="inlineStr">
        <is>
          <t>JÖNKÖPING</t>
        </is>
      </c>
      <c r="G17" t="n">
        <v>8.199999999999999</v>
      </c>
      <c r="H17" t="n">
        <v>2</v>
      </c>
      <c r="I17" t="n">
        <v>6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8</v>
      </c>
      <c r="R17" s="2" t="inlineStr">
        <is>
          <t>Spillkråka
Blåmossa
Bronshjon
Grovticka
Stor revmossa
Vedticka
Västlig hakmossa
Revlummer</t>
        </is>
      </c>
      <c r="S17">
        <f>HYPERLINK("https://klasma.github.io/Logging_0680/artfynd/A 7521-2024 artfynd.xlsx", "A 7521-2024")</f>
        <v/>
      </c>
      <c r="T17">
        <f>HYPERLINK("https://klasma.github.io/Logging_0680/kartor/A 7521-2024 karta.png", "A 7521-2024")</f>
        <v/>
      </c>
      <c r="V17">
        <f>HYPERLINK("https://klasma.github.io/Logging_0680/klagomål/A 7521-2024 FSC-klagomål.docx", "A 7521-2024")</f>
        <v/>
      </c>
      <c r="W17">
        <f>HYPERLINK("https://klasma.github.io/Logging_0680/klagomålsmail/A 7521-2024 FSC-klagomål mail.docx", "A 7521-2024")</f>
        <v/>
      </c>
      <c r="X17">
        <f>HYPERLINK("https://klasma.github.io/Logging_0680/tillsyn/A 7521-2024 tillsynsbegäran.docx", "A 7521-2024")</f>
        <v/>
      </c>
      <c r="Y17">
        <f>HYPERLINK("https://klasma.github.io/Logging_0680/tillsynsmail/A 7521-2024 tillsynsbegäran mail.docx", "A 7521-2024")</f>
        <v/>
      </c>
      <c r="Z17">
        <f>HYPERLINK("https://klasma.github.io/Logging_0680/fåglar/A 7521-2024 prioriterade fågelarter.docx", "A 7521-2024")</f>
        <v/>
      </c>
    </row>
    <row r="18" ht="15" customHeight="1">
      <c r="A18" t="inlineStr">
        <is>
          <t>A 14717-2025</t>
        </is>
      </c>
      <c r="B18" s="1" t="n">
        <v>45742.61181712963</v>
      </c>
      <c r="C18" s="1" t="n">
        <v>45962</v>
      </c>
      <c r="D18" t="inlineStr">
        <is>
          <t>JÖNKÖPINGS LÄN</t>
        </is>
      </c>
      <c r="E18" t="inlineStr">
        <is>
          <t>HABO</t>
        </is>
      </c>
      <c r="G18" t="n">
        <v>4.4</v>
      </c>
      <c r="H18" t="n">
        <v>0</v>
      </c>
      <c r="I18" t="n">
        <v>2</v>
      </c>
      <c r="J18" t="n">
        <v>4</v>
      </c>
      <c r="K18" t="n">
        <v>2</v>
      </c>
      <c r="L18" t="n">
        <v>0</v>
      </c>
      <c r="M18" t="n">
        <v>0</v>
      </c>
      <c r="N18" t="n">
        <v>0</v>
      </c>
      <c r="O18" t="n">
        <v>6</v>
      </c>
      <c r="P18" t="n">
        <v>2</v>
      </c>
      <c r="Q18" t="n">
        <v>8</v>
      </c>
      <c r="R18" s="2" t="inlineStr">
        <is>
          <t>Jättemusseron
Lakritsmusseron
Leptoporus erubescens
Motaggsvamp
Skrovlig taggsvamp
Tallriska
Blomkålssvamp
Dropptaggsvamp</t>
        </is>
      </c>
      <c r="S18">
        <f>HYPERLINK("https://klasma.github.io/Logging_0643/artfynd/A 14717-2025 artfynd.xlsx", "A 14717-2025")</f>
        <v/>
      </c>
      <c r="T18">
        <f>HYPERLINK("https://klasma.github.io/Logging_0643/kartor/A 14717-2025 karta.png", "A 14717-2025")</f>
        <v/>
      </c>
      <c r="V18">
        <f>HYPERLINK("https://klasma.github.io/Logging_0643/klagomål/A 14717-2025 FSC-klagomål.docx", "A 14717-2025")</f>
        <v/>
      </c>
      <c r="W18">
        <f>HYPERLINK("https://klasma.github.io/Logging_0643/klagomålsmail/A 14717-2025 FSC-klagomål mail.docx", "A 14717-2025")</f>
        <v/>
      </c>
      <c r="X18">
        <f>HYPERLINK("https://klasma.github.io/Logging_0643/tillsyn/A 14717-2025 tillsynsbegäran.docx", "A 14717-2025")</f>
        <v/>
      </c>
      <c r="Y18">
        <f>HYPERLINK("https://klasma.github.io/Logging_0643/tillsynsmail/A 14717-2025 tillsynsbegäran mail.docx", "A 14717-2025")</f>
        <v/>
      </c>
    </row>
    <row r="19" ht="15" customHeight="1">
      <c r="A19" t="inlineStr">
        <is>
          <t>A 10372-2025</t>
        </is>
      </c>
      <c r="B19" s="1" t="n">
        <v>45720</v>
      </c>
      <c r="C19" s="1" t="n">
        <v>45962</v>
      </c>
      <c r="D19" t="inlineStr">
        <is>
          <t>JÖNKÖPINGS LÄN</t>
        </is>
      </c>
      <c r="E19" t="inlineStr">
        <is>
          <t>VETLANDA</t>
        </is>
      </c>
      <c r="G19" t="n">
        <v>6.6</v>
      </c>
      <c r="H19" t="n">
        <v>1</v>
      </c>
      <c r="I19" t="n">
        <v>6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8</v>
      </c>
      <c r="R19" s="2" t="inlineStr">
        <is>
          <t>Knärot
Brunpudrad nållav
Granbarkgnagare
Grönpyrola
Gulnål
Vedticka
Västlig hakmossa
Vågbandad barkbock</t>
        </is>
      </c>
      <c r="S19">
        <f>HYPERLINK("https://klasma.github.io/Logging_0685/artfynd/A 10372-2025 artfynd.xlsx", "A 10372-2025")</f>
        <v/>
      </c>
      <c r="T19">
        <f>HYPERLINK("https://klasma.github.io/Logging_0685/kartor/A 10372-2025 karta.png", "A 10372-2025")</f>
        <v/>
      </c>
      <c r="U19">
        <f>HYPERLINK("https://klasma.github.io/Logging_0685/knärot/A 10372-2025 karta knärot.png", "A 10372-2025")</f>
        <v/>
      </c>
      <c r="V19">
        <f>HYPERLINK("https://klasma.github.io/Logging_0685/klagomål/A 10372-2025 FSC-klagomål.docx", "A 10372-2025")</f>
        <v/>
      </c>
      <c r="W19">
        <f>HYPERLINK("https://klasma.github.io/Logging_0685/klagomålsmail/A 10372-2025 FSC-klagomål mail.docx", "A 10372-2025")</f>
        <v/>
      </c>
      <c r="X19">
        <f>HYPERLINK("https://klasma.github.io/Logging_0685/tillsyn/A 10372-2025 tillsynsbegäran.docx", "A 10372-2025")</f>
        <v/>
      </c>
      <c r="Y19">
        <f>HYPERLINK("https://klasma.github.io/Logging_0685/tillsynsmail/A 10372-2025 tillsynsbegäran mail.docx", "A 10372-2025")</f>
        <v/>
      </c>
    </row>
    <row r="20" ht="15" customHeight="1">
      <c r="A20" t="inlineStr">
        <is>
          <t>A 11238-2024</t>
        </is>
      </c>
      <c r="B20" s="1" t="n">
        <v>45371</v>
      </c>
      <c r="C20" s="1" t="n">
        <v>45962</v>
      </c>
      <c r="D20" t="inlineStr">
        <is>
          <t>JÖNKÖPINGS LÄN</t>
        </is>
      </c>
      <c r="E20" t="inlineStr">
        <is>
          <t>VETLANDA</t>
        </is>
      </c>
      <c r="G20" t="n">
        <v>35.1</v>
      </c>
      <c r="H20" t="n">
        <v>2</v>
      </c>
      <c r="I20" t="n">
        <v>1</v>
      </c>
      <c r="J20" t="n">
        <v>4</v>
      </c>
      <c r="K20" t="n">
        <v>0</v>
      </c>
      <c r="L20" t="n">
        <v>1</v>
      </c>
      <c r="M20" t="n">
        <v>0</v>
      </c>
      <c r="N20" t="n">
        <v>0</v>
      </c>
      <c r="O20" t="n">
        <v>5</v>
      </c>
      <c r="P20" t="n">
        <v>1</v>
      </c>
      <c r="Q20" t="n">
        <v>7</v>
      </c>
      <c r="R20" s="2" t="inlineStr">
        <is>
          <t>Ask
Backklöver
Desmeknopp
Loppstarr
Svinrot
Tvåblad
Gullviva</t>
        </is>
      </c>
      <c r="S20">
        <f>HYPERLINK("https://klasma.github.io/Logging_0685/artfynd/A 11238-2024 artfynd.xlsx", "A 11238-2024")</f>
        <v/>
      </c>
      <c r="T20">
        <f>HYPERLINK("https://klasma.github.io/Logging_0685/kartor/A 11238-2024 karta.png", "A 11238-2024")</f>
        <v/>
      </c>
      <c r="V20">
        <f>HYPERLINK("https://klasma.github.io/Logging_0685/klagomål/A 11238-2024 FSC-klagomål.docx", "A 11238-2024")</f>
        <v/>
      </c>
      <c r="W20">
        <f>HYPERLINK("https://klasma.github.io/Logging_0685/klagomålsmail/A 11238-2024 FSC-klagomål mail.docx", "A 11238-2024")</f>
        <v/>
      </c>
      <c r="X20">
        <f>HYPERLINK("https://klasma.github.io/Logging_0685/tillsyn/A 11238-2024 tillsynsbegäran.docx", "A 11238-2024")</f>
        <v/>
      </c>
      <c r="Y20">
        <f>HYPERLINK("https://klasma.github.io/Logging_0685/tillsynsmail/A 11238-2024 tillsynsbegäran mail.docx", "A 11238-2024")</f>
        <v/>
      </c>
    </row>
    <row r="21" ht="15" customHeight="1">
      <c r="A21" t="inlineStr">
        <is>
          <t>A 39152-2022</t>
        </is>
      </c>
      <c r="B21" s="1" t="n">
        <v>44817</v>
      </c>
      <c r="C21" s="1" t="n">
        <v>45962</v>
      </c>
      <c r="D21" t="inlineStr">
        <is>
          <t>JÖNKÖPINGS LÄN</t>
        </is>
      </c>
      <c r="E21" t="inlineStr">
        <is>
          <t>VETLANDA</t>
        </is>
      </c>
      <c r="G21" t="n">
        <v>5.6</v>
      </c>
      <c r="H21" t="n">
        <v>1</v>
      </c>
      <c r="I21" t="n">
        <v>5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7</v>
      </c>
      <c r="R21" s="2" t="inlineStr">
        <is>
          <t>Gropticka
Skogsbräsma
Svart trolldruva
Tibast
Vätteros
Vårärt
Blåsippa</t>
        </is>
      </c>
      <c r="S21">
        <f>HYPERLINK("https://klasma.github.io/Logging_0685/artfynd/A 39152-2022 artfynd.xlsx", "A 39152-2022")</f>
        <v/>
      </c>
      <c r="T21">
        <f>HYPERLINK("https://klasma.github.io/Logging_0685/kartor/A 39152-2022 karta.png", "A 39152-2022")</f>
        <v/>
      </c>
      <c r="V21">
        <f>HYPERLINK("https://klasma.github.io/Logging_0685/klagomål/A 39152-2022 FSC-klagomål.docx", "A 39152-2022")</f>
        <v/>
      </c>
      <c r="W21">
        <f>HYPERLINK("https://klasma.github.io/Logging_0685/klagomålsmail/A 39152-2022 FSC-klagomål mail.docx", "A 39152-2022")</f>
        <v/>
      </c>
      <c r="X21">
        <f>HYPERLINK("https://klasma.github.io/Logging_0685/tillsyn/A 39152-2022 tillsynsbegäran.docx", "A 39152-2022")</f>
        <v/>
      </c>
      <c r="Y21">
        <f>HYPERLINK("https://klasma.github.io/Logging_0685/tillsynsmail/A 39152-2022 tillsynsbegäran mail.docx", "A 39152-2022")</f>
        <v/>
      </c>
    </row>
    <row r="22" ht="15" customHeight="1">
      <c r="A22" t="inlineStr">
        <is>
          <t>A 63685-2023</t>
        </is>
      </c>
      <c r="B22" s="1" t="n">
        <v>45275</v>
      </c>
      <c r="C22" s="1" t="n">
        <v>45962</v>
      </c>
      <c r="D22" t="inlineStr">
        <is>
          <t>JÖNKÖPINGS LÄN</t>
        </is>
      </c>
      <c r="E22" t="inlineStr">
        <is>
          <t>JÖNKÖPING</t>
        </is>
      </c>
      <c r="G22" t="n">
        <v>1.2</v>
      </c>
      <c r="H22" t="n">
        <v>6</v>
      </c>
      <c r="I22" t="n">
        <v>0</v>
      </c>
      <c r="J22" t="n">
        <v>4</v>
      </c>
      <c r="K22" t="n">
        <v>0</v>
      </c>
      <c r="L22" t="n">
        <v>0</v>
      </c>
      <c r="M22" t="n">
        <v>0</v>
      </c>
      <c r="N22" t="n">
        <v>0</v>
      </c>
      <c r="O22" t="n">
        <v>4</v>
      </c>
      <c r="P22" t="n">
        <v>0</v>
      </c>
      <c r="Q22" t="n">
        <v>6</v>
      </c>
      <c r="R22" s="2" t="inlineStr">
        <is>
          <t>Duvhök
Entita
Grönsångare
Gulsparv
Järnsparv
Kungsfågel</t>
        </is>
      </c>
      <c r="S22">
        <f>HYPERLINK("https://klasma.github.io/Logging_0680/artfynd/A 63685-2023 artfynd.xlsx", "A 63685-2023")</f>
        <v/>
      </c>
      <c r="T22">
        <f>HYPERLINK("https://klasma.github.io/Logging_0680/kartor/A 63685-2023 karta.png", "A 63685-2023")</f>
        <v/>
      </c>
      <c r="V22">
        <f>HYPERLINK("https://klasma.github.io/Logging_0680/klagomål/A 63685-2023 FSC-klagomål.docx", "A 63685-2023")</f>
        <v/>
      </c>
      <c r="W22">
        <f>HYPERLINK("https://klasma.github.io/Logging_0680/klagomålsmail/A 63685-2023 FSC-klagomål mail.docx", "A 63685-2023")</f>
        <v/>
      </c>
      <c r="X22">
        <f>HYPERLINK("https://klasma.github.io/Logging_0680/tillsyn/A 63685-2023 tillsynsbegäran.docx", "A 63685-2023")</f>
        <v/>
      </c>
      <c r="Y22">
        <f>HYPERLINK("https://klasma.github.io/Logging_0680/tillsynsmail/A 63685-2023 tillsynsbegäran mail.docx", "A 63685-2023")</f>
        <v/>
      </c>
      <c r="Z22">
        <f>HYPERLINK("https://klasma.github.io/Logging_0680/fåglar/A 63685-2023 prioriterade fågelarter.docx", "A 63685-2023")</f>
        <v/>
      </c>
    </row>
    <row r="23" ht="15" customHeight="1">
      <c r="A23" t="inlineStr">
        <is>
          <t>A 6205-2025</t>
        </is>
      </c>
      <c r="B23" s="1" t="n">
        <v>45698.48634259259</v>
      </c>
      <c r="C23" s="1" t="n">
        <v>45962</v>
      </c>
      <c r="D23" t="inlineStr">
        <is>
          <t>JÖNKÖPINGS LÄN</t>
        </is>
      </c>
      <c r="E23" t="inlineStr">
        <is>
          <t>JÖNKÖPING</t>
        </is>
      </c>
      <c r="G23" t="n">
        <v>5.2</v>
      </c>
      <c r="H23" t="n">
        <v>3</v>
      </c>
      <c r="I23" t="n">
        <v>1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6</v>
      </c>
      <c r="R23" s="2" t="inlineStr">
        <is>
          <t>Backstarr
Vårstarr
Hasselsopp
Blåsippa
Gullviva
Mattlummer</t>
        </is>
      </c>
      <c r="S23">
        <f>HYPERLINK("https://klasma.github.io/Logging_0680/artfynd/A 6205-2025 artfynd.xlsx", "A 6205-2025")</f>
        <v/>
      </c>
      <c r="T23">
        <f>HYPERLINK("https://klasma.github.io/Logging_0680/kartor/A 6205-2025 karta.png", "A 6205-2025")</f>
        <v/>
      </c>
      <c r="V23">
        <f>HYPERLINK("https://klasma.github.io/Logging_0680/klagomål/A 6205-2025 FSC-klagomål.docx", "A 6205-2025")</f>
        <v/>
      </c>
      <c r="W23">
        <f>HYPERLINK("https://klasma.github.io/Logging_0680/klagomålsmail/A 6205-2025 FSC-klagomål mail.docx", "A 6205-2025")</f>
        <v/>
      </c>
      <c r="X23">
        <f>HYPERLINK("https://klasma.github.io/Logging_0680/tillsyn/A 6205-2025 tillsynsbegäran.docx", "A 6205-2025")</f>
        <v/>
      </c>
      <c r="Y23">
        <f>HYPERLINK("https://klasma.github.io/Logging_0680/tillsynsmail/A 6205-2025 tillsynsbegäran mail.docx", "A 6205-2025")</f>
        <v/>
      </c>
    </row>
    <row r="24" ht="15" customHeight="1">
      <c r="A24" t="inlineStr">
        <is>
          <t>A 56270-2022</t>
        </is>
      </c>
      <c r="B24" s="1" t="n">
        <v>44890</v>
      </c>
      <c r="C24" s="1" t="n">
        <v>45962</v>
      </c>
      <c r="D24" t="inlineStr">
        <is>
          <t>JÖNKÖPINGS LÄN</t>
        </is>
      </c>
      <c r="E24" t="inlineStr">
        <is>
          <t>VETLANDA</t>
        </is>
      </c>
      <c r="G24" t="n">
        <v>1.7</v>
      </c>
      <c r="H24" t="n">
        <v>2</v>
      </c>
      <c r="I24" t="n">
        <v>1</v>
      </c>
      <c r="J24" t="n">
        <v>4</v>
      </c>
      <c r="K24" t="n">
        <v>0</v>
      </c>
      <c r="L24" t="n">
        <v>0</v>
      </c>
      <c r="M24" t="n">
        <v>0</v>
      </c>
      <c r="N24" t="n">
        <v>0</v>
      </c>
      <c r="O24" t="n">
        <v>4</v>
      </c>
      <c r="P24" t="n">
        <v>0</v>
      </c>
      <c r="Q24" t="n">
        <v>6</v>
      </c>
      <c r="R24" s="2" t="inlineStr">
        <is>
          <t>Dofttaggsvamp
Grönsångare
Orange taggsvamp
Svartvit taggsvamp
Fjällig taggsvamp s.str.
Blåsippa</t>
        </is>
      </c>
      <c r="S24">
        <f>HYPERLINK("https://klasma.github.io/Logging_0685/artfynd/A 56270-2022 artfynd.xlsx", "A 56270-2022")</f>
        <v/>
      </c>
      <c r="T24">
        <f>HYPERLINK("https://klasma.github.io/Logging_0685/kartor/A 56270-2022 karta.png", "A 56270-2022")</f>
        <v/>
      </c>
      <c r="U24">
        <f>HYPERLINK("https://klasma.github.io/Logging_0685/knärot/A 56270-2022 karta knärot.png", "A 56270-2022")</f>
        <v/>
      </c>
      <c r="V24">
        <f>HYPERLINK("https://klasma.github.io/Logging_0685/klagomål/A 56270-2022 FSC-klagomål.docx", "A 56270-2022")</f>
        <v/>
      </c>
      <c r="W24">
        <f>HYPERLINK("https://klasma.github.io/Logging_0685/klagomålsmail/A 56270-2022 FSC-klagomål mail.docx", "A 56270-2022")</f>
        <v/>
      </c>
      <c r="X24">
        <f>HYPERLINK("https://klasma.github.io/Logging_0685/tillsyn/A 56270-2022 tillsynsbegäran.docx", "A 56270-2022")</f>
        <v/>
      </c>
      <c r="Y24">
        <f>HYPERLINK("https://klasma.github.io/Logging_0685/tillsynsmail/A 56270-2022 tillsynsbegäran mail.docx", "A 56270-2022")</f>
        <v/>
      </c>
      <c r="Z24">
        <f>HYPERLINK("https://klasma.github.io/Logging_0685/fåglar/A 56270-2022 prioriterade fågelarter.docx", "A 56270-2022")</f>
        <v/>
      </c>
    </row>
    <row r="25" ht="15" customHeight="1">
      <c r="A25" t="inlineStr">
        <is>
          <t>A 52841-2025</t>
        </is>
      </c>
      <c r="B25" s="1" t="n">
        <v>45957.47775462963</v>
      </c>
      <c r="C25" s="1" t="n">
        <v>45962</v>
      </c>
      <c r="D25" t="inlineStr">
        <is>
          <t>JÖNKÖPINGS LÄN</t>
        </is>
      </c>
      <c r="E25" t="inlineStr">
        <is>
          <t>VETLANDA</t>
        </is>
      </c>
      <c r="G25" t="n">
        <v>2.6</v>
      </c>
      <c r="H25" t="n">
        <v>3</v>
      </c>
      <c r="I25" t="n">
        <v>3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6</v>
      </c>
      <c r="R25" s="2" t="inlineStr">
        <is>
          <t>Dunmossa
Grönpyrola
Kryddspindling
Blåsippa
Mattlummer
Revlummer</t>
        </is>
      </c>
      <c r="S25">
        <f>HYPERLINK("https://klasma.github.io/Logging_0685/artfynd/A 52841-2025 artfynd.xlsx", "A 52841-2025")</f>
        <v/>
      </c>
      <c r="T25">
        <f>HYPERLINK("https://klasma.github.io/Logging_0685/kartor/A 52841-2025 karta.png", "A 52841-2025")</f>
        <v/>
      </c>
      <c r="V25">
        <f>HYPERLINK("https://klasma.github.io/Logging_0685/klagomål/A 52841-2025 FSC-klagomål.docx", "A 52841-2025")</f>
        <v/>
      </c>
      <c r="W25">
        <f>HYPERLINK("https://klasma.github.io/Logging_0685/klagomålsmail/A 52841-2025 FSC-klagomål mail.docx", "A 52841-2025")</f>
        <v/>
      </c>
      <c r="X25">
        <f>HYPERLINK("https://klasma.github.io/Logging_0685/tillsyn/A 52841-2025 tillsynsbegäran.docx", "A 52841-2025")</f>
        <v/>
      </c>
      <c r="Y25">
        <f>HYPERLINK("https://klasma.github.io/Logging_0685/tillsynsmail/A 52841-2025 tillsynsbegäran mail.docx", "A 52841-2025")</f>
        <v/>
      </c>
    </row>
    <row r="26" ht="15" customHeight="1">
      <c r="A26" t="inlineStr">
        <is>
          <t>A 43724-2023</t>
        </is>
      </c>
      <c r="B26" s="1" t="n">
        <v>45187</v>
      </c>
      <c r="C26" s="1" t="n">
        <v>45962</v>
      </c>
      <c r="D26" t="inlineStr">
        <is>
          <t>JÖNKÖPINGS LÄN</t>
        </is>
      </c>
      <c r="E26" t="inlineStr">
        <is>
          <t>GISLAVED</t>
        </is>
      </c>
      <c r="G26" t="n">
        <v>4</v>
      </c>
      <c r="H26" t="n">
        <v>3</v>
      </c>
      <c r="I26" t="n">
        <v>0</v>
      </c>
      <c r="J26" t="n">
        <v>1</v>
      </c>
      <c r="K26" t="n">
        <v>0</v>
      </c>
      <c r="L26" t="n">
        <v>1</v>
      </c>
      <c r="M26" t="n">
        <v>0</v>
      </c>
      <c r="N26" t="n">
        <v>0</v>
      </c>
      <c r="O26" t="n">
        <v>2</v>
      </c>
      <c r="P26" t="n">
        <v>1</v>
      </c>
      <c r="Q26" t="n">
        <v>5</v>
      </c>
      <c r="R26" s="2" t="inlineStr">
        <is>
          <t>Ask
Slåtterfibbla
Fläcknycklar
Grönvit nattviol
Nattviol</t>
        </is>
      </c>
      <c r="S26">
        <f>HYPERLINK("https://klasma.github.io/Logging_0662/artfynd/A 43724-2023 artfynd.xlsx", "A 43724-2023")</f>
        <v/>
      </c>
      <c r="T26">
        <f>HYPERLINK("https://klasma.github.io/Logging_0662/kartor/A 43724-2023 karta.png", "A 43724-2023")</f>
        <v/>
      </c>
      <c r="V26">
        <f>HYPERLINK("https://klasma.github.io/Logging_0662/klagomål/A 43724-2023 FSC-klagomål.docx", "A 43724-2023")</f>
        <v/>
      </c>
      <c r="W26">
        <f>HYPERLINK("https://klasma.github.io/Logging_0662/klagomålsmail/A 43724-2023 FSC-klagomål mail.docx", "A 43724-2023")</f>
        <v/>
      </c>
      <c r="X26">
        <f>HYPERLINK("https://klasma.github.io/Logging_0662/tillsyn/A 43724-2023 tillsynsbegäran.docx", "A 43724-2023")</f>
        <v/>
      </c>
      <c r="Y26">
        <f>HYPERLINK("https://klasma.github.io/Logging_0662/tillsynsmail/A 43724-2023 tillsynsbegäran mail.docx", "A 43724-2023")</f>
        <v/>
      </c>
    </row>
    <row r="27" ht="15" customHeight="1">
      <c r="A27" t="inlineStr">
        <is>
          <t>A 30131-2023</t>
        </is>
      </c>
      <c r="B27" s="1" t="n">
        <v>45110.50200231482</v>
      </c>
      <c r="C27" s="1" t="n">
        <v>45962</v>
      </c>
      <c r="D27" t="inlineStr">
        <is>
          <t>JÖNKÖPINGS LÄN</t>
        </is>
      </c>
      <c r="E27" t="inlineStr">
        <is>
          <t>EKSJÖ</t>
        </is>
      </c>
      <c r="F27" t="inlineStr">
        <is>
          <t>Kyrkan</t>
        </is>
      </c>
      <c r="G27" t="n">
        <v>7.2</v>
      </c>
      <c r="H27" t="n">
        <v>1</v>
      </c>
      <c r="I27" t="n">
        <v>2</v>
      </c>
      <c r="J27" t="n">
        <v>2</v>
      </c>
      <c r="K27" t="n">
        <v>1</v>
      </c>
      <c r="L27" t="n">
        <v>0</v>
      </c>
      <c r="M27" t="n">
        <v>0</v>
      </c>
      <c r="N27" t="n">
        <v>0</v>
      </c>
      <c r="O27" t="n">
        <v>3</v>
      </c>
      <c r="P27" t="n">
        <v>1</v>
      </c>
      <c r="Q27" t="n">
        <v>5</v>
      </c>
      <c r="R27" s="2" t="inlineStr">
        <is>
          <t>Knärot
Tallticka
Vedtrappmossa
Blomkålssvamp
Grönpyrola</t>
        </is>
      </c>
      <c r="S27">
        <f>HYPERLINK("https://klasma.github.io/Logging_0686/artfynd/A 30131-2023 artfynd.xlsx", "A 30131-2023")</f>
        <v/>
      </c>
      <c r="T27">
        <f>HYPERLINK("https://klasma.github.io/Logging_0686/kartor/A 30131-2023 karta.png", "A 30131-2023")</f>
        <v/>
      </c>
      <c r="U27">
        <f>HYPERLINK("https://klasma.github.io/Logging_0686/knärot/A 30131-2023 karta knärot.png", "A 30131-2023")</f>
        <v/>
      </c>
      <c r="V27">
        <f>HYPERLINK("https://klasma.github.io/Logging_0686/klagomål/A 30131-2023 FSC-klagomål.docx", "A 30131-2023")</f>
        <v/>
      </c>
      <c r="W27">
        <f>HYPERLINK("https://klasma.github.io/Logging_0686/klagomålsmail/A 30131-2023 FSC-klagomål mail.docx", "A 30131-2023")</f>
        <v/>
      </c>
      <c r="X27">
        <f>HYPERLINK("https://klasma.github.io/Logging_0686/tillsyn/A 30131-2023 tillsynsbegäran.docx", "A 30131-2023")</f>
        <v/>
      </c>
      <c r="Y27">
        <f>HYPERLINK("https://klasma.github.io/Logging_0686/tillsynsmail/A 30131-2023 tillsynsbegäran mail.docx", "A 30131-2023")</f>
        <v/>
      </c>
    </row>
    <row r="28" ht="15" customHeight="1">
      <c r="A28" t="inlineStr">
        <is>
          <t>A 13663-2023</t>
        </is>
      </c>
      <c r="B28" s="1" t="n">
        <v>45006</v>
      </c>
      <c r="C28" s="1" t="n">
        <v>45962</v>
      </c>
      <c r="D28" t="inlineStr">
        <is>
          <t>JÖNKÖPINGS LÄN</t>
        </is>
      </c>
      <c r="E28" t="inlineStr">
        <is>
          <t>MULLSJÖ</t>
        </is>
      </c>
      <c r="G28" t="n">
        <v>6</v>
      </c>
      <c r="H28" t="n">
        <v>1</v>
      </c>
      <c r="I28" t="n">
        <v>3</v>
      </c>
      <c r="J28" t="n">
        <v>1</v>
      </c>
      <c r="K28" t="n">
        <v>1</v>
      </c>
      <c r="L28" t="n">
        <v>0</v>
      </c>
      <c r="M28" t="n">
        <v>0</v>
      </c>
      <c r="N28" t="n">
        <v>0</v>
      </c>
      <c r="O28" t="n">
        <v>2</v>
      </c>
      <c r="P28" t="n">
        <v>1</v>
      </c>
      <c r="Q28" t="n">
        <v>5</v>
      </c>
      <c r="R28" s="2" t="inlineStr">
        <is>
          <t>Knärot
Brunpudrad nållav
Blodticka
Gulnål
Kornig nållav</t>
        </is>
      </c>
      <c r="S28">
        <f>HYPERLINK("https://klasma.github.io/Logging_0642/artfynd/A 13663-2023 artfynd.xlsx", "A 13663-2023")</f>
        <v/>
      </c>
      <c r="T28">
        <f>HYPERLINK("https://klasma.github.io/Logging_0642/kartor/A 13663-2023 karta.png", "A 13663-2023")</f>
        <v/>
      </c>
      <c r="U28">
        <f>HYPERLINK("https://klasma.github.io/Logging_0642/knärot/A 13663-2023 karta knärot.png", "A 13663-2023")</f>
        <v/>
      </c>
      <c r="V28">
        <f>HYPERLINK("https://klasma.github.io/Logging_0642/klagomål/A 13663-2023 FSC-klagomål.docx", "A 13663-2023")</f>
        <v/>
      </c>
      <c r="W28">
        <f>HYPERLINK("https://klasma.github.io/Logging_0642/klagomålsmail/A 13663-2023 FSC-klagomål mail.docx", "A 13663-2023")</f>
        <v/>
      </c>
      <c r="X28">
        <f>HYPERLINK("https://klasma.github.io/Logging_0642/tillsyn/A 13663-2023 tillsynsbegäran.docx", "A 13663-2023")</f>
        <v/>
      </c>
      <c r="Y28">
        <f>HYPERLINK("https://klasma.github.io/Logging_0642/tillsynsmail/A 13663-2023 tillsynsbegäran mail.docx", "A 13663-2023")</f>
        <v/>
      </c>
    </row>
    <row r="29" ht="15" customHeight="1">
      <c r="A29" t="inlineStr">
        <is>
          <t>A 28832-2022</t>
        </is>
      </c>
      <c r="B29" s="1" t="n">
        <v>44749</v>
      </c>
      <c r="C29" s="1" t="n">
        <v>45962</v>
      </c>
      <c r="D29" t="inlineStr">
        <is>
          <t>JÖNKÖPINGS LÄN</t>
        </is>
      </c>
      <c r="E29" t="inlineStr">
        <is>
          <t>HABO</t>
        </is>
      </c>
      <c r="G29" t="n">
        <v>8.199999999999999</v>
      </c>
      <c r="H29" t="n">
        <v>0</v>
      </c>
      <c r="I29" t="n">
        <v>1</v>
      </c>
      <c r="J29" t="n">
        <v>3</v>
      </c>
      <c r="K29" t="n">
        <v>1</v>
      </c>
      <c r="L29" t="n">
        <v>0</v>
      </c>
      <c r="M29" t="n">
        <v>0</v>
      </c>
      <c r="N29" t="n">
        <v>0</v>
      </c>
      <c r="O29" t="n">
        <v>4</v>
      </c>
      <c r="P29" t="n">
        <v>1</v>
      </c>
      <c r="Q29" t="n">
        <v>5</v>
      </c>
      <c r="R29" s="2" t="inlineStr">
        <is>
          <t>Lakritsmusseron
Motaggsvamp
Skrovlig taggsvamp
Tallticka
Dropptaggsvamp</t>
        </is>
      </c>
      <c r="S29">
        <f>HYPERLINK("https://klasma.github.io/Logging_0643/artfynd/A 28832-2022 artfynd.xlsx", "A 28832-2022")</f>
        <v/>
      </c>
      <c r="T29">
        <f>HYPERLINK("https://klasma.github.io/Logging_0643/kartor/A 28832-2022 karta.png", "A 28832-2022")</f>
        <v/>
      </c>
      <c r="V29">
        <f>HYPERLINK("https://klasma.github.io/Logging_0643/klagomål/A 28832-2022 FSC-klagomål.docx", "A 28832-2022")</f>
        <v/>
      </c>
      <c r="W29">
        <f>HYPERLINK("https://klasma.github.io/Logging_0643/klagomålsmail/A 28832-2022 FSC-klagomål mail.docx", "A 28832-2022")</f>
        <v/>
      </c>
      <c r="X29">
        <f>HYPERLINK("https://klasma.github.io/Logging_0643/tillsyn/A 28832-2022 tillsynsbegäran.docx", "A 28832-2022")</f>
        <v/>
      </c>
      <c r="Y29">
        <f>HYPERLINK("https://klasma.github.io/Logging_0643/tillsynsmail/A 28832-2022 tillsynsbegäran mail.docx", "A 28832-2022")</f>
        <v/>
      </c>
    </row>
    <row r="30" ht="15" customHeight="1">
      <c r="A30" t="inlineStr">
        <is>
          <t>A 23272-2025</t>
        </is>
      </c>
      <c r="B30" s="1" t="n">
        <v>45791.56258101852</v>
      </c>
      <c r="C30" s="1" t="n">
        <v>45962</v>
      </c>
      <c r="D30" t="inlineStr">
        <is>
          <t>JÖNKÖPINGS LÄN</t>
        </is>
      </c>
      <c r="E30" t="inlineStr">
        <is>
          <t>HABO</t>
        </is>
      </c>
      <c r="G30" t="n">
        <v>8.5</v>
      </c>
      <c r="H30" t="n">
        <v>2</v>
      </c>
      <c r="I30" t="n">
        <v>0</v>
      </c>
      <c r="J30" t="n">
        <v>3</v>
      </c>
      <c r="K30" t="n">
        <v>0</v>
      </c>
      <c r="L30" t="n">
        <v>0</v>
      </c>
      <c r="M30" t="n">
        <v>0</v>
      </c>
      <c r="N30" t="n">
        <v>0</v>
      </c>
      <c r="O30" t="n">
        <v>3</v>
      </c>
      <c r="P30" t="n">
        <v>0</v>
      </c>
      <c r="Q30" t="n">
        <v>5</v>
      </c>
      <c r="R30" s="2" t="inlineStr">
        <is>
          <t>Borsttåg
Slåtterfibbla
Svinrot
Fläcknycklar
Revlummer</t>
        </is>
      </c>
      <c r="S30">
        <f>HYPERLINK("https://klasma.github.io/Logging_0643/artfynd/A 23272-2025 artfynd.xlsx", "A 23272-2025")</f>
        <v/>
      </c>
      <c r="T30">
        <f>HYPERLINK("https://klasma.github.io/Logging_0643/kartor/A 23272-2025 karta.png", "A 23272-2025")</f>
        <v/>
      </c>
      <c r="V30">
        <f>HYPERLINK("https://klasma.github.io/Logging_0643/klagomål/A 23272-2025 FSC-klagomål.docx", "A 23272-2025")</f>
        <v/>
      </c>
      <c r="W30">
        <f>HYPERLINK("https://klasma.github.io/Logging_0643/klagomålsmail/A 23272-2025 FSC-klagomål mail.docx", "A 23272-2025")</f>
        <v/>
      </c>
      <c r="X30">
        <f>HYPERLINK("https://klasma.github.io/Logging_0643/tillsyn/A 23272-2025 tillsynsbegäran.docx", "A 23272-2025")</f>
        <v/>
      </c>
      <c r="Y30">
        <f>HYPERLINK("https://klasma.github.io/Logging_0643/tillsynsmail/A 23272-2025 tillsynsbegäran mail.docx", "A 23272-2025")</f>
        <v/>
      </c>
    </row>
    <row r="31" ht="15" customHeight="1">
      <c r="A31" t="inlineStr">
        <is>
          <t>A 64890-2021</t>
        </is>
      </c>
      <c r="B31" s="1" t="n">
        <v>44512.62668981482</v>
      </c>
      <c r="C31" s="1" t="n">
        <v>45962</v>
      </c>
      <c r="D31" t="inlineStr">
        <is>
          <t>JÖNKÖPINGS LÄN</t>
        </is>
      </c>
      <c r="E31" t="inlineStr">
        <is>
          <t>JÖNKÖPING</t>
        </is>
      </c>
      <c r="F31" t="inlineStr">
        <is>
          <t>Sveaskog</t>
        </is>
      </c>
      <c r="G31" t="n">
        <v>2.9</v>
      </c>
      <c r="H31" t="n">
        <v>4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5</v>
      </c>
      <c r="R31" s="2" t="inlineStr">
        <is>
          <t>Backtimjan
Dvärgpipistrell
Större brunfladdermus
Mattlummer
Revlummer</t>
        </is>
      </c>
      <c r="S31">
        <f>HYPERLINK("https://klasma.github.io/Logging_0680/artfynd/A 64890-2021 artfynd.xlsx", "A 64890-2021")</f>
        <v/>
      </c>
      <c r="T31">
        <f>HYPERLINK("https://klasma.github.io/Logging_0680/kartor/A 64890-2021 karta.png", "A 64890-2021")</f>
        <v/>
      </c>
      <c r="V31">
        <f>HYPERLINK("https://klasma.github.io/Logging_0680/klagomål/A 64890-2021 FSC-klagomål.docx", "A 64890-2021")</f>
        <v/>
      </c>
      <c r="W31">
        <f>HYPERLINK("https://klasma.github.io/Logging_0680/klagomålsmail/A 64890-2021 FSC-klagomål mail.docx", "A 64890-2021")</f>
        <v/>
      </c>
      <c r="X31">
        <f>HYPERLINK("https://klasma.github.io/Logging_0680/tillsyn/A 64890-2021 tillsynsbegäran.docx", "A 64890-2021")</f>
        <v/>
      </c>
      <c r="Y31">
        <f>HYPERLINK("https://klasma.github.io/Logging_0680/tillsynsmail/A 64890-2021 tillsynsbegäran mail.docx", "A 64890-2021")</f>
        <v/>
      </c>
    </row>
    <row r="32" ht="15" customHeight="1">
      <c r="A32" t="inlineStr">
        <is>
          <t>A 44444-2023</t>
        </is>
      </c>
      <c r="B32" s="1" t="n">
        <v>45183</v>
      </c>
      <c r="C32" s="1" t="n">
        <v>45962</v>
      </c>
      <c r="D32" t="inlineStr">
        <is>
          <t>JÖNKÖPINGS LÄN</t>
        </is>
      </c>
      <c r="E32" t="inlineStr">
        <is>
          <t>HABO</t>
        </is>
      </c>
      <c r="F32" t="inlineStr">
        <is>
          <t>Allmännings- och besparingsskogar</t>
        </is>
      </c>
      <c r="G32" t="n">
        <v>9.5</v>
      </c>
      <c r="H32" t="n">
        <v>2</v>
      </c>
      <c r="I32" t="n">
        <v>0</v>
      </c>
      <c r="J32" t="n">
        <v>2</v>
      </c>
      <c r="K32" t="n">
        <v>3</v>
      </c>
      <c r="L32" t="n">
        <v>0</v>
      </c>
      <c r="M32" t="n">
        <v>0</v>
      </c>
      <c r="N32" t="n">
        <v>0</v>
      </c>
      <c r="O32" t="n">
        <v>5</v>
      </c>
      <c r="P32" t="n">
        <v>3</v>
      </c>
      <c r="Q32" t="n">
        <v>5</v>
      </c>
      <c r="R32" s="2" t="inlineStr">
        <is>
          <t>Cypresslummer
Mellanlummer
Torrmusseron
Motaggsvamp
Svartvit taggsvamp</t>
        </is>
      </c>
      <c r="S32">
        <f>HYPERLINK("https://klasma.github.io/Logging_0643/artfynd/A 44444-2023 artfynd.xlsx", "A 44444-2023")</f>
        <v/>
      </c>
      <c r="T32">
        <f>HYPERLINK("https://klasma.github.io/Logging_0643/kartor/A 44444-2023 karta.png", "A 44444-2023")</f>
        <v/>
      </c>
      <c r="V32">
        <f>HYPERLINK("https://klasma.github.io/Logging_0643/klagomål/A 44444-2023 FSC-klagomål.docx", "A 44444-2023")</f>
        <v/>
      </c>
      <c r="W32">
        <f>HYPERLINK("https://klasma.github.io/Logging_0643/klagomålsmail/A 44444-2023 FSC-klagomål mail.docx", "A 44444-2023")</f>
        <v/>
      </c>
      <c r="X32">
        <f>HYPERLINK("https://klasma.github.io/Logging_0643/tillsyn/A 44444-2023 tillsynsbegäran.docx", "A 44444-2023")</f>
        <v/>
      </c>
      <c r="Y32">
        <f>HYPERLINK("https://klasma.github.io/Logging_0643/tillsynsmail/A 44444-2023 tillsynsbegäran mail.docx", "A 44444-2023")</f>
        <v/>
      </c>
    </row>
    <row r="33" ht="15" customHeight="1">
      <c r="A33" t="inlineStr">
        <is>
          <t>A 44697-2022</t>
        </is>
      </c>
      <c r="B33" s="1" t="n">
        <v>44840</v>
      </c>
      <c r="C33" s="1" t="n">
        <v>45962</v>
      </c>
      <c r="D33" t="inlineStr">
        <is>
          <t>JÖNKÖPINGS LÄN</t>
        </is>
      </c>
      <c r="E33" t="inlineStr">
        <is>
          <t>VETLANDA</t>
        </is>
      </c>
      <c r="F33" t="inlineStr">
        <is>
          <t>Kyrkan</t>
        </is>
      </c>
      <c r="G33" t="n">
        <v>1.1</v>
      </c>
      <c r="H33" t="n">
        <v>1</v>
      </c>
      <c r="I33" t="n">
        <v>3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5</v>
      </c>
      <c r="R33" s="2" t="inlineStr">
        <is>
          <t>Svart taggsvamp
Dropptaggsvamp
Fjällig taggsvamp s.str.
Kryddspindling
Blåsippa</t>
        </is>
      </c>
      <c r="S33">
        <f>HYPERLINK("https://klasma.github.io/Logging_0685/artfynd/A 44697-2022 artfynd.xlsx", "A 44697-2022")</f>
        <v/>
      </c>
      <c r="T33">
        <f>HYPERLINK("https://klasma.github.io/Logging_0685/kartor/A 44697-2022 karta.png", "A 44697-2022")</f>
        <v/>
      </c>
      <c r="V33">
        <f>HYPERLINK("https://klasma.github.io/Logging_0685/klagomål/A 44697-2022 FSC-klagomål.docx", "A 44697-2022")</f>
        <v/>
      </c>
      <c r="W33">
        <f>HYPERLINK("https://klasma.github.io/Logging_0685/klagomålsmail/A 44697-2022 FSC-klagomål mail.docx", "A 44697-2022")</f>
        <v/>
      </c>
      <c r="X33">
        <f>HYPERLINK("https://klasma.github.io/Logging_0685/tillsyn/A 44697-2022 tillsynsbegäran.docx", "A 44697-2022")</f>
        <v/>
      </c>
      <c r="Y33">
        <f>HYPERLINK("https://klasma.github.io/Logging_0685/tillsynsmail/A 44697-2022 tillsynsbegäran mail.docx", "A 44697-2022")</f>
        <v/>
      </c>
    </row>
    <row r="34" ht="15" customHeight="1">
      <c r="A34" t="inlineStr">
        <is>
          <t>A 49634-2025</t>
        </is>
      </c>
      <c r="B34" s="1" t="n">
        <v>45939.60743055555</v>
      </c>
      <c r="C34" s="1" t="n">
        <v>45962</v>
      </c>
      <c r="D34" t="inlineStr">
        <is>
          <t>JÖNKÖPINGS LÄN</t>
        </is>
      </c>
      <c r="E34" t="inlineStr">
        <is>
          <t>JÖNKÖPING</t>
        </is>
      </c>
      <c r="G34" t="n">
        <v>3.4</v>
      </c>
      <c r="H34" t="n">
        <v>3</v>
      </c>
      <c r="I34" t="n">
        <v>0</v>
      </c>
      <c r="J34" t="n">
        <v>1</v>
      </c>
      <c r="K34" t="n">
        <v>2</v>
      </c>
      <c r="L34" t="n">
        <v>0</v>
      </c>
      <c r="M34" t="n">
        <v>0</v>
      </c>
      <c r="N34" t="n">
        <v>0</v>
      </c>
      <c r="O34" t="n">
        <v>3</v>
      </c>
      <c r="P34" t="n">
        <v>2</v>
      </c>
      <c r="Q34" t="n">
        <v>5</v>
      </c>
      <c r="R34" s="2" t="inlineStr">
        <is>
          <t>Knärot
Slåttergubbe
Svinrot
Grönvit nattviol
Nattviol</t>
        </is>
      </c>
      <c r="S34">
        <f>HYPERLINK("https://klasma.github.io/Logging_0680/artfynd/A 49634-2025 artfynd.xlsx", "A 49634-2025")</f>
        <v/>
      </c>
      <c r="T34">
        <f>HYPERLINK("https://klasma.github.io/Logging_0680/kartor/A 49634-2025 karta.png", "A 49634-2025")</f>
        <v/>
      </c>
      <c r="U34">
        <f>HYPERLINK("https://klasma.github.io/Logging_0680/knärot/A 49634-2025 karta knärot.png", "A 49634-2025")</f>
        <v/>
      </c>
      <c r="V34">
        <f>HYPERLINK("https://klasma.github.io/Logging_0680/klagomål/A 49634-2025 FSC-klagomål.docx", "A 49634-2025")</f>
        <v/>
      </c>
      <c r="W34">
        <f>HYPERLINK("https://klasma.github.io/Logging_0680/klagomålsmail/A 49634-2025 FSC-klagomål mail.docx", "A 49634-2025")</f>
        <v/>
      </c>
      <c r="X34">
        <f>HYPERLINK("https://klasma.github.io/Logging_0680/tillsyn/A 49634-2025 tillsynsbegäran.docx", "A 49634-2025")</f>
        <v/>
      </c>
      <c r="Y34">
        <f>HYPERLINK("https://klasma.github.io/Logging_0680/tillsynsmail/A 49634-2025 tillsynsbegäran mail.docx", "A 49634-2025")</f>
        <v/>
      </c>
    </row>
    <row r="35" ht="15" customHeight="1">
      <c r="A35" t="inlineStr">
        <is>
          <t>A 43634-2025</t>
        </is>
      </c>
      <c r="B35" s="1" t="n">
        <v>45911.71143518519</v>
      </c>
      <c r="C35" s="1" t="n">
        <v>45962</v>
      </c>
      <c r="D35" t="inlineStr">
        <is>
          <t>JÖNKÖPINGS LÄN</t>
        </is>
      </c>
      <c r="E35" t="inlineStr">
        <is>
          <t>ANEBY</t>
        </is>
      </c>
      <c r="G35" t="n">
        <v>3.3</v>
      </c>
      <c r="H35" t="n">
        <v>1</v>
      </c>
      <c r="I35" t="n">
        <v>4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5</v>
      </c>
      <c r="R35" s="2" t="inlineStr">
        <is>
          <t>Grönsångare
Sotlav
Underviol
Vätteros
Vårärt</t>
        </is>
      </c>
      <c r="S35">
        <f>HYPERLINK("https://klasma.github.io/Logging_0604/artfynd/A 43634-2025 artfynd.xlsx", "A 43634-2025")</f>
        <v/>
      </c>
      <c r="T35">
        <f>HYPERLINK("https://klasma.github.io/Logging_0604/kartor/A 43634-2025 karta.png", "A 43634-2025")</f>
        <v/>
      </c>
      <c r="V35">
        <f>HYPERLINK("https://klasma.github.io/Logging_0604/klagomål/A 43634-2025 FSC-klagomål.docx", "A 43634-2025")</f>
        <v/>
      </c>
      <c r="W35">
        <f>HYPERLINK("https://klasma.github.io/Logging_0604/klagomålsmail/A 43634-2025 FSC-klagomål mail.docx", "A 43634-2025")</f>
        <v/>
      </c>
      <c r="X35">
        <f>HYPERLINK("https://klasma.github.io/Logging_0604/tillsyn/A 43634-2025 tillsynsbegäran.docx", "A 43634-2025")</f>
        <v/>
      </c>
      <c r="Y35">
        <f>HYPERLINK("https://klasma.github.io/Logging_0604/tillsynsmail/A 43634-2025 tillsynsbegäran mail.docx", "A 43634-2025")</f>
        <v/>
      </c>
      <c r="Z35">
        <f>HYPERLINK("https://klasma.github.io/Logging_0604/fåglar/A 43634-2025 prioriterade fågelarter.docx", "A 43634-2025")</f>
        <v/>
      </c>
    </row>
    <row r="36" ht="15" customHeight="1">
      <c r="A36" t="inlineStr">
        <is>
          <t>A 47348-2025</t>
        </is>
      </c>
      <c r="B36" s="1" t="n">
        <v>45930</v>
      </c>
      <c r="C36" s="1" t="n">
        <v>45962</v>
      </c>
      <c r="D36" t="inlineStr">
        <is>
          <t>JÖNKÖPINGS LÄN</t>
        </is>
      </c>
      <c r="E36" t="inlineStr">
        <is>
          <t>VETLANDA</t>
        </is>
      </c>
      <c r="F36" t="inlineStr">
        <is>
          <t>Kyrkan</t>
        </is>
      </c>
      <c r="G36" t="n">
        <v>1.5</v>
      </c>
      <c r="H36" t="n">
        <v>1</v>
      </c>
      <c r="I36" t="n">
        <v>2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  <c r="O36" t="n">
        <v>2</v>
      </c>
      <c r="P36" t="n">
        <v>1</v>
      </c>
      <c r="Q36" t="n">
        <v>5</v>
      </c>
      <c r="R36" s="2" t="inlineStr">
        <is>
          <t>Slåttergubbe
Motaggsvamp
Blåmossa
Grönpyrola
Blåsippa</t>
        </is>
      </c>
      <c r="S36">
        <f>HYPERLINK("https://klasma.github.io/Logging_0685/artfynd/A 47348-2025 artfynd.xlsx", "A 47348-2025")</f>
        <v/>
      </c>
      <c r="T36">
        <f>HYPERLINK("https://klasma.github.io/Logging_0685/kartor/A 47348-2025 karta.png", "A 47348-2025")</f>
        <v/>
      </c>
      <c r="V36">
        <f>HYPERLINK("https://klasma.github.io/Logging_0685/klagomål/A 47348-2025 FSC-klagomål.docx", "A 47348-2025")</f>
        <v/>
      </c>
      <c r="W36">
        <f>HYPERLINK("https://klasma.github.io/Logging_0685/klagomålsmail/A 47348-2025 FSC-klagomål mail.docx", "A 47348-2025")</f>
        <v/>
      </c>
      <c r="X36">
        <f>HYPERLINK("https://klasma.github.io/Logging_0685/tillsyn/A 47348-2025 tillsynsbegäran.docx", "A 47348-2025")</f>
        <v/>
      </c>
      <c r="Y36">
        <f>HYPERLINK("https://klasma.github.io/Logging_0685/tillsynsmail/A 47348-2025 tillsynsbegäran mail.docx", "A 47348-2025")</f>
        <v/>
      </c>
    </row>
    <row r="37" ht="15" customHeight="1">
      <c r="A37" t="inlineStr">
        <is>
          <t>A 36431-2021</t>
        </is>
      </c>
      <c r="B37" s="1" t="n">
        <v>44390</v>
      </c>
      <c r="C37" s="1" t="n">
        <v>45962</v>
      </c>
      <c r="D37" t="inlineStr">
        <is>
          <t>JÖNKÖPINGS LÄN</t>
        </is>
      </c>
      <c r="E37" t="inlineStr">
        <is>
          <t>HABO</t>
        </is>
      </c>
      <c r="G37" t="n">
        <v>3.2</v>
      </c>
      <c r="H37" t="n">
        <v>0</v>
      </c>
      <c r="I37" t="n">
        <v>3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4</v>
      </c>
      <c r="R37" s="2" t="inlineStr">
        <is>
          <t>Svart taggsvamp
Blomkålssvamp
Dropptaggsvamp
Skarp dropptaggsvamp</t>
        </is>
      </c>
      <c r="S37">
        <f>HYPERLINK("https://klasma.github.io/Logging_0643/artfynd/A 36431-2021 artfynd.xlsx", "A 36431-2021")</f>
        <v/>
      </c>
      <c r="T37">
        <f>HYPERLINK("https://klasma.github.io/Logging_0643/kartor/A 36431-2021 karta.png", "A 36431-2021")</f>
        <v/>
      </c>
      <c r="V37">
        <f>HYPERLINK("https://klasma.github.io/Logging_0643/klagomål/A 36431-2021 FSC-klagomål.docx", "A 36431-2021")</f>
        <v/>
      </c>
      <c r="W37">
        <f>HYPERLINK("https://klasma.github.io/Logging_0643/klagomålsmail/A 36431-2021 FSC-klagomål mail.docx", "A 36431-2021")</f>
        <v/>
      </c>
      <c r="X37">
        <f>HYPERLINK("https://klasma.github.io/Logging_0643/tillsyn/A 36431-2021 tillsynsbegäran.docx", "A 36431-2021")</f>
        <v/>
      </c>
      <c r="Y37">
        <f>HYPERLINK("https://klasma.github.io/Logging_0643/tillsynsmail/A 36431-2021 tillsynsbegäran mail.docx", "A 36431-2021")</f>
        <v/>
      </c>
    </row>
    <row r="38" ht="15" customHeight="1">
      <c r="A38" t="inlineStr">
        <is>
          <t>A 38452-2023</t>
        </is>
      </c>
      <c r="B38" s="1" t="n">
        <v>45162</v>
      </c>
      <c r="C38" s="1" t="n">
        <v>45962</v>
      </c>
      <c r="D38" t="inlineStr">
        <is>
          <t>JÖNKÖPINGS LÄN</t>
        </is>
      </c>
      <c r="E38" t="inlineStr">
        <is>
          <t>TRANÅS</t>
        </is>
      </c>
      <c r="G38" t="n">
        <v>2.2</v>
      </c>
      <c r="H38" t="n">
        <v>2</v>
      </c>
      <c r="I38" t="n">
        <v>0</v>
      </c>
      <c r="J38" t="n">
        <v>0</v>
      </c>
      <c r="K38" t="n">
        <v>1</v>
      </c>
      <c r="L38" t="n">
        <v>1</v>
      </c>
      <c r="M38" t="n">
        <v>0</v>
      </c>
      <c r="N38" t="n">
        <v>0</v>
      </c>
      <c r="O38" t="n">
        <v>2</v>
      </c>
      <c r="P38" t="n">
        <v>2</v>
      </c>
      <c r="Q38" t="n">
        <v>4</v>
      </c>
      <c r="R38" s="2" t="inlineStr">
        <is>
          <t>Ask
Liten blekspik
Grönvit nattviol
Blåsippa</t>
        </is>
      </c>
      <c r="S38">
        <f>HYPERLINK("https://klasma.github.io/Logging_0687/artfynd/A 38452-2023 artfynd.xlsx", "A 38452-2023")</f>
        <v/>
      </c>
      <c r="T38">
        <f>HYPERLINK("https://klasma.github.io/Logging_0687/kartor/A 38452-2023 karta.png", "A 38452-2023")</f>
        <v/>
      </c>
      <c r="V38">
        <f>HYPERLINK("https://klasma.github.io/Logging_0687/klagomål/A 38452-2023 FSC-klagomål.docx", "A 38452-2023")</f>
        <v/>
      </c>
      <c r="W38">
        <f>HYPERLINK("https://klasma.github.io/Logging_0687/klagomålsmail/A 38452-2023 FSC-klagomål mail.docx", "A 38452-2023")</f>
        <v/>
      </c>
      <c r="X38">
        <f>HYPERLINK("https://klasma.github.io/Logging_0687/tillsyn/A 38452-2023 tillsynsbegäran.docx", "A 38452-2023")</f>
        <v/>
      </c>
      <c r="Y38">
        <f>HYPERLINK("https://klasma.github.io/Logging_0687/tillsynsmail/A 38452-2023 tillsynsbegäran mail.docx", "A 38452-2023")</f>
        <v/>
      </c>
    </row>
    <row r="39" ht="15" customHeight="1">
      <c r="A39" t="inlineStr">
        <is>
          <t>A 3519-2025</t>
        </is>
      </c>
      <c r="B39" s="1" t="n">
        <v>45680</v>
      </c>
      <c r="C39" s="1" t="n">
        <v>45962</v>
      </c>
      <c r="D39" t="inlineStr">
        <is>
          <t>JÖNKÖPINGS LÄN</t>
        </is>
      </c>
      <c r="E39" t="inlineStr">
        <is>
          <t>NÄSSJÖ</t>
        </is>
      </c>
      <c r="G39" t="n">
        <v>5.7</v>
      </c>
      <c r="H39" t="n">
        <v>2</v>
      </c>
      <c r="I39" t="n">
        <v>2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4</v>
      </c>
      <c r="R39" s="2" t="inlineStr">
        <is>
          <t>Svart trolldruva
Vårärt
Grönvit nattviol
Blåsippa</t>
        </is>
      </c>
      <c r="S39">
        <f>HYPERLINK("https://klasma.github.io/Logging_0682/artfynd/A 3519-2025 artfynd.xlsx", "A 3519-2025")</f>
        <v/>
      </c>
      <c r="T39">
        <f>HYPERLINK("https://klasma.github.io/Logging_0682/kartor/A 3519-2025 karta.png", "A 3519-2025")</f>
        <v/>
      </c>
      <c r="V39">
        <f>HYPERLINK("https://klasma.github.io/Logging_0682/klagomål/A 3519-2025 FSC-klagomål.docx", "A 3519-2025")</f>
        <v/>
      </c>
      <c r="W39">
        <f>HYPERLINK("https://klasma.github.io/Logging_0682/klagomålsmail/A 3519-2025 FSC-klagomål mail.docx", "A 3519-2025")</f>
        <v/>
      </c>
      <c r="X39">
        <f>HYPERLINK("https://klasma.github.io/Logging_0682/tillsyn/A 3519-2025 tillsynsbegäran.docx", "A 3519-2025")</f>
        <v/>
      </c>
      <c r="Y39">
        <f>HYPERLINK("https://klasma.github.io/Logging_0682/tillsynsmail/A 3519-2025 tillsynsbegäran mail.docx", "A 3519-2025")</f>
        <v/>
      </c>
    </row>
    <row r="40" ht="15" customHeight="1">
      <c r="A40" t="inlineStr">
        <is>
          <t>A 410-2022</t>
        </is>
      </c>
      <c r="B40" s="1" t="n">
        <v>44565</v>
      </c>
      <c r="C40" s="1" t="n">
        <v>45962</v>
      </c>
      <c r="D40" t="inlineStr">
        <is>
          <t>JÖNKÖPINGS LÄN</t>
        </is>
      </c>
      <c r="E40" t="inlineStr">
        <is>
          <t>ANEBY</t>
        </is>
      </c>
      <c r="G40" t="n">
        <v>7.3</v>
      </c>
      <c r="H40" t="n">
        <v>1</v>
      </c>
      <c r="I40" t="n">
        <v>1</v>
      </c>
      <c r="J40" t="n">
        <v>2</v>
      </c>
      <c r="K40" t="n">
        <v>1</v>
      </c>
      <c r="L40" t="n">
        <v>0</v>
      </c>
      <c r="M40" t="n">
        <v>0</v>
      </c>
      <c r="N40" t="n">
        <v>0</v>
      </c>
      <c r="O40" t="n">
        <v>3</v>
      </c>
      <c r="P40" t="n">
        <v>1</v>
      </c>
      <c r="Q40" t="n">
        <v>4</v>
      </c>
      <c r="R40" s="2" t="inlineStr">
        <is>
          <t>Knärot
Grå blåbärsfältmätare
Skogshare
Grönpyrola</t>
        </is>
      </c>
      <c r="S40">
        <f>HYPERLINK("https://klasma.github.io/Logging_0604/artfynd/A 410-2022 artfynd.xlsx", "A 410-2022")</f>
        <v/>
      </c>
      <c r="T40">
        <f>HYPERLINK("https://klasma.github.io/Logging_0604/kartor/A 410-2022 karta.png", "A 410-2022")</f>
        <v/>
      </c>
      <c r="U40">
        <f>HYPERLINK("https://klasma.github.io/Logging_0604/knärot/A 410-2022 karta knärot.png", "A 410-2022")</f>
        <v/>
      </c>
      <c r="V40">
        <f>HYPERLINK("https://klasma.github.io/Logging_0604/klagomål/A 410-2022 FSC-klagomål.docx", "A 410-2022")</f>
        <v/>
      </c>
      <c r="W40">
        <f>HYPERLINK("https://klasma.github.io/Logging_0604/klagomålsmail/A 410-2022 FSC-klagomål mail.docx", "A 410-2022")</f>
        <v/>
      </c>
      <c r="X40">
        <f>HYPERLINK("https://klasma.github.io/Logging_0604/tillsyn/A 410-2022 tillsynsbegäran.docx", "A 410-2022")</f>
        <v/>
      </c>
      <c r="Y40">
        <f>HYPERLINK("https://klasma.github.io/Logging_0604/tillsynsmail/A 410-2022 tillsynsbegäran mail.docx", "A 410-2022")</f>
        <v/>
      </c>
    </row>
    <row r="41" ht="15" customHeight="1">
      <c r="A41" t="inlineStr">
        <is>
          <t>A 18316-2024</t>
        </is>
      </c>
      <c r="B41" s="1" t="n">
        <v>45422.50605324074</v>
      </c>
      <c r="C41" s="1" t="n">
        <v>45962</v>
      </c>
      <c r="D41" t="inlineStr">
        <is>
          <t>JÖNKÖPINGS LÄN</t>
        </is>
      </c>
      <c r="E41" t="inlineStr">
        <is>
          <t>TRANÅS</t>
        </is>
      </c>
      <c r="G41" t="n">
        <v>0.7</v>
      </c>
      <c r="H41" t="n">
        <v>0</v>
      </c>
      <c r="I41" t="n">
        <v>3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4</v>
      </c>
      <c r="R41" s="2" t="inlineStr">
        <is>
          <t>Gransotdyna
Bårdlav
Kornig nållav
Rostfläck</t>
        </is>
      </c>
      <c r="S41">
        <f>HYPERLINK("https://klasma.github.io/Logging_0687/artfynd/A 18316-2024 artfynd.xlsx", "A 18316-2024")</f>
        <v/>
      </c>
      <c r="T41">
        <f>HYPERLINK("https://klasma.github.io/Logging_0687/kartor/A 18316-2024 karta.png", "A 18316-2024")</f>
        <v/>
      </c>
      <c r="V41">
        <f>HYPERLINK("https://klasma.github.io/Logging_0687/klagomål/A 18316-2024 FSC-klagomål.docx", "A 18316-2024")</f>
        <v/>
      </c>
      <c r="W41">
        <f>HYPERLINK("https://klasma.github.io/Logging_0687/klagomålsmail/A 18316-2024 FSC-klagomål mail.docx", "A 18316-2024")</f>
        <v/>
      </c>
      <c r="X41">
        <f>HYPERLINK("https://klasma.github.io/Logging_0687/tillsyn/A 18316-2024 tillsynsbegäran.docx", "A 18316-2024")</f>
        <v/>
      </c>
      <c r="Y41">
        <f>HYPERLINK("https://klasma.github.io/Logging_0687/tillsynsmail/A 18316-2024 tillsynsbegäran mail.docx", "A 18316-2024")</f>
        <v/>
      </c>
    </row>
    <row r="42" ht="15" customHeight="1">
      <c r="A42" t="inlineStr">
        <is>
          <t>A 47577-2023</t>
        </is>
      </c>
      <c r="B42" s="1" t="n">
        <v>45203</v>
      </c>
      <c r="C42" s="1" t="n">
        <v>45962</v>
      </c>
      <c r="D42" t="inlineStr">
        <is>
          <t>JÖNKÖPINGS LÄN</t>
        </is>
      </c>
      <c r="E42" t="inlineStr">
        <is>
          <t>VETLANDA</t>
        </is>
      </c>
      <c r="G42" t="n">
        <v>5.6</v>
      </c>
      <c r="H42" t="n">
        <v>1</v>
      </c>
      <c r="I42" t="n">
        <v>2</v>
      </c>
      <c r="J42" t="n">
        <v>0</v>
      </c>
      <c r="K42" t="n">
        <v>2</v>
      </c>
      <c r="L42" t="n">
        <v>0</v>
      </c>
      <c r="M42" t="n">
        <v>0</v>
      </c>
      <c r="N42" t="n">
        <v>0</v>
      </c>
      <c r="O42" t="n">
        <v>2</v>
      </c>
      <c r="P42" t="n">
        <v>2</v>
      </c>
      <c r="Q42" t="n">
        <v>4</v>
      </c>
      <c r="R42" s="2" t="inlineStr">
        <is>
          <t>Citronfingersvamp
Knärot
Blomkålssvamp
Grönpyrola</t>
        </is>
      </c>
      <c r="S42">
        <f>HYPERLINK("https://klasma.github.io/Logging_0685/artfynd/A 47577-2023 artfynd.xlsx", "A 47577-2023")</f>
        <v/>
      </c>
      <c r="T42">
        <f>HYPERLINK("https://klasma.github.io/Logging_0685/kartor/A 47577-2023 karta.png", "A 47577-2023")</f>
        <v/>
      </c>
      <c r="U42">
        <f>HYPERLINK("https://klasma.github.io/Logging_0685/knärot/A 47577-2023 karta knärot.png", "A 47577-2023")</f>
        <v/>
      </c>
      <c r="V42">
        <f>HYPERLINK("https://klasma.github.io/Logging_0685/klagomål/A 47577-2023 FSC-klagomål.docx", "A 47577-2023")</f>
        <v/>
      </c>
      <c r="W42">
        <f>HYPERLINK("https://klasma.github.io/Logging_0685/klagomålsmail/A 47577-2023 FSC-klagomål mail.docx", "A 47577-2023")</f>
        <v/>
      </c>
      <c r="X42">
        <f>HYPERLINK("https://klasma.github.io/Logging_0685/tillsyn/A 47577-2023 tillsynsbegäran.docx", "A 47577-2023")</f>
        <v/>
      </c>
      <c r="Y42">
        <f>HYPERLINK("https://klasma.github.io/Logging_0685/tillsynsmail/A 47577-2023 tillsynsbegäran mail.docx", "A 47577-2023")</f>
        <v/>
      </c>
    </row>
    <row r="43" ht="15" customHeight="1">
      <c r="A43" t="inlineStr">
        <is>
          <t>A 55371-2024</t>
        </is>
      </c>
      <c r="B43" s="1" t="n">
        <v>45621.90853009259</v>
      </c>
      <c r="C43" s="1" t="n">
        <v>45962</v>
      </c>
      <c r="D43" t="inlineStr">
        <is>
          <t>JÖNKÖPINGS LÄN</t>
        </is>
      </c>
      <c r="E43" t="inlineStr">
        <is>
          <t>HABO</t>
        </is>
      </c>
      <c r="G43" t="n">
        <v>10.6</v>
      </c>
      <c r="H43" t="n">
        <v>0</v>
      </c>
      <c r="I43" t="n">
        <v>3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4</v>
      </c>
      <c r="R43" s="2" t="inlineStr">
        <is>
          <t>Motaggsvamp
Blomkålssvamp
Dropptaggsvamp
Mindre märgborre</t>
        </is>
      </c>
      <c r="S43">
        <f>HYPERLINK("https://klasma.github.io/Logging_0643/artfynd/A 55371-2024 artfynd.xlsx", "A 55371-2024")</f>
        <v/>
      </c>
      <c r="T43">
        <f>HYPERLINK("https://klasma.github.io/Logging_0643/kartor/A 55371-2024 karta.png", "A 55371-2024")</f>
        <v/>
      </c>
      <c r="V43">
        <f>HYPERLINK("https://klasma.github.io/Logging_0643/klagomål/A 55371-2024 FSC-klagomål.docx", "A 55371-2024")</f>
        <v/>
      </c>
      <c r="W43">
        <f>HYPERLINK("https://klasma.github.io/Logging_0643/klagomålsmail/A 55371-2024 FSC-klagomål mail.docx", "A 55371-2024")</f>
        <v/>
      </c>
      <c r="X43">
        <f>HYPERLINK("https://klasma.github.io/Logging_0643/tillsyn/A 55371-2024 tillsynsbegäran.docx", "A 55371-2024")</f>
        <v/>
      </c>
      <c r="Y43">
        <f>HYPERLINK("https://klasma.github.io/Logging_0643/tillsynsmail/A 55371-2024 tillsynsbegäran mail.docx", "A 55371-2024")</f>
        <v/>
      </c>
    </row>
    <row r="44" ht="15" customHeight="1">
      <c r="A44" t="inlineStr">
        <is>
          <t>A 11258-2023</t>
        </is>
      </c>
      <c r="B44" s="1" t="n">
        <v>44992</v>
      </c>
      <c r="C44" s="1" t="n">
        <v>45962</v>
      </c>
      <c r="D44" t="inlineStr">
        <is>
          <t>JÖNKÖPINGS LÄN</t>
        </is>
      </c>
      <c r="E44" t="inlineStr">
        <is>
          <t>JÖNKÖPING</t>
        </is>
      </c>
      <c r="G44" t="n">
        <v>2.3</v>
      </c>
      <c r="H44" t="n">
        <v>3</v>
      </c>
      <c r="I44" t="n">
        <v>2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4</v>
      </c>
      <c r="R44" s="2" t="inlineStr">
        <is>
          <t>Knärot
Grönpyrola
Spindelblomster
Grönvit nattviol</t>
        </is>
      </c>
      <c r="S44">
        <f>HYPERLINK("https://klasma.github.io/Logging_0680/artfynd/A 11258-2023 artfynd.xlsx", "A 11258-2023")</f>
        <v/>
      </c>
      <c r="T44">
        <f>HYPERLINK("https://klasma.github.io/Logging_0680/kartor/A 11258-2023 karta.png", "A 11258-2023")</f>
        <v/>
      </c>
      <c r="U44">
        <f>HYPERLINK("https://klasma.github.io/Logging_0680/knärot/A 11258-2023 karta knärot.png", "A 11258-2023")</f>
        <v/>
      </c>
      <c r="V44">
        <f>HYPERLINK("https://klasma.github.io/Logging_0680/klagomål/A 11258-2023 FSC-klagomål.docx", "A 11258-2023")</f>
        <v/>
      </c>
      <c r="W44">
        <f>HYPERLINK("https://klasma.github.io/Logging_0680/klagomålsmail/A 11258-2023 FSC-klagomål mail.docx", "A 11258-2023")</f>
        <v/>
      </c>
      <c r="X44">
        <f>HYPERLINK("https://klasma.github.io/Logging_0680/tillsyn/A 11258-2023 tillsynsbegäran.docx", "A 11258-2023")</f>
        <v/>
      </c>
      <c r="Y44">
        <f>HYPERLINK("https://klasma.github.io/Logging_0680/tillsynsmail/A 11258-2023 tillsynsbegäran mail.docx", "A 11258-2023")</f>
        <v/>
      </c>
    </row>
    <row r="45" ht="15" customHeight="1">
      <c r="A45" t="inlineStr">
        <is>
          <t>A 10480-2023</t>
        </is>
      </c>
      <c r="B45" s="1" t="n">
        <v>44987</v>
      </c>
      <c r="C45" s="1" t="n">
        <v>45962</v>
      </c>
      <c r="D45" t="inlineStr">
        <is>
          <t>JÖNKÖPINGS LÄN</t>
        </is>
      </c>
      <c r="E45" t="inlineStr">
        <is>
          <t>TRANÅS</t>
        </is>
      </c>
      <c r="G45" t="n">
        <v>3.6</v>
      </c>
      <c r="H45" t="n">
        <v>2</v>
      </c>
      <c r="I45" t="n">
        <v>2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4</v>
      </c>
      <c r="R45" s="2" t="inlineStr">
        <is>
          <t>Svart trolldruva
Underviol
Blåsippa
Gullviva</t>
        </is>
      </c>
      <c r="S45">
        <f>HYPERLINK("https://klasma.github.io/Logging_0687/artfynd/A 10480-2023 artfynd.xlsx", "A 10480-2023")</f>
        <v/>
      </c>
      <c r="T45">
        <f>HYPERLINK("https://klasma.github.io/Logging_0687/kartor/A 10480-2023 karta.png", "A 10480-2023")</f>
        <v/>
      </c>
      <c r="V45">
        <f>HYPERLINK("https://klasma.github.io/Logging_0687/klagomål/A 10480-2023 FSC-klagomål.docx", "A 10480-2023")</f>
        <v/>
      </c>
      <c r="W45">
        <f>HYPERLINK("https://klasma.github.io/Logging_0687/klagomålsmail/A 10480-2023 FSC-klagomål mail.docx", "A 10480-2023")</f>
        <v/>
      </c>
      <c r="X45">
        <f>HYPERLINK("https://klasma.github.io/Logging_0687/tillsyn/A 10480-2023 tillsynsbegäran.docx", "A 10480-2023")</f>
        <v/>
      </c>
      <c r="Y45">
        <f>HYPERLINK("https://klasma.github.io/Logging_0687/tillsynsmail/A 10480-2023 tillsynsbegäran mail.docx", "A 10480-2023")</f>
        <v/>
      </c>
    </row>
    <row r="46" ht="15" customHeight="1">
      <c r="A46" t="inlineStr">
        <is>
          <t>A 15408-2025</t>
        </is>
      </c>
      <c r="B46" s="1" t="n">
        <v>45747</v>
      </c>
      <c r="C46" s="1" t="n">
        <v>45962</v>
      </c>
      <c r="D46" t="inlineStr">
        <is>
          <t>JÖNKÖPINGS LÄN</t>
        </is>
      </c>
      <c r="E46" t="inlineStr">
        <is>
          <t>SÄVSJÖ</t>
        </is>
      </c>
      <c r="G46" t="n">
        <v>4.4</v>
      </c>
      <c r="H46" t="n">
        <v>1</v>
      </c>
      <c r="I46" t="n">
        <v>0</v>
      </c>
      <c r="J46" t="n">
        <v>2</v>
      </c>
      <c r="K46" t="n">
        <v>0</v>
      </c>
      <c r="L46" t="n">
        <v>1</v>
      </c>
      <c r="M46" t="n">
        <v>0</v>
      </c>
      <c r="N46" t="n">
        <v>0</v>
      </c>
      <c r="O46" t="n">
        <v>3</v>
      </c>
      <c r="P46" t="n">
        <v>1</v>
      </c>
      <c r="Q46" t="n">
        <v>4</v>
      </c>
      <c r="R46" s="2" t="inlineStr">
        <is>
          <t>Ask
Backstarr
Sommarfibbla
Grönvit nattviol</t>
        </is>
      </c>
      <c r="S46">
        <f>HYPERLINK("https://klasma.github.io/Logging_0684/artfynd/A 15408-2025 artfynd.xlsx", "A 15408-2025")</f>
        <v/>
      </c>
      <c r="T46">
        <f>HYPERLINK("https://klasma.github.io/Logging_0684/kartor/A 15408-2025 karta.png", "A 15408-2025")</f>
        <v/>
      </c>
      <c r="V46">
        <f>HYPERLINK("https://klasma.github.io/Logging_0684/klagomål/A 15408-2025 FSC-klagomål.docx", "A 15408-2025")</f>
        <v/>
      </c>
      <c r="W46">
        <f>HYPERLINK("https://klasma.github.io/Logging_0684/klagomålsmail/A 15408-2025 FSC-klagomål mail.docx", "A 15408-2025")</f>
        <v/>
      </c>
      <c r="X46">
        <f>HYPERLINK("https://klasma.github.io/Logging_0684/tillsyn/A 15408-2025 tillsynsbegäran.docx", "A 15408-2025")</f>
        <v/>
      </c>
      <c r="Y46">
        <f>HYPERLINK("https://klasma.github.io/Logging_0684/tillsynsmail/A 15408-2025 tillsynsbegäran mail.docx", "A 15408-2025")</f>
        <v/>
      </c>
    </row>
    <row r="47" ht="15" customHeight="1">
      <c r="A47" t="inlineStr">
        <is>
          <t>A 36230-2024</t>
        </is>
      </c>
      <c r="B47" s="1" t="n">
        <v>45534</v>
      </c>
      <c r="C47" s="1" t="n">
        <v>45962</v>
      </c>
      <c r="D47" t="inlineStr">
        <is>
          <t>JÖNKÖPINGS LÄN</t>
        </is>
      </c>
      <c r="E47" t="inlineStr">
        <is>
          <t>HABO</t>
        </is>
      </c>
      <c r="F47" t="inlineStr">
        <is>
          <t>Allmännings- och besparingsskogar</t>
        </is>
      </c>
      <c r="G47" t="n">
        <v>6.5</v>
      </c>
      <c r="H47" t="n">
        <v>0</v>
      </c>
      <c r="I47" t="n">
        <v>2</v>
      </c>
      <c r="J47" t="n">
        <v>2</v>
      </c>
      <c r="K47" t="n">
        <v>0</v>
      </c>
      <c r="L47" t="n">
        <v>0</v>
      </c>
      <c r="M47" t="n">
        <v>0</v>
      </c>
      <c r="N47" t="n">
        <v>0</v>
      </c>
      <c r="O47" t="n">
        <v>2</v>
      </c>
      <c r="P47" t="n">
        <v>0</v>
      </c>
      <c r="Q47" t="n">
        <v>4</v>
      </c>
      <c r="R47" s="2" t="inlineStr">
        <is>
          <t>Motaggsvamp
Skrovlig taggsvamp
Dropptaggsvamp
Mindre märgborre</t>
        </is>
      </c>
      <c r="S47">
        <f>HYPERLINK("https://klasma.github.io/Logging_0643/artfynd/A 36230-2024 artfynd.xlsx", "A 36230-2024")</f>
        <v/>
      </c>
      <c r="T47">
        <f>HYPERLINK("https://klasma.github.io/Logging_0643/kartor/A 36230-2024 karta.png", "A 36230-2024")</f>
        <v/>
      </c>
      <c r="V47">
        <f>HYPERLINK("https://klasma.github.io/Logging_0643/klagomål/A 36230-2024 FSC-klagomål.docx", "A 36230-2024")</f>
        <v/>
      </c>
      <c r="W47">
        <f>HYPERLINK("https://klasma.github.io/Logging_0643/klagomålsmail/A 36230-2024 FSC-klagomål mail.docx", "A 36230-2024")</f>
        <v/>
      </c>
      <c r="X47">
        <f>HYPERLINK("https://klasma.github.io/Logging_0643/tillsyn/A 36230-2024 tillsynsbegäran.docx", "A 36230-2024")</f>
        <v/>
      </c>
      <c r="Y47">
        <f>HYPERLINK("https://klasma.github.io/Logging_0643/tillsynsmail/A 36230-2024 tillsynsbegäran mail.docx", "A 36230-2024")</f>
        <v/>
      </c>
    </row>
    <row r="48" ht="15" customHeight="1">
      <c r="A48" t="inlineStr">
        <is>
          <t>A 34092-2023</t>
        </is>
      </c>
      <c r="B48" s="1" t="n">
        <v>45135</v>
      </c>
      <c r="C48" s="1" t="n">
        <v>45962</v>
      </c>
      <c r="D48" t="inlineStr">
        <is>
          <t>JÖNKÖPINGS LÄN</t>
        </is>
      </c>
      <c r="E48" t="inlineStr">
        <is>
          <t>VETLANDA</t>
        </is>
      </c>
      <c r="G48" t="n">
        <v>4.5</v>
      </c>
      <c r="H48" t="n">
        <v>2</v>
      </c>
      <c r="I48" t="n">
        <v>1</v>
      </c>
      <c r="J48" t="n">
        <v>1</v>
      </c>
      <c r="K48" t="n">
        <v>1</v>
      </c>
      <c r="L48" t="n">
        <v>0</v>
      </c>
      <c r="M48" t="n">
        <v>0</v>
      </c>
      <c r="N48" t="n">
        <v>0</v>
      </c>
      <c r="O48" t="n">
        <v>2</v>
      </c>
      <c r="P48" t="n">
        <v>1</v>
      </c>
      <c r="Q48" t="n">
        <v>4</v>
      </c>
      <c r="R48" s="2" t="inlineStr">
        <is>
          <t>Knärot
Orange taggsvamp
Björksplintborre
Blåsippa</t>
        </is>
      </c>
      <c r="S48">
        <f>HYPERLINK("https://klasma.github.io/Logging_0685/artfynd/A 34092-2023 artfynd.xlsx", "A 34092-2023")</f>
        <v/>
      </c>
      <c r="T48">
        <f>HYPERLINK("https://klasma.github.io/Logging_0685/kartor/A 34092-2023 karta.png", "A 34092-2023")</f>
        <v/>
      </c>
      <c r="U48">
        <f>HYPERLINK("https://klasma.github.io/Logging_0685/knärot/A 34092-2023 karta knärot.png", "A 34092-2023")</f>
        <v/>
      </c>
      <c r="V48">
        <f>HYPERLINK("https://klasma.github.io/Logging_0685/klagomål/A 34092-2023 FSC-klagomål.docx", "A 34092-2023")</f>
        <v/>
      </c>
      <c r="W48">
        <f>HYPERLINK("https://klasma.github.io/Logging_0685/klagomålsmail/A 34092-2023 FSC-klagomål mail.docx", "A 34092-2023")</f>
        <v/>
      </c>
      <c r="X48">
        <f>HYPERLINK("https://klasma.github.io/Logging_0685/tillsyn/A 34092-2023 tillsynsbegäran.docx", "A 34092-2023")</f>
        <v/>
      </c>
      <c r="Y48">
        <f>HYPERLINK("https://klasma.github.io/Logging_0685/tillsynsmail/A 34092-2023 tillsynsbegäran mail.docx", "A 34092-2023")</f>
        <v/>
      </c>
    </row>
    <row r="49" ht="15" customHeight="1">
      <c r="A49" t="inlineStr">
        <is>
          <t>A 26880-2025</t>
        </is>
      </c>
      <c r="B49" s="1" t="n">
        <v>45810.83770833333</v>
      </c>
      <c r="C49" s="1" t="n">
        <v>45962</v>
      </c>
      <c r="D49" t="inlineStr">
        <is>
          <t>JÖNKÖPINGS LÄN</t>
        </is>
      </c>
      <c r="E49" t="inlineStr">
        <is>
          <t>HABO</t>
        </is>
      </c>
      <c r="G49" t="n">
        <v>11.4</v>
      </c>
      <c r="H49" t="n">
        <v>0</v>
      </c>
      <c r="I49" t="n">
        <v>3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4</v>
      </c>
      <c r="R49" s="2" t="inlineStr">
        <is>
          <t>Motaggsvamp
Blomkålssvamp
Dropptaggsvamp
Mindre märgborre</t>
        </is>
      </c>
      <c r="S49">
        <f>HYPERLINK("https://klasma.github.io/Logging_0643/artfynd/A 26880-2025 artfynd.xlsx", "A 26880-2025")</f>
        <v/>
      </c>
      <c r="T49">
        <f>HYPERLINK("https://klasma.github.io/Logging_0643/kartor/A 26880-2025 karta.png", "A 26880-2025")</f>
        <v/>
      </c>
      <c r="V49">
        <f>HYPERLINK("https://klasma.github.io/Logging_0643/klagomål/A 26880-2025 FSC-klagomål.docx", "A 26880-2025")</f>
        <v/>
      </c>
      <c r="W49">
        <f>HYPERLINK("https://klasma.github.io/Logging_0643/klagomålsmail/A 26880-2025 FSC-klagomål mail.docx", "A 26880-2025")</f>
        <v/>
      </c>
      <c r="X49">
        <f>HYPERLINK("https://klasma.github.io/Logging_0643/tillsyn/A 26880-2025 tillsynsbegäran.docx", "A 26880-2025")</f>
        <v/>
      </c>
      <c r="Y49">
        <f>HYPERLINK("https://klasma.github.io/Logging_0643/tillsynsmail/A 26880-2025 tillsynsbegäran mail.docx", "A 26880-2025")</f>
        <v/>
      </c>
    </row>
    <row r="50" ht="15" customHeight="1">
      <c r="A50" t="inlineStr">
        <is>
          <t>A 34351-2025</t>
        </is>
      </c>
      <c r="B50" s="1" t="n">
        <v>45846.47335648148</v>
      </c>
      <c r="C50" s="1" t="n">
        <v>45962</v>
      </c>
      <c r="D50" t="inlineStr">
        <is>
          <t>JÖNKÖPINGS LÄN</t>
        </is>
      </c>
      <c r="E50" t="inlineStr">
        <is>
          <t>JÖNKÖPING</t>
        </is>
      </c>
      <c r="G50" t="n">
        <v>2.5</v>
      </c>
      <c r="H50" t="n">
        <v>1</v>
      </c>
      <c r="I50" t="n">
        <v>2</v>
      </c>
      <c r="J50" t="n">
        <v>1</v>
      </c>
      <c r="K50" t="n">
        <v>1</v>
      </c>
      <c r="L50" t="n">
        <v>0</v>
      </c>
      <c r="M50" t="n">
        <v>0</v>
      </c>
      <c r="N50" t="n">
        <v>0</v>
      </c>
      <c r="O50" t="n">
        <v>2</v>
      </c>
      <c r="P50" t="n">
        <v>1</v>
      </c>
      <c r="Q50" t="n">
        <v>4</v>
      </c>
      <c r="R50" s="2" t="inlineStr">
        <is>
          <t>Knärot
Gammelekslav
Bronshjon
Västlig hakmossa</t>
        </is>
      </c>
      <c r="S50">
        <f>HYPERLINK("https://klasma.github.io/Logging_0680/artfynd/A 34351-2025 artfynd.xlsx", "A 34351-2025")</f>
        <v/>
      </c>
      <c r="T50">
        <f>HYPERLINK("https://klasma.github.io/Logging_0680/kartor/A 34351-2025 karta.png", "A 34351-2025")</f>
        <v/>
      </c>
      <c r="U50">
        <f>HYPERLINK("https://klasma.github.io/Logging_0680/knärot/A 34351-2025 karta knärot.png", "A 34351-2025")</f>
        <v/>
      </c>
      <c r="V50">
        <f>HYPERLINK("https://klasma.github.io/Logging_0680/klagomål/A 34351-2025 FSC-klagomål.docx", "A 34351-2025")</f>
        <v/>
      </c>
      <c r="W50">
        <f>HYPERLINK("https://klasma.github.io/Logging_0680/klagomålsmail/A 34351-2025 FSC-klagomål mail.docx", "A 34351-2025")</f>
        <v/>
      </c>
      <c r="X50">
        <f>HYPERLINK("https://klasma.github.io/Logging_0680/tillsyn/A 34351-2025 tillsynsbegäran.docx", "A 34351-2025")</f>
        <v/>
      </c>
      <c r="Y50">
        <f>HYPERLINK("https://klasma.github.io/Logging_0680/tillsynsmail/A 34351-2025 tillsynsbegäran mail.docx", "A 34351-2025")</f>
        <v/>
      </c>
    </row>
    <row r="51" ht="15" customHeight="1">
      <c r="A51" t="inlineStr">
        <is>
          <t>A 22555-2025</t>
        </is>
      </c>
      <c r="B51" s="1" t="n">
        <v>45788.88578703703</v>
      </c>
      <c r="C51" s="1" t="n">
        <v>45962</v>
      </c>
      <c r="D51" t="inlineStr">
        <is>
          <t>JÖNKÖPINGS LÄN</t>
        </is>
      </c>
      <c r="E51" t="inlineStr">
        <is>
          <t>JÖNKÖPING</t>
        </is>
      </c>
      <c r="G51" t="n">
        <v>1.2</v>
      </c>
      <c r="H51" t="n">
        <v>2</v>
      </c>
      <c r="I51" t="n">
        <v>0</v>
      </c>
      <c r="J51" t="n">
        <v>2</v>
      </c>
      <c r="K51" t="n">
        <v>0</v>
      </c>
      <c r="L51" t="n">
        <v>0</v>
      </c>
      <c r="M51" t="n">
        <v>0</v>
      </c>
      <c r="N51" t="n">
        <v>0</v>
      </c>
      <c r="O51" t="n">
        <v>2</v>
      </c>
      <c r="P51" t="n">
        <v>0</v>
      </c>
      <c r="Q51" t="n">
        <v>4</v>
      </c>
      <c r="R51" s="2" t="inlineStr">
        <is>
          <t>Borsttåg
Åkerkulla
Fläcknycklar
Revlummer</t>
        </is>
      </c>
      <c r="S51">
        <f>HYPERLINK("https://klasma.github.io/Logging_0680/artfynd/A 22555-2025 artfynd.xlsx", "A 22555-2025")</f>
        <v/>
      </c>
      <c r="T51">
        <f>HYPERLINK("https://klasma.github.io/Logging_0680/kartor/A 22555-2025 karta.png", "A 22555-2025")</f>
        <v/>
      </c>
      <c r="V51">
        <f>HYPERLINK("https://klasma.github.io/Logging_0680/klagomål/A 22555-2025 FSC-klagomål.docx", "A 22555-2025")</f>
        <v/>
      </c>
      <c r="W51">
        <f>HYPERLINK("https://klasma.github.io/Logging_0680/klagomålsmail/A 22555-2025 FSC-klagomål mail.docx", "A 22555-2025")</f>
        <v/>
      </c>
      <c r="X51">
        <f>HYPERLINK("https://klasma.github.io/Logging_0680/tillsyn/A 22555-2025 tillsynsbegäran.docx", "A 22555-2025")</f>
        <v/>
      </c>
      <c r="Y51">
        <f>HYPERLINK("https://klasma.github.io/Logging_0680/tillsynsmail/A 22555-2025 tillsynsbegäran mail.docx", "A 22555-2025")</f>
        <v/>
      </c>
    </row>
    <row r="52" ht="15" customHeight="1">
      <c r="A52" t="inlineStr">
        <is>
          <t>A 37846-2025</t>
        </is>
      </c>
      <c r="B52" s="1" t="n">
        <v>45881.44344907408</v>
      </c>
      <c r="C52" s="1" t="n">
        <v>45962</v>
      </c>
      <c r="D52" t="inlineStr">
        <is>
          <t>JÖNKÖPINGS LÄN</t>
        </is>
      </c>
      <c r="E52" t="inlineStr">
        <is>
          <t>NÄSSJÖ</t>
        </is>
      </c>
      <c r="G52" t="n">
        <v>2.7</v>
      </c>
      <c r="H52" t="n">
        <v>1</v>
      </c>
      <c r="I52" t="n">
        <v>1</v>
      </c>
      <c r="J52" t="n">
        <v>3</v>
      </c>
      <c r="K52" t="n">
        <v>0</v>
      </c>
      <c r="L52" t="n">
        <v>0</v>
      </c>
      <c r="M52" t="n">
        <v>0</v>
      </c>
      <c r="N52" t="n">
        <v>0</v>
      </c>
      <c r="O52" t="n">
        <v>3</v>
      </c>
      <c r="P52" t="n">
        <v>0</v>
      </c>
      <c r="Q52" t="n">
        <v>4</v>
      </c>
      <c r="R52" s="2" t="inlineStr">
        <is>
          <t>Slåtterfibbla
Sommarfibbla
Ängsstarr
Tvåblad</t>
        </is>
      </c>
      <c r="S52">
        <f>HYPERLINK("https://klasma.github.io/Logging_0682/artfynd/A 37846-2025 artfynd.xlsx", "A 37846-2025")</f>
        <v/>
      </c>
      <c r="T52">
        <f>HYPERLINK("https://klasma.github.io/Logging_0682/kartor/A 37846-2025 karta.png", "A 37846-2025")</f>
        <v/>
      </c>
      <c r="V52">
        <f>HYPERLINK("https://klasma.github.io/Logging_0682/klagomål/A 37846-2025 FSC-klagomål.docx", "A 37846-2025")</f>
        <v/>
      </c>
      <c r="W52">
        <f>HYPERLINK("https://klasma.github.io/Logging_0682/klagomålsmail/A 37846-2025 FSC-klagomål mail.docx", "A 37846-2025")</f>
        <v/>
      </c>
      <c r="X52">
        <f>HYPERLINK("https://klasma.github.io/Logging_0682/tillsyn/A 37846-2025 tillsynsbegäran.docx", "A 37846-2025")</f>
        <v/>
      </c>
      <c r="Y52">
        <f>HYPERLINK("https://klasma.github.io/Logging_0682/tillsynsmail/A 37846-2025 tillsynsbegäran mail.docx", "A 37846-2025")</f>
        <v/>
      </c>
    </row>
    <row r="53" ht="15" customHeight="1">
      <c r="A53" t="inlineStr">
        <is>
          <t>A 33152-2021</t>
        </is>
      </c>
      <c r="B53" s="1" t="n">
        <v>44376</v>
      </c>
      <c r="C53" s="1" t="n">
        <v>45962</v>
      </c>
      <c r="D53" t="inlineStr">
        <is>
          <t>JÖNKÖPINGS LÄN</t>
        </is>
      </c>
      <c r="E53" t="inlineStr">
        <is>
          <t>VETLANDA</t>
        </is>
      </c>
      <c r="G53" t="n">
        <v>1.4</v>
      </c>
      <c r="H53" t="n">
        <v>0</v>
      </c>
      <c r="I53" t="n">
        <v>2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3</v>
      </c>
      <c r="R53" s="2" t="inlineStr">
        <is>
          <t>Orange taggsvamp
Blåmossa
Grönpyrola</t>
        </is>
      </c>
      <c r="S53">
        <f>HYPERLINK("https://klasma.github.io/Logging_0685/artfynd/A 33152-2021 artfynd.xlsx", "A 33152-2021")</f>
        <v/>
      </c>
      <c r="T53">
        <f>HYPERLINK("https://klasma.github.io/Logging_0685/kartor/A 33152-2021 karta.png", "A 33152-2021")</f>
        <v/>
      </c>
      <c r="V53">
        <f>HYPERLINK("https://klasma.github.io/Logging_0685/klagomål/A 33152-2021 FSC-klagomål.docx", "A 33152-2021")</f>
        <v/>
      </c>
      <c r="W53">
        <f>HYPERLINK("https://klasma.github.io/Logging_0685/klagomålsmail/A 33152-2021 FSC-klagomål mail.docx", "A 33152-2021")</f>
        <v/>
      </c>
      <c r="X53">
        <f>HYPERLINK("https://klasma.github.io/Logging_0685/tillsyn/A 33152-2021 tillsynsbegäran.docx", "A 33152-2021")</f>
        <v/>
      </c>
      <c r="Y53">
        <f>HYPERLINK("https://klasma.github.io/Logging_0685/tillsynsmail/A 33152-2021 tillsynsbegäran mail.docx", "A 33152-2021")</f>
        <v/>
      </c>
    </row>
    <row r="54" ht="15" customHeight="1">
      <c r="A54" t="inlineStr">
        <is>
          <t>A 68822-2021</t>
        </is>
      </c>
      <c r="B54" s="1" t="n">
        <v>44530</v>
      </c>
      <c r="C54" s="1" t="n">
        <v>45962</v>
      </c>
      <c r="D54" t="inlineStr">
        <is>
          <t>JÖNKÖPINGS LÄN</t>
        </is>
      </c>
      <c r="E54" t="inlineStr">
        <is>
          <t>JÖNKÖPING</t>
        </is>
      </c>
      <c r="G54" t="n">
        <v>0.9</v>
      </c>
      <c r="H54" t="n">
        <v>2</v>
      </c>
      <c r="I54" t="n">
        <v>1</v>
      </c>
      <c r="J54" t="n">
        <v>0</v>
      </c>
      <c r="K54" t="n">
        <v>0</v>
      </c>
      <c r="L54" t="n">
        <v>1</v>
      </c>
      <c r="M54" t="n">
        <v>0</v>
      </c>
      <c r="N54" t="n">
        <v>0</v>
      </c>
      <c r="O54" t="n">
        <v>1</v>
      </c>
      <c r="P54" t="n">
        <v>1</v>
      </c>
      <c r="Q54" t="n">
        <v>3</v>
      </c>
      <c r="R54" s="2" t="inlineStr">
        <is>
          <t>Ask
Korallrot
Blåsippa</t>
        </is>
      </c>
      <c r="S54">
        <f>HYPERLINK("https://klasma.github.io/Logging_0680/artfynd/A 68822-2021 artfynd.xlsx", "A 68822-2021")</f>
        <v/>
      </c>
      <c r="T54">
        <f>HYPERLINK("https://klasma.github.io/Logging_0680/kartor/A 68822-2021 karta.png", "A 68822-2021")</f>
        <v/>
      </c>
      <c r="V54">
        <f>HYPERLINK("https://klasma.github.io/Logging_0680/klagomål/A 68822-2021 FSC-klagomål.docx", "A 68822-2021")</f>
        <v/>
      </c>
      <c r="W54">
        <f>HYPERLINK("https://klasma.github.io/Logging_0680/klagomålsmail/A 68822-2021 FSC-klagomål mail.docx", "A 68822-2021")</f>
        <v/>
      </c>
      <c r="X54">
        <f>HYPERLINK("https://klasma.github.io/Logging_0680/tillsyn/A 68822-2021 tillsynsbegäran.docx", "A 68822-2021")</f>
        <v/>
      </c>
      <c r="Y54">
        <f>HYPERLINK("https://klasma.github.io/Logging_0680/tillsynsmail/A 68822-2021 tillsynsbegäran mail.docx", "A 68822-2021")</f>
        <v/>
      </c>
    </row>
    <row r="55" ht="15" customHeight="1">
      <c r="A55" t="inlineStr">
        <is>
          <t>A 30078-2022</t>
        </is>
      </c>
      <c r="B55" s="1" t="n">
        <v>44757</v>
      </c>
      <c r="C55" s="1" t="n">
        <v>45962</v>
      </c>
      <c r="D55" t="inlineStr">
        <is>
          <t>JÖNKÖPINGS LÄN</t>
        </is>
      </c>
      <c r="E55" t="inlineStr">
        <is>
          <t>GNOSJÖ</t>
        </is>
      </c>
      <c r="G55" t="n">
        <v>1.6</v>
      </c>
      <c r="H55" t="n">
        <v>0</v>
      </c>
      <c r="I55" t="n">
        <v>3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3</v>
      </c>
      <c r="R55" s="2" t="inlineStr">
        <is>
          <t>Bronshjon
Kattfotslav
Stor revmossa</t>
        </is>
      </c>
      <c r="S55">
        <f>HYPERLINK("https://klasma.github.io/Logging_0617/artfynd/A 30078-2022 artfynd.xlsx", "A 30078-2022")</f>
        <v/>
      </c>
      <c r="T55">
        <f>HYPERLINK("https://klasma.github.io/Logging_0617/kartor/A 30078-2022 karta.png", "A 30078-2022")</f>
        <v/>
      </c>
      <c r="V55">
        <f>HYPERLINK("https://klasma.github.io/Logging_0617/klagomål/A 30078-2022 FSC-klagomål.docx", "A 30078-2022")</f>
        <v/>
      </c>
      <c r="W55">
        <f>HYPERLINK("https://klasma.github.io/Logging_0617/klagomålsmail/A 30078-2022 FSC-klagomål mail.docx", "A 30078-2022")</f>
        <v/>
      </c>
      <c r="X55">
        <f>HYPERLINK("https://klasma.github.io/Logging_0617/tillsyn/A 30078-2022 tillsynsbegäran.docx", "A 30078-2022")</f>
        <v/>
      </c>
      <c r="Y55">
        <f>HYPERLINK("https://klasma.github.io/Logging_0617/tillsynsmail/A 30078-2022 tillsynsbegäran mail.docx", "A 30078-2022")</f>
        <v/>
      </c>
    </row>
    <row r="56" ht="15" customHeight="1">
      <c r="A56" t="inlineStr">
        <is>
          <t>A 72401-2021</t>
        </is>
      </c>
      <c r="B56" s="1" t="n">
        <v>44545</v>
      </c>
      <c r="C56" s="1" t="n">
        <v>45962</v>
      </c>
      <c r="D56" t="inlineStr">
        <is>
          <t>JÖNKÖPINGS LÄN</t>
        </is>
      </c>
      <c r="E56" t="inlineStr">
        <is>
          <t>VETLANDA</t>
        </is>
      </c>
      <c r="G56" t="n">
        <v>1.9</v>
      </c>
      <c r="H56" t="n">
        <v>3</v>
      </c>
      <c r="I56" t="n">
        <v>0</v>
      </c>
      <c r="J56" t="n">
        <v>2</v>
      </c>
      <c r="K56" t="n">
        <v>0</v>
      </c>
      <c r="L56" t="n">
        <v>0</v>
      </c>
      <c r="M56" t="n">
        <v>0</v>
      </c>
      <c r="N56" t="n">
        <v>0</v>
      </c>
      <c r="O56" t="n">
        <v>2</v>
      </c>
      <c r="P56" t="n">
        <v>0</v>
      </c>
      <c r="Q56" t="n">
        <v>3</v>
      </c>
      <c r="R56" s="2" t="inlineStr">
        <is>
          <t>Brunlångöra
Nordfladdermus
Större brunfladdermus</t>
        </is>
      </c>
      <c r="S56">
        <f>HYPERLINK("https://klasma.github.io/Logging_0685/artfynd/A 72401-2021 artfynd.xlsx", "A 72401-2021")</f>
        <v/>
      </c>
      <c r="T56">
        <f>HYPERLINK("https://klasma.github.io/Logging_0685/kartor/A 72401-2021 karta.png", "A 72401-2021")</f>
        <v/>
      </c>
      <c r="V56">
        <f>HYPERLINK("https://klasma.github.io/Logging_0685/klagomål/A 72401-2021 FSC-klagomål.docx", "A 72401-2021")</f>
        <v/>
      </c>
      <c r="W56">
        <f>HYPERLINK("https://klasma.github.io/Logging_0685/klagomålsmail/A 72401-2021 FSC-klagomål mail.docx", "A 72401-2021")</f>
        <v/>
      </c>
      <c r="X56">
        <f>HYPERLINK("https://klasma.github.io/Logging_0685/tillsyn/A 72401-2021 tillsynsbegäran.docx", "A 72401-2021")</f>
        <v/>
      </c>
      <c r="Y56">
        <f>HYPERLINK("https://klasma.github.io/Logging_0685/tillsynsmail/A 72401-2021 tillsynsbegäran mail.docx", "A 72401-2021")</f>
        <v/>
      </c>
    </row>
    <row r="57" ht="15" customHeight="1">
      <c r="A57" t="inlineStr">
        <is>
          <t>A 8179-2023</t>
        </is>
      </c>
      <c r="B57" s="1" t="n">
        <v>44974</v>
      </c>
      <c r="C57" s="1" t="n">
        <v>45962</v>
      </c>
      <c r="D57" t="inlineStr">
        <is>
          <t>JÖNKÖPINGS LÄN</t>
        </is>
      </c>
      <c r="E57" t="inlineStr">
        <is>
          <t>JÖNKÖPING</t>
        </is>
      </c>
      <c r="G57" t="n">
        <v>1.1</v>
      </c>
      <c r="H57" t="n">
        <v>3</v>
      </c>
      <c r="I57" t="n">
        <v>0</v>
      </c>
      <c r="J57" t="n">
        <v>2</v>
      </c>
      <c r="K57" t="n">
        <v>0</v>
      </c>
      <c r="L57" t="n">
        <v>0</v>
      </c>
      <c r="M57" t="n">
        <v>0</v>
      </c>
      <c r="N57" t="n">
        <v>0</v>
      </c>
      <c r="O57" t="n">
        <v>2</v>
      </c>
      <c r="P57" t="n">
        <v>0</v>
      </c>
      <c r="Q57" t="n">
        <v>3</v>
      </c>
      <c r="R57" s="2" t="inlineStr">
        <is>
          <t>Brunlångöra
Nordfladdermus
Dvärgpipistrell</t>
        </is>
      </c>
      <c r="S57">
        <f>HYPERLINK("https://klasma.github.io/Logging_0680/artfynd/A 8179-2023 artfynd.xlsx", "A 8179-2023")</f>
        <v/>
      </c>
      <c r="T57">
        <f>HYPERLINK("https://klasma.github.io/Logging_0680/kartor/A 8179-2023 karta.png", "A 8179-2023")</f>
        <v/>
      </c>
      <c r="V57">
        <f>HYPERLINK("https://klasma.github.io/Logging_0680/klagomål/A 8179-2023 FSC-klagomål.docx", "A 8179-2023")</f>
        <v/>
      </c>
      <c r="W57">
        <f>HYPERLINK("https://klasma.github.io/Logging_0680/klagomålsmail/A 8179-2023 FSC-klagomål mail.docx", "A 8179-2023")</f>
        <v/>
      </c>
      <c r="X57">
        <f>HYPERLINK("https://klasma.github.io/Logging_0680/tillsyn/A 8179-2023 tillsynsbegäran.docx", "A 8179-2023")</f>
        <v/>
      </c>
      <c r="Y57">
        <f>HYPERLINK("https://klasma.github.io/Logging_0680/tillsynsmail/A 8179-2023 tillsynsbegäran mail.docx", "A 8179-2023")</f>
        <v/>
      </c>
    </row>
    <row r="58" ht="15" customHeight="1">
      <c r="A58" t="inlineStr">
        <is>
          <t>A 43195-2023</t>
        </is>
      </c>
      <c r="B58" s="1" t="n">
        <v>45183</v>
      </c>
      <c r="C58" s="1" t="n">
        <v>45962</v>
      </c>
      <c r="D58" t="inlineStr">
        <is>
          <t>JÖNKÖPINGS LÄN</t>
        </is>
      </c>
      <c r="E58" t="inlineStr">
        <is>
          <t>VETLANDA</t>
        </is>
      </c>
      <c r="G58" t="n">
        <v>11.9</v>
      </c>
      <c r="H58" t="n">
        <v>2</v>
      </c>
      <c r="I58" t="n">
        <v>1</v>
      </c>
      <c r="J58" t="n">
        <v>1</v>
      </c>
      <c r="K58" t="n">
        <v>1</v>
      </c>
      <c r="L58" t="n">
        <v>0</v>
      </c>
      <c r="M58" t="n">
        <v>0</v>
      </c>
      <c r="N58" t="n">
        <v>0</v>
      </c>
      <c r="O58" t="n">
        <v>2</v>
      </c>
      <c r="P58" t="n">
        <v>1</v>
      </c>
      <c r="Q58" t="n">
        <v>3</v>
      </c>
      <c r="R58" s="2" t="inlineStr">
        <is>
          <t>Knärot
Talltita
Fjällig taggsvamp s.str.</t>
        </is>
      </c>
      <c r="S58">
        <f>HYPERLINK("https://klasma.github.io/Logging_0685/artfynd/A 43195-2023 artfynd.xlsx", "A 43195-2023")</f>
        <v/>
      </c>
      <c r="T58">
        <f>HYPERLINK("https://klasma.github.io/Logging_0685/kartor/A 43195-2023 karta.png", "A 43195-2023")</f>
        <v/>
      </c>
      <c r="U58">
        <f>HYPERLINK("https://klasma.github.io/Logging_0685/knärot/A 43195-2023 karta knärot.png", "A 43195-2023")</f>
        <v/>
      </c>
      <c r="V58">
        <f>HYPERLINK("https://klasma.github.io/Logging_0685/klagomål/A 43195-2023 FSC-klagomål.docx", "A 43195-2023")</f>
        <v/>
      </c>
      <c r="W58">
        <f>HYPERLINK("https://klasma.github.io/Logging_0685/klagomålsmail/A 43195-2023 FSC-klagomål mail.docx", "A 43195-2023")</f>
        <v/>
      </c>
      <c r="X58">
        <f>HYPERLINK("https://klasma.github.io/Logging_0685/tillsyn/A 43195-2023 tillsynsbegäran.docx", "A 43195-2023")</f>
        <v/>
      </c>
      <c r="Y58">
        <f>HYPERLINK("https://klasma.github.io/Logging_0685/tillsynsmail/A 43195-2023 tillsynsbegäran mail.docx", "A 43195-2023")</f>
        <v/>
      </c>
      <c r="Z58">
        <f>HYPERLINK("https://klasma.github.io/Logging_0685/fåglar/A 43195-2023 prioriterade fågelarter.docx", "A 43195-2023")</f>
        <v/>
      </c>
    </row>
    <row r="59" ht="15" customHeight="1">
      <c r="A59" t="inlineStr">
        <is>
          <t>A 39569-2022</t>
        </is>
      </c>
      <c r="B59" s="1" t="n">
        <v>44818</v>
      </c>
      <c r="C59" s="1" t="n">
        <v>45962</v>
      </c>
      <c r="D59" t="inlineStr">
        <is>
          <t>JÖNKÖPINGS LÄN</t>
        </is>
      </c>
      <c r="E59" t="inlineStr">
        <is>
          <t>VAGGERYD</t>
        </is>
      </c>
      <c r="G59" t="n">
        <v>3.1</v>
      </c>
      <c r="H59" t="n">
        <v>1</v>
      </c>
      <c r="I59" t="n">
        <v>1</v>
      </c>
      <c r="J59" t="n">
        <v>2</v>
      </c>
      <c r="K59" t="n">
        <v>0</v>
      </c>
      <c r="L59" t="n">
        <v>0</v>
      </c>
      <c r="M59" t="n">
        <v>0</v>
      </c>
      <c r="N59" t="n">
        <v>0</v>
      </c>
      <c r="O59" t="n">
        <v>2</v>
      </c>
      <c r="P59" t="n">
        <v>0</v>
      </c>
      <c r="Q59" t="n">
        <v>3</v>
      </c>
      <c r="R59" s="2" t="inlineStr">
        <is>
          <t>Lunglav
Spillkråka
Bronshjon</t>
        </is>
      </c>
      <c r="S59">
        <f>HYPERLINK("https://klasma.github.io/Logging_0665/artfynd/A 39569-2022 artfynd.xlsx", "A 39569-2022")</f>
        <v/>
      </c>
      <c r="T59">
        <f>HYPERLINK("https://klasma.github.io/Logging_0665/kartor/A 39569-2022 karta.png", "A 39569-2022")</f>
        <v/>
      </c>
      <c r="V59">
        <f>HYPERLINK("https://klasma.github.io/Logging_0665/klagomål/A 39569-2022 FSC-klagomål.docx", "A 39569-2022")</f>
        <v/>
      </c>
      <c r="W59">
        <f>HYPERLINK("https://klasma.github.io/Logging_0665/klagomålsmail/A 39569-2022 FSC-klagomål mail.docx", "A 39569-2022")</f>
        <v/>
      </c>
      <c r="X59">
        <f>HYPERLINK("https://klasma.github.io/Logging_0665/tillsyn/A 39569-2022 tillsynsbegäran.docx", "A 39569-2022")</f>
        <v/>
      </c>
      <c r="Y59">
        <f>HYPERLINK("https://klasma.github.io/Logging_0665/tillsynsmail/A 39569-2022 tillsynsbegäran mail.docx", "A 39569-2022")</f>
        <v/>
      </c>
      <c r="Z59">
        <f>HYPERLINK("https://klasma.github.io/Logging_0665/fåglar/A 39569-2022 prioriterade fågelarter.docx", "A 39569-2022")</f>
        <v/>
      </c>
    </row>
    <row r="60" ht="15" customHeight="1">
      <c r="A60" t="inlineStr">
        <is>
          <t>A 51492-2024</t>
        </is>
      </c>
      <c r="B60" s="1" t="n">
        <v>45604.53402777778</v>
      </c>
      <c r="C60" s="1" t="n">
        <v>45962</v>
      </c>
      <c r="D60" t="inlineStr">
        <is>
          <t>JÖNKÖPINGS LÄN</t>
        </is>
      </c>
      <c r="E60" t="inlineStr">
        <is>
          <t>JÖNKÖPING</t>
        </is>
      </c>
      <c r="G60" t="n">
        <v>3.1</v>
      </c>
      <c r="H60" t="n">
        <v>2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3</v>
      </c>
      <c r="R60" s="2" t="inlineStr">
        <is>
          <t>Rostfläck
Vanlig padda
Grönvit nattviol</t>
        </is>
      </c>
      <c r="S60">
        <f>HYPERLINK("https://klasma.github.io/Logging_0680/artfynd/A 51492-2024 artfynd.xlsx", "A 51492-2024")</f>
        <v/>
      </c>
      <c r="T60">
        <f>HYPERLINK("https://klasma.github.io/Logging_0680/kartor/A 51492-2024 karta.png", "A 51492-2024")</f>
        <v/>
      </c>
      <c r="V60">
        <f>HYPERLINK("https://klasma.github.io/Logging_0680/klagomål/A 51492-2024 FSC-klagomål.docx", "A 51492-2024")</f>
        <v/>
      </c>
      <c r="W60">
        <f>HYPERLINK("https://klasma.github.io/Logging_0680/klagomålsmail/A 51492-2024 FSC-klagomål mail.docx", "A 51492-2024")</f>
        <v/>
      </c>
      <c r="X60">
        <f>HYPERLINK("https://klasma.github.io/Logging_0680/tillsyn/A 51492-2024 tillsynsbegäran.docx", "A 51492-2024")</f>
        <v/>
      </c>
      <c r="Y60">
        <f>HYPERLINK("https://klasma.github.io/Logging_0680/tillsynsmail/A 51492-2024 tillsynsbegäran mail.docx", "A 51492-2024")</f>
        <v/>
      </c>
    </row>
    <row r="61" ht="15" customHeight="1">
      <c r="A61" t="inlineStr">
        <is>
          <t>A 17847-2024</t>
        </is>
      </c>
      <c r="B61" s="1" t="n">
        <v>45419.38972222222</v>
      </c>
      <c r="C61" s="1" t="n">
        <v>45962</v>
      </c>
      <c r="D61" t="inlineStr">
        <is>
          <t>JÖNKÖPINGS LÄN</t>
        </is>
      </c>
      <c r="E61" t="inlineStr">
        <is>
          <t>HABO</t>
        </is>
      </c>
      <c r="G61" t="n">
        <v>3.5</v>
      </c>
      <c r="H61" t="n">
        <v>3</v>
      </c>
      <c r="I61" t="n">
        <v>0</v>
      </c>
      <c r="J61" t="n">
        <v>1</v>
      </c>
      <c r="K61" t="n">
        <v>1</v>
      </c>
      <c r="L61" t="n">
        <v>0</v>
      </c>
      <c r="M61" t="n">
        <v>0</v>
      </c>
      <c r="N61" t="n">
        <v>0</v>
      </c>
      <c r="O61" t="n">
        <v>2</v>
      </c>
      <c r="P61" t="n">
        <v>1</v>
      </c>
      <c r="Q61" t="n">
        <v>3</v>
      </c>
      <c r="R61" s="2" t="inlineStr">
        <is>
          <t>Knärot
Talltita
Revlummer</t>
        </is>
      </c>
      <c r="S61">
        <f>HYPERLINK("https://klasma.github.io/Logging_0643/artfynd/A 17847-2024 artfynd.xlsx", "A 17847-2024")</f>
        <v/>
      </c>
      <c r="T61">
        <f>HYPERLINK("https://klasma.github.io/Logging_0643/kartor/A 17847-2024 karta.png", "A 17847-2024")</f>
        <v/>
      </c>
      <c r="U61">
        <f>HYPERLINK("https://klasma.github.io/Logging_0643/knärot/A 17847-2024 karta knärot.png", "A 17847-2024")</f>
        <v/>
      </c>
      <c r="V61">
        <f>HYPERLINK("https://klasma.github.io/Logging_0643/klagomål/A 17847-2024 FSC-klagomål.docx", "A 17847-2024")</f>
        <v/>
      </c>
      <c r="W61">
        <f>HYPERLINK("https://klasma.github.io/Logging_0643/klagomålsmail/A 17847-2024 FSC-klagomål mail.docx", "A 17847-2024")</f>
        <v/>
      </c>
      <c r="X61">
        <f>HYPERLINK("https://klasma.github.io/Logging_0643/tillsyn/A 17847-2024 tillsynsbegäran.docx", "A 17847-2024")</f>
        <v/>
      </c>
      <c r="Y61">
        <f>HYPERLINK("https://klasma.github.io/Logging_0643/tillsynsmail/A 17847-2024 tillsynsbegäran mail.docx", "A 17847-2024")</f>
        <v/>
      </c>
      <c r="Z61">
        <f>HYPERLINK("https://klasma.github.io/Logging_0643/fåglar/A 17847-2024 prioriterade fågelarter.docx", "A 17847-2024")</f>
        <v/>
      </c>
    </row>
    <row r="62" ht="15" customHeight="1">
      <c r="A62" t="inlineStr">
        <is>
          <t>A 40549-2021</t>
        </is>
      </c>
      <c r="B62" s="1" t="n">
        <v>44420.41430555555</v>
      </c>
      <c r="C62" s="1" t="n">
        <v>45962</v>
      </c>
      <c r="D62" t="inlineStr">
        <is>
          <t>JÖNKÖPINGS LÄN</t>
        </is>
      </c>
      <c r="E62" t="inlineStr">
        <is>
          <t>VÄRNAMO</t>
        </is>
      </c>
      <c r="G62" t="n">
        <v>2.9</v>
      </c>
      <c r="H62" t="n">
        <v>2</v>
      </c>
      <c r="I62" t="n">
        <v>2</v>
      </c>
      <c r="J62" t="n">
        <v>0</v>
      </c>
      <c r="K62" t="n">
        <v>1</v>
      </c>
      <c r="L62" t="n">
        <v>0</v>
      </c>
      <c r="M62" t="n">
        <v>0</v>
      </c>
      <c r="N62" t="n">
        <v>0</v>
      </c>
      <c r="O62" t="n">
        <v>1</v>
      </c>
      <c r="P62" t="n">
        <v>1</v>
      </c>
      <c r="Q62" t="n">
        <v>3</v>
      </c>
      <c r="R62" s="2" t="inlineStr">
        <is>
          <t>Knärot
Grönpyrola
Spindelblomster</t>
        </is>
      </c>
      <c r="S62">
        <f>HYPERLINK("https://klasma.github.io/Logging_0683/artfynd/A 40549-2021 artfynd.xlsx", "A 40549-2021")</f>
        <v/>
      </c>
      <c r="T62">
        <f>HYPERLINK("https://klasma.github.io/Logging_0683/kartor/A 40549-2021 karta.png", "A 40549-2021")</f>
        <v/>
      </c>
      <c r="U62">
        <f>HYPERLINK("https://klasma.github.io/Logging_0683/knärot/A 40549-2021 karta knärot.png", "A 40549-2021")</f>
        <v/>
      </c>
      <c r="V62">
        <f>HYPERLINK("https://klasma.github.io/Logging_0683/klagomål/A 40549-2021 FSC-klagomål.docx", "A 40549-2021")</f>
        <v/>
      </c>
      <c r="W62">
        <f>HYPERLINK("https://klasma.github.io/Logging_0683/klagomålsmail/A 40549-2021 FSC-klagomål mail.docx", "A 40549-2021")</f>
        <v/>
      </c>
      <c r="X62">
        <f>HYPERLINK("https://klasma.github.io/Logging_0683/tillsyn/A 40549-2021 tillsynsbegäran.docx", "A 40549-2021")</f>
        <v/>
      </c>
      <c r="Y62">
        <f>HYPERLINK("https://klasma.github.io/Logging_0683/tillsynsmail/A 40549-2021 tillsynsbegäran mail.docx", "A 40549-2021")</f>
        <v/>
      </c>
    </row>
    <row r="63" ht="15" customHeight="1">
      <c r="A63" t="inlineStr">
        <is>
          <t>A 54102-2023</t>
        </is>
      </c>
      <c r="B63" s="1" t="n">
        <v>45232</v>
      </c>
      <c r="C63" s="1" t="n">
        <v>45962</v>
      </c>
      <c r="D63" t="inlineStr">
        <is>
          <t>JÖNKÖPINGS LÄN</t>
        </is>
      </c>
      <c r="E63" t="inlineStr">
        <is>
          <t>GISLAVED</t>
        </is>
      </c>
      <c r="G63" t="n">
        <v>15.4</v>
      </c>
      <c r="H63" t="n">
        <v>1</v>
      </c>
      <c r="I63" t="n">
        <v>1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3</v>
      </c>
      <c r="R63" s="2" t="inlineStr">
        <is>
          <t>Brunpudrad nållav
Spillkråka
Trådticka</t>
        </is>
      </c>
      <c r="S63">
        <f>HYPERLINK("https://klasma.github.io/Logging_0662/artfynd/A 54102-2023 artfynd.xlsx", "A 54102-2023")</f>
        <v/>
      </c>
      <c r="T63">
        <f>HYPERLINK("https://klasma.github.io/Logging_0662/kartor/A 54102-2023 karta.png", "A 54102-2023")</f>
        <v/>
      </c>
      <c r="V63">
        <f>HYPERLINK("https://klasma.github.io/Logging_0662/klagomål/A 54102-2023 FSC-klagomål.docx", "A 54102-2023")</f>
        <v/>
      </c>
      <c r="W63">
        <f>HYPERLINK("https://klasma.github.io/Logging_0662/klagomålsmail/A 54102-2023 FSC-klagomål mail.docx", "A 54102-2023")</f>
        <v/>
      </c>
      <c r="X63">
        <f>HYPERLINK("https://klasma.github.io/Logging_0662/tillsyn/A 54102-2023 tillsynsbegäran.docx", "A 54102-2023")</f>
        <v/>
      </c>
      <c r="Y63">
        <f>HYPERLINK("https://klasma.github.io/Logging_0662/tillsynsmail/A 54102-2023 tillsynsbegäran mail.docx", "A 54102-2023")</f>
        <v/>
      </c>
      <c r="Z63">
        <f>HYPERLINK("https://klasma.github.io/Logging_0662/fåglar/A 54102-2023 prioriterade fågelarter.docx", "A 54102-2023")</f>
        <v/>
      </c>
    </row>
    <row r="64" ht="15" customHeight="1">
      <c r="A64" t="inlineStr">
        <is>
          <t>A 32981-2024</t>
        </is>
      </c>
      <c r="B64" s="1" t="n">
        <v>45517</v>
      </c>
      <c r="C64" s="1" t="n">
        <v>45962</v>
      </c>
      <c r="D64" t="inlineStr">
        <is>
          <t>JÖNKÖPINGS LÄN</t>
        </is>
      </c>
      <c r="E64" t="inlineStr">
        <is>
          <t>NÄSSJÖ</t>
        </is>
      </c>
      <c r="F64" t="inlineStr">
        <is>
          <t>Kommuner</t>
        </is>
      </c>
      <c r="G64" t="n">
        <v>3</v>
      </c>
      <c r="H64" t="n">
        <v>0</v>
      </c>
      <c r="I64" t="n">
        <v>0</v>
      </c>
      <c r="J64" t="n">
        <v>2</v>
      </c>
      <c r="K64" t="n">
        <v>1</v>
      </c>
      <c r="L64" t="n">
        <v>0</v>
      </c>
      <c r="M64" t="n">
        <v>0</v>
      </c>
      <c r="N64" t="n">
        <v>0</v>
      </c>
      <c r="O64" t="n">
        <v>3</v>
      </c>
      <c r="P64" t="n">
        <v>1</v>
      </c>
      <c r="Q64" t="n">
        <v>3</v>
      </c>
      <c r="R64" s="2" t="inlineStr">
        <is>
          <t>Slåttergubbe
Slåtterfibbla
Vårstarr</t>
        </is>
      </c>
      <c r="S64">
        <f>HYPERLINK("https://klasma.github.io/Logging_0682/artfynd/A 32981-2024 artfynd.xlsx", "A 32981-2024")</f>
        <v/>
      </c>
      <c r="T64">
        <f>HYPERLINK("https://klasma.github.io/Logging_0682/kartor/A 32981-2024 karta.png", "A 32981-2024")</f>
        <v/>
      </c>
      <c r="V64">
        <f>HYPERLINK("https://klasma.github.io/Logging_0682/klagomål/A 32981-2024 FSC-klagomål.docx", "A 32981-2024")</f>
        <v/>
      </c>
      <c r="W64">
        <f>HYPERLINK("https://klasma.github.io/Logging_0682/klagomålsmail/A 32981-2024 FSC-klagomål mail.docx", "A 32981-2024")</f>
        <v/>
      </c>
      <c r="X64">
        <f>HYPERLINK("https://klasma.github.io/Logging_0682/tillsyn/A 32981-2024 tillsynsbegäran.docx", "A 32981-2024")</f>
        <v/>
      </c>
      <c r="Y64">
        <f>HYPERLINK("https://klasma.github.io/Logging_0682/tillsynsmail/A 32981-2024 tillsynsbegäran mail.docx", "A 32981-2024")</f>
        <v/>
      </c>
    </row>
    <row r="65" ht="15" customHeight="1">
      <c r="A65" t="inlineStr">
        <is>
          <t>A 4529-2024</t>
        </is>
      </c>
      <c r="B65" s="1" t="n">
        <v>45327</v>
      </c>
      <c r="C65" s="1" t="n">
        <v>45962</v>
      </c>
      <c r="D65" t="inlineStr">
        <is>
          <t>JÖNKÖPINGS LÄN</t>
        </is>
      </c>
      <c r="E65" t="inlineStr">
        <is>
          <t>TRANÅS</t>
        </is>
      </c>
      <c r="F65" t="inlineStr">
        <is>
          <t>Allmännings- och besparingsskogar</t>
        </is>
      </c>
      <c r="G65" t="n">
        <v>7.1</v>
      </c>
      <c r="H65" t="n">
        <v>2</v>
      </c>
      <c r="I65" t="n">
        <v>1</v>
      </c>
      <c r="J65" t="n">
        <v>0</v>
      </c>
      <c r="K65" t="n">
        <v>1</v>
      </c>
      <c r="L65" t="n">
        <v>0</v>
      </c>
      <c r="M65" t="n">
        <v>0</v>
      </c>
      <c r="N65" t="n">
        <v>0</v>
      </c>
      <c r="O65" t="n">
        <v>1</v>
      </c>
      <c r="P65" t="n">
        <v>1</v>
      </c>
      <c r="Q65" t="n">
        <v>3</v>
      </c>
      <c r="R65" s="2" t="inlineStr">
        <is>
          <t>Knärot
Grönpyrola
Revlummer</t>
        </is>
      </c>
      <c r="S65">
        <f>HYPERLINK("https://klasma.github.io/Logging_0687/artfynd/A 4529-2024 artfynd.xlsx", "A 4529-2024")</f>
        <v/>
      </c>
      <c r="T65">
        <f>HYPERLINK("https://klasma.github.io/Logging_0687/kartor/A 4529-2024 karta.png", "A 4529-2024")</f>
        <v/>
      </c>
      <c r="U65">
        <f>HYPERLINK("https://klasma.github.io/Logging_0687/knärot/A 4529-2024 karta knärot.png", "A 4529-2024")</f>
        <v/>
      </c>
      <c r="V65">
        <f>HYPERLINK("https://klasma.github.io/Logging_0687/klagomål/A 4529-2024 FSC-klagomål.docx", "A 4529-2024")</f>
        <v/>
      </c>
      <c r="W65">
        <f>HYPERLINK("https://klasma.github.io/Logging_0687/klagomålsmail/A 4529-2024 FSC-klagomål mail.docx", "A 4529-2024")</f>
        <v/>
      </c>
      <c r="X65">
        <f>HYPERLINK("https://klasma.github.io/Logging_0687/tillsyn/A 4529-2024 tillsynsbegäran.docx", "A 4529-2024")</f>
        <v/>
      </c>
      <c r="Y65">
        <f>HYPERLINK("https://klasma.github.io/Logging_0687/tillsynsmail/A 4529-2024 tillsynsbegäran mail.docx", "A 4529-2024")</f>
        <v/>
      </c>
    </row>
    <row r="66" ht="15" customHeight="1">
      <c r="A66" t="inlineStr">
        <is>
          <t>A 50033-2024</t>
        </is>
      </c>
      <c r="B66" s="1" t="n">
        <v>45599</v>
      </c>
      <c r="C66" s="1" t="n">
        <v>45962</v>
      </c>
      <c r="D66" t="inlineStr">
        <is>
          <t>JÖNKÖPINGS LÄN</t>
        </is>
      </c>
      <c r="E66" t="inlineStr">
        <is>
          <t>VETLANDA</t>
        </is>
      </c>
      <c r="G66" t="n">
        <v>2.6</v>
      </c>
      <c r="H66" t="n">
        <v>0</v>
      </c>
      <c r="I66" t="n">
        <v>0</v>
      </c>
      <c r="J66" t="n">
        <v>1</v>
      </c>
      <c r="K66" t="n">
        <v>0</v>
      </c>
      <c r="L66" t="n">
        <v>1</v>
      </c>
      <c r="M66" t="n">
        <v>1</v>
      </c>
      <c r="N66" t="n">
        <v>0</v>
      </c>
      <c r="O66" t="n">
        <v>3</v>
      </c>
      <c r="P66" t="n">
        <v>2</v>
      </c>
      <c r="Q66" t="n">
        <v>3</v>
      </c>
      <c r="R66" s="2" t="inlineStr">
        <is>
          <t>Skogsalm
Ask
Svinrot</t>
        </is>
      </c>
      <c r="S66">
        <f>HYPERLINK("https://klasma.github.io/Logging_0685/artfynd/A 50033-2024 artfynd.xlsx", "A 50033-2024")</f>
        <v/>
      </c>
      <c r="T66">
        <f>HYPERLINK("https://klasma.github.io/Logging_0685/kartor/A 50033-2024 karta.png", "A 50033-2024")</f>
        <v/>
      </c>
      <c r="V66">
        <f>HYPERLINK("https://klasma.github.io/Logging_0685/klagomål/A 50033-2024 FSC-klagomål.docx", "A 50033-2024")</f>
        <v/>
      </c>
      <c r="W66">
        <f>HYPERLINK("https://klasma.github.io/Logging_0685/klagomålsmail/A 50033-2024 FSC-klagomål mail.docx", "A 50033-2024")</f>
        <v/>
      </c>
      <c r="X66">
        <f>HYPERLINK("https://klasma.github.io/Logging_0685/tillsyn/A 50033-2024 tillsynsbegäran.docx", "A 50033-2024")</f>
        <v/>
      </c>
      <c r="Y66">
        <f>HYPERLINK("https://klasma.github.io/Logging_0685/tillsynsmail/A 50033-2024 tillsynsbegäran mail.docx", "A 50033-2024")</f>
        <v/>
      </c>
    </row>
    <row r="67" ht="15" customHeight="1">
      <c r="A67" t="inlineStr">
        <is>
          <t>A 46781-2024</t>
        </is>
      </c>
      <c r="B67" s="1" t="n">
        <v>45583</v>
      </c>
      <c r="C67" s="1" t="n">
        <v>45962</v>
      </c>
      <c r="D67" t="inlineStr">
        <is>
          <t>JÖNKÖPINGS LÄN</t>
        </is>
      </c>
      <c r="E67" t="inlineStr">
        <is>
          <t>VETLANDA</t>
        </is>
      </c>
      <c r="G67" t="n">
        <v>1.1</v>
      </c>
      <c r="H67" t="n">
        <v>2</v>
      </c>
      <c r="I67" t="n">
        <v>0</v>
      </c>
      <c r="J67" t="n">
        <v>1</v>
      </c>
      <c r="K67" t="n">
        <v>0</v>
      </c>
      <c r="L67" t="n">
        <v>1</v>
      </c>
      <c r="M67" t="n">
        <v>0</v>
      </c>
      <c r="N67" t="n">
        <v>0</v>
      </c>
      <c r="O67" t="n">
        <v>2</v>
      </c>
      <c r="P67" t="n">
        <v>1</v>
      </c>
      <c r="Q67" t="n">
        <v>3</v>
      </c>
      <c r="R67" s="2" t="inlineStr">
        <is>
          <t>Ask
Nordfladdermus
Vattenfladdermus</t>
        </is>
      </c>
      <c r="S67">
        <f>HYPERLINK("https://klasma.github.io/Logging_0685/artfynd/A 46781-2024 artfynd.xlsx", "A 46781-2024")</f>
        <v/>
      </c>
      <c r="T67">
        <f>HYPERLINK("https://klasma.github.io/Logging_0685/kartor/A 46781-2024 karta.png", "A 46781-2024")</f>
        <v/>
      </c>
      <c r="V67">
        <f>HYPERLINK("https://klasma.github.io/Logging_0685/klagomål/A 46781-2024 FSC-klagomål.docx", "A 46781-2024")</f>
        <v/>
      </c>
      <c r="W67">
        <f>HYPERLINK("https://klasma.github.io/Logging_0685/klagomålsmail/A 46781-2024 FSC-klagomål mail.docx", "A 46781-2024")</f>
        <v/>
      </c>
      <c r="X67">
        <f>HYPERLINK("https://klasma.github.io/Logging_0685/tillsyn/A 46781-2024 tillsynsbegäran.docx", "A 46781-2024")</f>
        <v/>
      </c>
      <c r="Y67">
        <f>HYPERLINK("https://klasma.github.io/Logging_0685/tillsynsmail/A 46781-2024 tillsynsbegäran mail.docx", "A 46781-2024")</f>
        <v/>
      </c>
    </row>
    <row r="68" ht="15" customHeight="1">
      <c r="A68" t="inlineStr">
        <is>
          <t>A 55835-2023</t>
        </is>
      </c>
      <c r="B68" s="1" t="n">
        <v>45239</v>
      </c>
      <c r="C68" s="1" t="n">
        <v>45962</v>
      </c>
      <c r="D68" t="inlineStr">
        <is>
          <t>JÖNKÖPINGS LÄN</t>
        </is>
      </c>
      <c r="E68" t="inlineStr">
        <is>
          <t>GNOSJÖ</t>
        </is>
      </c>
      <c r="G68" t="n">
        <v>7.2</v>
      </c>
      <c r="H68" t="n">
        <v>0</v>
      </c>
      <c r="I68" t="n">
        <v>3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3</v>
      </c>
      <c r="R68" s="2" t="inlineStr">
        <is>
          <t>Jättesvampmal
Kattfotslav
Vedticka</t>
        </is>
      </c>
      <c r="S68">
        <f>HYPERLINK("https://klasma.github.io/Logging_0617/artfynd/A 55835-2023 artfynd.xlsx", "A 55835-2023")</f>
        <v/>
      </c>
      <c r="T68">
        <f>HYPERLINK("https://klasma.github.io/Logging_0617/kartor/A 55835-2023 karta.png", "A 55835-2023")</f>
        <v/>
      </c>
      <c r="V68">
        <f>HYPERLINK("https://klasma.github.io/Logging_0617/klagomål/A 55835-2023 FSC-klagomål.docx", "A 55835-2023")</f>
        <v/>
      </c>
      <c r="W68">
        <f>HYPERLINK("https://klasma.github.io/Logging_0617/klagomålsmail/A 55835-2023 FSC-klagomål mail.docx", "A 55835-2023")</f>
        <v/>
      </c>
      <c r="X68">
        <f>HYPERLINK("https://klasma.github.io/Logging_0617/tillsyn/A 55835-2023 tillsynsbegäran.docx", "A 55835-2023")</f>
        <v/>
      </c>
      <c r="Y68">
        <f>HYPERLINK("https://klasma.github.io/Logging_0617/tillsynsmail/A 55835-2023 tillsynsbegäran mail.docx", "A 55835-2023")</f>
        <v/>
      </c>
    </row>
    <row r="69" ht="15" customHeight="1">
      <c r="A69" t="inlineStr">
        <is>
          <t>A 6799-2022</t>
        </is>
      </c>
      <c r="B69" s="1" t="n">
        <v>44602</v>
      </c>
      <c r="C69" s="1" t="n">
        <v>45962</v>
      </c>
      <c r="D69" t="inlineStr">
        <is>
          <t>JÖNKÖPINGS LÄN</t>
        </is>
      </c>
      <c r="E69" t="inlineStr">
        <is>
          <t>JÖNKÖPING</t>
        </is>
      </c>
      <c r="F69" t="inlineStr">
        <is>
          <t>Kyrkan</t>
        </is>
      </c>
      <c r="G69" t="n">
        <v>2.2</v>
      </c>
      <c r="H69" t="n">
        <v>1</v>
      </c>
      <c r="I69" t="n">
        <v>3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3</v>
      </c>
      <c r="R69" s="2" t="inlineStr">
        <is>
          <t>Dvärgtufs
Grön sköldmossa
Västlig hakmossa</t>
        </is>
      </c>
      <c r="S69">
        <f>HYPERLINK("https://klasma.github.io/Logging_0680/artfynd/A 6799-2022 artfynd.xlsx", "A 6799-2022")</f>
        <v/>
      </c>
      <c r="T69">
        <f>HYPERLINK("https://klasma.github.io/Logging_0680/kartor/A 6799-2022 karta.png", "A 6799-2022")</f>
        <v/>
      </c>
      <c r="V69">
        <f>HYPERLINK("https://klasma.github.io/Logging_0680/klagomål/A 6799-2022 FSC-klagomål.docx", "A 6799-2022")</f>
        <v/>
      </c>
      <c r="W69">
        <f>HYPERLINK("https://klasma.github.io/Logging_0680/klagomålsmail/A 6799-2022 FSC-klagomål mail.docx", "A 6799-2022")</f>
        <v/>
      </c>
      <c r="X69">
        <f>HYPERLINK("https://klasma.github.io/Logging_0680/tillsyn/A 6799-2022 tillsynsbegäran.docx", "A 6799-2022")</f>
        <v/>
      </c>
      <c r="Y69">
        <f>HYPERLINK("https://klasma.github.io/Logging_0680/tillsynsmail/A 6799-2022 tillsynsbegäran mail.docx", "A 6799-2022")</f>
        <v/>
      </c>
    </row>
    <row r="70" ht="15" customHeight="1">
      <c r="A70" t="inlineStr">
        <is>
          <t>A 39819-2022</t>
        </is>
      </c>
      <c r="B70" s="1" t="n">
        <v>44819</v>
      </c>
      <c r="C70" s="1" t="n">
        <v>45962</v>
      </c>
      <c r="D70" t="inlineStr">
        <is>
          <t>JÖNKÖPINGS LÄN</t>
        </is>
      </c>
      <c r="E70" t="inlineStr">
        <is>
          <t>VETLANDA</t>
        </is>
      </c>
      <c r="F70" t="inlineStr">
        <is>
          <t>Övriga Aktiebolag</t>
        </is>
      </c>
      <c r="G70" t="n">
        <v>6.5</v>
      </c>
      <c r="H70" t="n">
        <v>0</v>
      </c>
      <c r="I70" t="n">
        <v>1</v>
      </c>
      <c r="J70" t="n">
        <v>1</v>
      </c>
      <c r="K70" t="n">
        <v>1</v>
      </c>
      <c r="L70" t="n">
        <v>0</v>
      </c>
      <c r="M70" t="n">
        <v>0</v>
      </c>
      <c r="N70" t="n">
        <v>0</v>
      </c>
      <c r="O70" t="n">
        <v>2</v>
      </c>
      <c r="P70" t="n">
        <v>1</v>
      </c>
      <c r="Q70" t="n">
        <v>3</v>
      </c>
      <c r="R70" s="2" t="inlineStr">
        <is>
          <t>Slåttergubbe
Slåtterfibbla
Trådkällmossa</t>
        </is>
      </c>
      <c r="S70">
        <f>HYPERLINK("https://klasma.github.io/Logging_0685/artfynd/A 39819-2022 artfynd.xlsx", "A 39819-2022")</f>
        <v/>
      </c>
      <c r="T70">
        <f>HYPERLINK("https://klasma.github.io/Logging_0685/kartor/A 39819-2022 karta.png", "A 39819-2022")</f>
        <v/>
      </c>
      <c r="V70">
        <f>HYPERLINK("https://klasma.github.io/Logging_0685/klagomål/A 39819-2022 FSC-klagomål.docx", "A 39819-2022")</f>
        <v/>
      </c>
      <c r="W70">
        <f>HYPERLINK("https://klasma.github.io/Logging_0685/klagomålsmail/A 39819-2022 FSC-klagomål mail.docx", "A 39819-2022")</f>
        <v/>
      </c>
      <c r="X70">
        <f>HYPERLINK("https://klasma.github.io/Logging_0685/tillsyn/A 39819-2022 tillsynsbegäran.docx", "A 39819-2022")</f>
        <v/>
      </c>
      <c r="Y70">
        <f>HYPERLINK("https://klasma.github.io/Logging_0685/tillsynsmail/A 39819-2022 tillsynsbegäran mail.docx", "A 39819-2022")</f>
        <v/>
      </c>
    </row>
    <row r="71" ht="15" customHeight="1">
      <c r="A71" t="inlineStr">
        <is>
          <t>A 31757-2024</t>
        </is>
      </c>
      <c r="B71" s="1" t="n">
        <v>45509.44369212963</v>
      </c>
      <c r="C71" s="1" t="n">
        <v>45962</v>
      </c>
      <c r="D71" t="inlineStr">
        <is>
          <t>JÖNKÖPINGS LÄN</t>
        </is>
      </c>
      <c r="E71" t="inlineStr">
        <is>
          <t>GISLAVED</t>
        </is>
      </c>
      <c r="G71" t="n">
        <v>0.7</v>
      </c>
      <c r="H71" t="n">
        <v>1</v>
      </c>
      <c r="I71" t="n">
        <v>0</v>
      </c>
      <c r="J71" t="n">
        <v>2</v>
      </c>
      <c r="K71" t="n">
        <v>0</v>
      </c>
      <c r="L71" t="n">
        <v>0</v>
      </c>
      <c r="M71" t="n">
        <v>0</v>
      </c>
      <c r="N71" t="n">
        <v>0</v>
      </c>
      <c r="O71" t="n">
        <v>2</v>
      </c>
      <c r="P71" t="n">
        <v>0</v>
      </c>
      <c r="Q71" t="n">
        <v>3</v>
      </c>
      <c r="R71" s="2" t="inlineStr">
        <is>
          <t>Backtimjan
Vårstarr
Grönvit nattviol</t>
        </is>
      </c>
      <c r="S71">
        <f>HYPERLINK("https://klasma.github.io/Logging_0662/artfynd/A 31757-2024 artfynd.xlsx", "A 31757-2024")</f>
        <v/>
      </c>
      <c r="T71">
        <f>HYPERLINK("https://klasma.github.io/Logging_0662/kartor/A 31757-2024 karta.png", "A 31757-2024")</f>
        <v/>
      </c>
      <c r="V71">
        <f>HYPERLINK("https://klasma.github.io/Logging_0662/klagomål/A 31757-2024 FSC-klagomål.docx", "A 31757-2024")</f>
        <v/>
      </c>
      <c r="W71">
        <f>HYPERLINK("https://klasma.github.io/Logging_0662/klagomålsmail/A 31757-2024 FSC-klagomål mail.docx", "A 31757-2024")</f>
        <v/>
      </c>
      <c r="X71">
        <f>HYPERLINK("https://klasma.github.io/Logging_0662/tillsyn/A 31757-2024 tillsynsbegäran.docx", "A 31757-2024")</f>
        <v/>
      </c>
      <c r="Y71">
        <f>HYPERLINK("https://klasma.github.io/Logging_0662/tillsynsmail/A 31757-2024 tillsynsbegäran mail.docx", "A 31757-2024")</f>
        <v/>
      </c>
    </row>
    <row r="72" ht="15" customHeight="1">
      <c r="A72" t="inlineStr">
        <is>
          <t>A 19430-2025</t>
        </is>
      </c>
      <c r="B72" s="1" t="n">
        <v>45769.80274305555</v>
      </c>
      <c r="C72" s="1" t="n">
        <v>45962</v>
      </c>
      <c r="D72" t="inlineStr">
        <is>
          <t>JÖNKÖPINGS LÄN</t>
        </is>
      </c>
      <c r="E72" t="inlineStr">
        <is>
          <t>VETLANDA</t>
        </is>
      </c>
      <c r="F72" t="inlineStr">
        <is>
          <t>Sveaskog</t>
        </is>
      </c>
      <c r="G72" t="n">
        <v>3.5</v>
      </c>
      <c r="H72" t="n">
        <v>0</v>
      </c>
      <c r="I72" t="n">
        <v>1</v>
      </c>
      <c r="J72" t="n">
        <v>1</v>
      </c>
      <c r="K72" t="n">
        <v>1</v>
      </c>
      <c r="L72" t="n">
        <v>0</v>
      </c>
      <c r="M72" t="n">
        <v>0</v>
      </c>
      <c r="N72" t="n">
        <v>0</v>
      </c>
      <c r="O72" t="n">
        <v>2</v>
      </c>
      <c r="P72" t="n">
        <v>1</v>
      </c>
      <c r="Q72" t="n">
        <v>3</v>
      </c>
      <c r="R72" s="2" t="inlineStr">
        <is>
          <t>Lungrot
Vårstarr
Vätteros</t>
        </is>
      </c>
      <c r="S72">
        <f>HYPERLINK("https://klasma.github.io/Logging_0685/artfynd/A 19430-2025 artfynd.xlsx", "A 19430-2025")</f>
        <v/>
      </c>
      <c r="T72">
        <f>HYPERLINK("https://klasma.github.io/Logging_0685/kartor/A 19430-2025 karta.png", "A 19430-2025")</f>
        <v/>
      </c>
      <c r="V72">
        <f>HYPERLINK("https://klasma.github.io/Logging_0685/klagomål/A 19430-2025 FSC-klagomål.docx", "A 19430-2025")</f>
        <v/>
      </c>
      <c r="W72">
        <f>HYPERLINK("https://klasma.github.io/Logging_0685/klagomålsmail/A 19430-2025 FSC-klagomål mail.docx", "A 19430-2025")</f>
        <v/>
      </c>
      <c r="X72">
        <f>HYPERLINK("https://klasma.github.io/Logging_0685/tillsyn/A 19430-2025 tillsynsbegäran.docx", "A 19430-2025")</f>
        <v/>
      </c>
      <c r="Y72">
        <f>HYPERLINK("https://klasma.github.io/Logging_0685/tillsynsmail/A 19430-2025 tillsynsbegäran mail.docx", "A 19430-2025")</f>
        <v/>
      </c>
    </row>
    <row r="73" ht="15" customHeight="1">
      <c r="A73" t="inlineStr">
        <is>
          <t>A 19576-2025</t>
        </is>
      </c>
      <c r="B73" s="1" t="n">
        <v>45770.56108796296</v>
      </c>
      <c r="C73" s="1" t="n">
        <v>45962</v>
      </c>
      <c r="D73" t="inlineStr">
        <is>
          <t>JÖNKÖPINGS LÄN</t>
        </is>
      </c>
      <c r="E73" t="inlineStr">
        <is>
          <t>GISLAVED</t>
        </is>
      </c>
      <c r="G73" t="n">
        <v>4.6</v>
      </c>
      <c r="H73" t="n">
        <v>1</v>
      </c>
      <c r="I73" t="n">
        <v>0</v>
      </c>
      <c r="J73" t="n">
        <v>2</v>
      </c>
      <c r="K73" t="n">
        <v>0</v>
      </c>
      <c r="L73" t="n">
        <v>0</v>
      </c>
      <c r="M73" t="n">
        <v>0</v>
      </c>
      <c r="N73" t="n">
        <v>0</v>
      </c>
      <c r="O73" t="n">
        <v>2</v>
      </c>
      <c r="P73" t="n">
        <v>0</v>
      </c>
      <c r="Q73" t="n">
        <v>3</v>
      </c>
      <c r="R73" s="2" t="inlineStr">
        <is>
          <t>Loppstarr
Mörk dunört
Revlummer</t>
        </is>
      </c>
      <c r="S73">
        <f>HYPERLINK("https://klasma.github.io/Logging_0662/artfynd/A 19576-2025 artfynd.xlsx", "A 19576-2025")</f>
        <v/>
      </c>
      <c r="T73">
        <f>HYPERLINK("https://klasma.github.io/Logging_0662/kartor/A 19576-2025 karta.png", "A 19576-2025")</f>
        <v/>
      </c>
      <c r="V73">
        <f>HYPERLINK("https://klasma.github.io/Logging_0662/klagomål/A 19576-2025 FSC-klagomål.docx", "A 19576-2025")</f>
        <v/>
      </c>
      <c r="W73">
        <f>HYPERLINK("https://klasma.github.io/Logging_0662/klagomålsmail/A 19576-2025 FSC-klagomål mail.docx", "A 19576-2025")</f>
        <v/>
      </c>
      <c r="X73">
        <f>HYPERLINK("https://klasma.github.io/Logging_0662/tillsyn/A 19576-2025 tillsynsbegäran.docx", "A 19576-2025")</f>
        <v/>
      </c>
      <c r="Y73">
        <f>HYPERLINK("https://klasma.github.io/Logging_0662/tillsynsmail/A 19576-2025 tillsynsbegäran mail.docx", "A 19576-2025")</f>
        <v/>
      </c>
    </row>
    <row r="74" ht="15" customHeight="1">
      <c r="A74" t="inlineStr">
        <is>
          <t>A 46815-2025</t>
        </is>
      </c>
      <c r="B74" s="1" t="n">
        <v>45926</v>
      </c>
      <c r="C74" s="1" t="n">
        <v>45962</v>
      </c>
      <c r="D74" t="inlineStr">
        <is>
          <t>JÖNKÖPINGS LÄN</t>
        </is>
      </c>
      <c r="E74" t="inlineStr">
        <is>
          <t>TRANÅS</t>
        </is>
      </c>
      <c r="G74" t="n">
        <v>3</v>
      </c>
      <c r="H74" t="n">
        <v>0</v>
      </c>
      <c r="I74" t="n">
        <v>3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3</v>
      </c>
      <c r="R74" s="2" t="inlineStr">
        <is>
          <t>Underviol
Vätteros
Vårärt</t>
        </is>
      </c>
      <c r="S74">
        <f>HYPERLINK("https://klasma.github.io/Logging_0687/artfynd/A 46815-2025 artfynd.xlsx", "A 46815-2025")</f>
        <v/>
      </c>
      <c r="T74">
        <f>HYPERLINK("https://klasma.github.io/Logging_0687/kartor/A 46815-2025 karta.png", "A 46815-2025")</f>
        <v/>
      </c>
      <c r="V74">
        <f>HYPERLINK("https://klasma.github.io/Logging_0687/klagomål/A 46815-2025 FSC-klagomål.docx", "A 46815-2025")</f>
        <v/>
      </c>
      <c r="W74">
        <f>HYPERLINK("https://klasma.github.io/Logging_0687/klagomålsmail/A 46815-2025 FSC-klagomål mail.docx", "A 46815-2025")</f>
        <v/>
      </c>
      <c r="X74">
        <f>HYPERLINK("https://klasma.github.io/Logging_0687/tillsyn/A 46815-2025 tillsynsbegäran.docx", "A 46815-2025")</f>
        <v/>
      </c>
      <c r="Y74">
        <f>HYPERLINK("https://klasma.github.io/Logging_0687/tillsynsmail/A 46815-2025 tillsynsbegäran mail.docx", "A 46815-2025")</f>
        <v/>
      </c>
    </row>
    <row r="75" ht="15" customHeight="1">
      <c r="A75" t="inlineStr">
        <is>
          <t>A 48558-2025</t>
        </is>
      </c>
      <c r="B75" s="1" t="n">
        <v>45936.43067129629</v>
      </c>
      <c r="C75" s="1" t="n">
        <v>45962</v>
      </c>
      <c r="D75" t="inlineStr">
        <is>
          <t>JÖNKÖPINGS LÄN</t>
        </is>
      </c>
      <c r="E75" t="inlineStr">
        <is>
          <t>ANEBY</t>
        </is>
      </c>
      <c r="G75" t="n">
        <v>2.5</v>
      </c>
      <c r="H75" t="n">
        <v>0</v>
      </c>
      <c r="I75" t="n">
        <v>2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3</v>
      </c>
      <c r="R75" s="2" t="inlineStr">
        <is>
          <t>Brunpudrad nållav
Gulnål
Rostfläck</t>
        </is>
      </c>
      <c r="S75">
        <f>HYPERLINK("https://klasma.github.io/Logging_0604/artfynd/A 48558-2025 artfynd.xlsx", "A 48558-2025")</f>
        <v/>
      </c>
      <c r="T75">
        <f>HYPERLINK("https://klasma.github.io/Logging_0604/kartor/A 48558-2025 karta.png", "A 48558-2025")</f>
        <v/>
      </c>
      <c r="V75">
        <f>HYPERLINK("https://klasma.github.io/Logging_0604/klagomål/A 48558-2025 FSC-klagomål.docx", "A 48558-2025")</f>
        <v/>
      </c>
      <c r="W75">
        <f>HYPERLINK("https://klasma.github.io/Logging_0604/klagomålsmail/A 48558-2025 FSC-klagomål mail.docx", "A 48558-2025")</f>
        <v/>
      </c>
      <c r="X75">
        <f>HYPERLINK("https://klasma.github.io/Logging_0604/tillsyn/A 48558-2025 tillsynsbegäran.docx", "A 48558-2025")</f>
        <v/>
      </c>
      <c r="Y75">
        <f>HYPERLINK("https://klasma.github.io/Logging_0604/tillsynsmail/A 48558-2025 tillsynsbegäran mail.docx", "A 48558-2025")</f>
        <v/>
      </c>
    </row>
    <row r="76" ht="15" customHeight="1">
      <c r="A76" t="inlineStr">
        <is>
          <t>A 45507-2021</t>
        </is>
      </c>
      <c r="B76" s="1" t="n">
        <v>44440</v>
      </c>
      <c r="C76" s="1" t="n">
        <v>45962</v>
      </c>
      <c r="D76" t="inlineStr">
        <is>
          <t>JÖNKÖPINGS LÄN</t>
        </is>
      </c>
      <c r="E76" t="inlineStr">
        <is>
          <t>VETLANDA</t>
        </is>
      </c>
      <c r="G76" t="n">
        <v>2.4</v>
      </c>
      <c r="H76" t="n">
        <v>0</v>
      </c>
      <c r="I76" t="n">
        <v>0</v>
      </c>
      <c r="J76" t="n">
        <v>2</v>
      </c>
      <c r="K76" t="n">
        <v>0</v>
      </c>
      <c r="L76" t="n">
        <v>0</v>
      </c>
      <c r="M76" t="n">
        <v>0</v>
      </c>
      <c r="N76" t="n">
        <v>0</v>
      </c>
      <c r="O76" t="n">
        <v>2</v>
      </c>
      <c r="P76" t="n">
        <v>0</v>
      </c>
      <c r="Q76" t="n">
        <v>2</v>
      </c>
      <c r="R76" s="2" t="inlineStr">
        <is>
          <t>Bredbrämad bastardsvärmare
Mindre bastardsvärmare</t>
        </is>
      </c>
      <c r="S76">
        <f>HYPERLINK("https://klasma.github.io/Logging_0685/artfynd/A 45507-2021 artfynd.xlsx", "A 45507-2021")</f>
        <v/>
      </c>
      <c r="T76">
        <f>HYPERLINK("https://klasma.github.io/Logging_0685/kartor/A 45507-2021 karta.png", "A 45507-2021")</f>
        <v/>
      </c>
      <c r="V76">
        <f>HYPERLINK("https://klasma.github.io/Logging_0685/klagomål/A 45507-2021 FSC-klagomål.docx", "A 45507-2021")</f>
        <v/>
      </c>
      <c r="W76">
        <f>HYPERLINK("https://klasma.github.io/Logging_0685/klagomålsmail/A 45507-2021 FSC-klagomål mail.docx", "A 45507-2021")</f>
        <v/>
      </c>
      <c r="X76">
        <f>HYPERLINK("https://klasma.github.io/Logging_0685/tillsyn/A 45507-2021 tillsynsbegäran.docx", "A 45507-2021")</f>
        <v/>
      </c>
      <c r="Y76">
        <f>HYPERLINK("https://klasma.github.io/Logging_0685/tillsynsmail/A 45507-2021 tillsynsbegäran mail.docx", "A 45507-2021")</f>
        <v/>
      </c>
    </row>
    <row r="77" ht="15" customHeight="1">
      <c r="A77" t="inlineStr">
        <is>
          <t>A 66627-2020</t>
        </is>
      </c>
      <c r="B77" s="1" t="n">
        <v>44179</v>
      </c>
      <c r="C77" s="1" t="n">
        <v>45962</v>
      </c>
      <c r="D77" t="inlineStr">
        <is>
          <t>JÖNKÖPINGS LÄN</t>
        </is>
      </c>
      <c r="E77" t="inlineStr">
        <is>
          <t>NÄSSJÖ</t>
        </is>
      </c>
      <c r="G77" t="n">
        <v>1.2</v>
      </c>
      <c r="H77" t="n">
        <v>1</v>
      </c>
      <c r="I77" t="n">
        <v>1</v>
      </c>
      <c r="J77" t="n">
        <v>0</v>
      </c>
      <c r="K77" t="n">
        <v>1</v>
      </c>
      <c r="L77" t="n">
        <v>0</v>
      </c>
      <c r="M77" t="n">
        <v>0</v>
      </c>
      <c r="N77" t="n">
        <v>0</v>
      </c>
      <c r="O77" t="n">
        <v>1</v>
      </c>
      <c r="P77" t="n">
        <v>1</v>
      </c>
      <c r="Q77" t="n">
        <v>2</v>
      </c>
      <c r="R77" s="2" t="inlineStr">
        <is>
          <t>Knärot
Granbarkgnagare</t>
        </is>
      </c>
      <c r="S77">
        <f>HYPERLINK("https://klasma.github.io/Logging_0682/artfynd/A 66627-2020 artfynd.xlsx", "A 66627-2020")</f>
        <v/>
      </c>
      <c r="T77">
        <f>HYPERLINK("https://klasma.github.io/Logging_0682/kartor/A 66627-2020 karta.png", "A 66627-2020")</f>
        <v/>
      </c>
      <c r="U77">
        <f>HYPERLINK("https://klasma.github.io/Logging_0682/knärot/A 66627-2020 karta knärot.png", "A 66627-2020")</f>
        <v/>
      </c>
      <c r="V77">
        <f>HYPERLINK("https://klasma.github.io/Logging_0682/klagomål/A 66627-2020 FSC-klagomål.docx", "A 66627-2020")</f>
        <v/>
      </c>
      <c r="W77">
        <f>HYPERLINK("https://klasma.github.io/Logging_0682/klagomålsmail/A 66627-2020 FSC-klagomål mail.docx", "A 66627-2020")</f>
        <v/>
      </c>
      <c r="X77">
        <f>HYPERLINK("https://klasma.github.io/Logging_0682/tillsyn/A 66627-2020 tillsynsbegäran.docx", "A 66627-2020")</f>
        <v/>
      </c>
      <c r="Y77">
        <f>HYPERLINK("https://klasma.github.io/Logging_0682/tillsynsmail/A 66627-2020 tillsynsbegäran mail.docx", "A 66627-2020")</f>
        <v/>
      </c>
    </row>
    <row r="78" ht="15" customHeight="1">
      <c r="A78" t="inlineStr">
        <is>
          <t>A 59975-2020</t>
        </is>
      </c>
      <c r="B78" s="1" t="n">
        <v>44151</v>
      </c>
      <c r="C78" s="1" t="n">
        <v>45962</v>
      </c>
      <c r="D78" t="inlineStr">
        <is>
          <t>JÖNKÖPINGS LÄN</t>
        </is>
      </c>
      <c r="E78" t="inlineStr">
        <is>
          <t>ANEBY</t>
        </is>
      </c>
      <c r="F78" t="inlineStr">
        <is>
          <t>Kyrkan</t>
        </is>
      </c>
      <c r="G78" t="n">
        <v>2</v>
      </c>
      <c r="H78" t="n">
        <v>2</v>
      </c>
      <c r="I78" t="n">
        <v>0</v>
      </c>
      <c r="J78" t="n">
        <v>0</v>
      </c>
      <c r="K78" t="n">
        <v>1</v>
      </c>
      <c r="L78" t="n">
        <v>0</v>
      </c>
      <c r="M78" t="n">
        <v>0</v>
      </c>
      <c r="N78" t="n">
        <v>0</v>
      </c>
      <c r="O78" t="n">
        <v>1</v>
      </c>
      <c r="P78" t="n">
        <v>1</v>
      </c>
      <c r="Q78" t="n">
        <v>2</v>
      </c>
      <c r="R78" s="2" t="inlineStr">
        <is>
          <t>Knärot
Revlummer</t>
        </is>
      </c>
      <c r="S78">
        <f>HYPERLINK("https://klasma.github.io/Logging_0604/artfynd/A 59975-2020 artfynd.xlsx", "A 59975-2020")</f>
        <v/>
      </c>
      <c r="T78">
        <f>HYPERLINK("https://klasma.github.io/Logging_0604/kartor/A 59975-2020 karta.png", "A 59975-2020")</f>
        <v/>
      </c>
      <c r="U78">
        <f>HYPERLINK("https://klasma.github.io/Logging_0604/knärot/A 59975-2020 karta knärot.png", "A 59975-2020")</f>
        <v/>
      </c>
      <c r="V78">
        <f>HYPERLINK("https://klasma.github.io/Logging_0604/klagomål/A 59975-2020 FSC-klagomål.docx", "A 59975-2020")</f>
        <v/>
      </c>
      <c r="W78">
        <f>HYPERLINK("https://klasma.github.io/Logging_0604/klagomålsmail/A 59975-2020 FSC-klagomål mail.docx", "A 59975-2020")</f>
        <v/>
      </c>
      <c r="X78">
        <f>HYPERLINK("https://klasma.github.io/Logging_0604/tillsyn/A 59975-2020 tillsynsbegäran.docx", "A 59975-2020")</f>
        <v/>
      </c>
      <c r="Y78">
        <f>HYPERLINK("https://klasma.github.io/Logging_0604/tillsynsmail/A 59975-2020 tillsynsbegäran mail.docx", "A 59975-2020")</f>
        <v/>
      </c>
    </row>
    <row r="79" ht="15" customHeight="1">
      <c r="A79" t="inlineStr">
        <is>
          <t>A 1269-2022</t>
        </is>
      </c>
      <c r="B79" s="1" t="n">
        <v>44572.64711805555</v>
      </c>
      <c r="C79" s="1" t="n">
        <v>45962</v>
      </c>
      <c r="D79" t="inlineStr">
        <is>
          <t>JÖNKÖPINGS LÄN</t>
        </is>
      </c>
      <c r="E79" t="inlineStr">
        <is>
          <t>VETLANDA</t>
        </is>
      </c>
      <c r="G79" t="n">
        <v>0.7</v>
      </c>
      <c r="H79" t="n">
        <v>0</v>
      </c>
      <c r="I79" t="n">
        <v>1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2</v>
      </c>
      <c r="R79" s="2" t="inlineStr">
        <is>
          <t>Gullklöver
Tibast</t>
        </is>
      </c>
      <c r="S79">
        <f>HYPERLINK("https://klasma.github.io/Logging_0685/artfynd/A 1269-2022 artfynd.xlsx", "A 1269-2022")</f>
        <v/>
      </c>
      <c r="T79">
        <f>HYPERLINK("https://klasma.github.io/Logging_0685/kartor/A 1269-2022 karta.png", "A 1269-2022")</f>
        <v/>
      </c>
      <c r="V79">
        <f>HYPERLINK("https://klasma.github.io/Logging_0685/klagomål/A 1269-2022 FSC-klagomål.docx", "A 1269-2022")</f>
        <v/>
      </c>
      <c r="W79">
        <f>HYPERLINK("https://klasma.github.io/Logging_0685/klagomålsmail/A 1269-2022 FSC-klagomål mail.docx", "A 1269-2022")</f>
        <v/>
      </c>
      <c r="X79">
        <f>HYPERLINK("https://klasma.github.io/Logging_0685/tillsyn/A 1269-2022 tillsynsbegäran.docx", "A 1269-2022")</f>
        <v/>
      </c>
      <c r="Y79">
        <f>HYPERLINK("https://klasma.github.io/Logging_0685/tillsynsmail/A 1269-2022 tillsynsbegäran mail.docx", "A 1269-2022")</f>
        <v/>
      </c>
    </row>
    <row r="80" ht="15" customHeight="1">
      <c r="A80" t="inlineStr">
        <is>
          <t>A 17347-2025</t>
        </is>
      </c>
      <c r="B80" s="1" t="n">
        <v>45756.67384259259</v>
      </c>
      <c r="C80" s="1" t="n">
        <v>45962</v>
      </c>
      <c r="D80" t="inlineStr">
        <is>
          <t>JÖNKÖPINGS LÄN</t>
        </is>
      </c>
      <c r="E80" t="inlineStr">
        <is>
          <t>SÄVSJÖ</t>
        </is>
      </c>
      <c r="F80" t="inlineStr">
        <is>
          <t>Kommuner</t>
        </is>
      </c>
      <c r="G80" t="n">
        <v>2.2</v>
      </c>
      <c r="H80" t="n">
        <v>2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2</v>
      </c>
      <c r="R80" s="2" t="inlineStr">
        <is>
          <t>Mattlummer
Revlummer</t>
        </is>
      </c>
      <c r="S80">
        <f>HYPERLINK("https://klasma.github.io/Logging_0684/artfynd/A 17347-2025 artfynd.xlsx", "A 17347-2025")</f>
        <v/>
      </c>
      <c r="T80">
        <f>HYPERLINK("https://klasma.github.io/Logging_0684/kartor/A 17347-2025 karta.png", "A 17347-2025")</f>
        <v/>
      </c>
      <c r="V80">
        <f>HYPERLINK("https://klasma.github.io/Logging_0684/klagomål/A 17347-2025 FSC-klagomål.docx", "A 17347-2025")</f>
        <v/>
      </c>
      <c r="W80">
        <f>HYPERLINK("https://klasma.github.io/Logging_0684/klagomålsmail/A 17347-2025 FSC-klagomål mail.docx", "A 17347-2025")</f>
        <v/>
      </c>
      <c r="X80">
        <f>HYPERLINK("https://klasma.github.io/Logging_0684/tillsyn/A 17347-2025 tillsynsbegäran.docx", "A 17347-2025")</f>
        <v/>
      </c>
      <c r="Y80">
        <f>HYPERLINK("https://klasma.github.io/Logging_0684/tillsynsmail/A 17347-2025 tillsynsbegäran mail.docx", "A 17347-2025")</f>
        <v/>
      </c>
    </row>
    <row r="81" ht="15" customHeight="1">
      <c r="A81" t="inlineStr">
        <is>
          <t>A 57916-2024</t>
        </is>
      </c>
      <c r="B81" s="1" t="n">
        <v>45631.49844907408</v>
      </c>
      <c r="C81" s="1" t="n">
        <v>45962</v>
      </c>
      <c r="D81" t="inlineStr">
        <is>
          <t>JÖNKÖPINGS LÄN</t>
        </is>
      </c>
      <c r="E81" t="inlineStr">
        <is>
          <t>HABO</t>
        </is>
      </c>
      <c r="G81" t="n">
        <v>4.7</v>
      </c>
      <c r="H81" t="n">
        <v>0</v>
      </c>
      <c r="I81" t="n">
        <v>1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2</v>
      </c>
      <c r="R81" s="2" t="inlineStr">
        <is>
          <t>Motaggsvamp
Blomkålssvamp</t>
        </is>
      </c>
      <c r="S81">
        <f>HYPERLINK("https://klasma.github.io/Logging_0643/artfynd/A 57916-2024 artfynd.xlsx", "A 57916-2024")</f>
        <v/>
      </c>
      <c r="T81">
        <f>HYPERLINK("https://klasma.github.io/Logging_0643/kartor/A 57916-2024 karta.png", "A 57916-2024")</f>
        <v/>
      </c>
      <c r="V81">
        <f>HYPERLINK("https://klasma.github.io/Logging_0643/klagomål/A 57916-2024 FSC-klagomål.docx", "A 57916-2024")</f>
        <v/>
      </c>
      <c r="W81">
        <f>HYPERLINK("https://klasma.github.io/Logging_0643/klagomålsmail/A 57916-2024 FSC-klagomål mail.docx", "A 57916-2024")</f>
        <v/>
      </c>
      <c r="X81">
        <f>HYPERLINK("https://klasma.github.io/Logging_0643/tillsyn/A 57916-2024 tillsynsbegäran.docx", "A 57916-2024")</f>
        <v/>
      </c>
      <c r="Y81">
        <f>HYPERLINK("https://klasma.github.io/Logging_0643/tillsynsmail/A 57916-2024 tillsynsbegäran mail.docx", "A 57916-2024")</f>
        <v/>
      </c>
    </row>
    <row r="82" ht="15" customHeight="1">
      <c r="A82" t="inlineStr">
        <is>
          <t>A 35828-2024</t>
        </is>
      </c>
      <c r="B82" s="1" t="n">
        <v>45532.67104166667</v>
      </c>
      <c r="C82" s="1" t="n">
        <v>45962</v>
      </c>
      <c r="D82" t="inlineStr">
        <is>
          <t>JÖNKÖPINGS LÄN</t>
        </is>
      </c>
      <c r="E82" t="inlineStr">
        <is>
          <t>MULLSJÖ</t>
        </is>
      </c>
      <c r="G82" t="n">
        <v>6.7</v>
      </c>
      <c r="H82" t="n">
        <v>0</v>
      </c>
      <c r="I82" t="n">
        <v>0</v>
      </c>
      <c r="J82" t="n">
        <v>1</v>
      </c>
      <c r="K82" t="n">
        <v>0</v>
      </c>
      <c r="L82" t="n">
        <v>1</v>
      </c>
      <c r="M82" t="n">
        <v>0</v>
      </c>
      <c r="N82" t="n">
        <v>0</v>
      </c>
      <c r="O82" t="n">
        <v>2</v>
      </c>
      <c r="P82" t="n">
        <v>1</v>
      </c>
      <c r="Q82" t="n">
        <v>2</v>
      </c>
      <c r="R82" s="2" t="inlineStr">
        <is>
          <t>Ask
Svinrot</t>
        </is>
      </c>
      <c r="S82">
        <f>HYPERLINK("https://klasma.github.io/Logging_0642/artfynd/A 35828-2024 artfynd.xlsx", "A 35828-2024")</f>
        <v/>
      </c>
      <c r="T82">
        <f>HYPERLINK("https://klasma.github.io/Logging_0642/kartor/A 35828-2024 karta.png", "A 35828-2024")</f>
        <v/>
      </c>
      <c r="V82">
        <f>HYPERLINK("https://klasma.github.io/Logging_0642/klagomål/A 35828-2024 FSC-klagomål.docx", "A 35828-2024")</f>
        <v/>
      </c>
      <c r="W82">
        <f>HYPERLINK("https://klasma.github.io/Logging_0642/klagomålsmail/A 35828-2024 FSC-klagomål mail.docx", "A 35828-2024")</f>
        <v/>
      </c>
      <c r="X82">
        <f>HYPERLINK("https://klasma.github.io/Logging_0642/tillsyn/A 35828-2024 tillsynsbegäran.docx", "A 35828-2024")</f>
        <v/>
      </c>
      <c r="Y82">
        <f>HYPERLINK("https://klasma.github.io/Logging_0642/tillsynsmail/A 35828-2024 tillsynsbegäran mail.docx", "A 35828-2024")</f>
        <v/>
      </c>
    </row>
    <row r="83" ht="15" customHeight="1">
      <c r="A83" t="inlineStr">
        <is>
          <t>A 33797-2024</t>
        </is>
      </c>
      <c r="B83" s="1" t="n">
        <v>45520.59846064815</v>
      </c>
      <c r="C83" s="1" t="n">
        <v>45962</v>
      </c>
      <c r="D83" t="inlineStr">
        <is>
          <t>JÖNKÖPINGS LÄN</t>
        </is>
      </c>
      <c r="E83" t="inlineStr">
        <is>
          <t>VETLANDA</t>
        </is>
      </c>
      <c r="G83" t="n">
        <v>2</v>
      </c>
      <c r="H83" t="n">
        <v>2</v>
      </c>
      <c r="I83" t="n">
        <v>0</v>
      </c>
      <c r="J83" t="n">
        <v>0</v>
      </c>
      <c r="K83" t="n">
        <v>1</v>
      </c>
      <c r="L83" t="n">
        <v>0</v>
      </c>
      <c r="M83" t="n">
        <v>0</v>
      </c>
      <c r="N83" t="n">
        <v>0</v>
      </c>
      <c r="O83" t="n">
        <v>1</v>
      </c>
      <c r="P83" t="n">
        <v>1</v>
      </c>
      <c r="Q83" t="n">
        <v>2</v>
      </c>
      <c r="R83" s="2" t="inlineStr">
        <is>
          <t>Knärot
Vanlig groda</t>
        </is>
      </c>
      <c r="S83">
        <f>HYPERLINK("https://klasma.github.io/Logging_0685/artfynd/A 33797-2024 artfynd.xlsx", "A 33797-2024")</f>
        <v/>
      </c>
      <c r="T83">
        <f>HYPERLINK("https://klasma.github.io/Logging_0685/kartor/A 33797-2024 karta.png", "A 33797-2024")</f>
        <v/>
      </c>
      <c r="U83">
        <f>HYPERLINK("https://klasma.github.io/Logging_0685/knärot/A 33797-2024 karta knärot.png", "A 33797-2024")</f>
        <v/>
      </c>
      <c r="V83">
        <f>HYPERLINK("https://klasma.github.io/Logging_0685/klagomål/A 33797-2024 FSC-klagomål.docx", "A 33797-2024")</f>
        <v/>
      </c>
      <c r="W83">
        <f>HYPERLINK("https://klasma.github.io/Logging_0685/klagomålsmail/A 33797-2024 FSC-klagomål mail.docx", "A 33797-2024")</f>
        <v/>
      </c>
      <c r="X83">
        <f>HYPERLINK("https://klasma.github.io/Logging_0685/tillsyn/A 33797-2024 tillsynsbegäran.docx", "A 33797-2024")</f>
        <v/>
      </c>
      <c r="Y83">
        <f>HYPERLINK("https://klasma.github.io/Logging_0685/tillsynsmail/A 33797-2024 tillsynsbegäran mail.docx", "A 33797-2024")</f>
        <v/>
      </c>
    </row>
    <row r="84" ht="15" customHeight="1">
      <c r="A84" t="inlineStr">
        <is>
          <t>A 9221-2024</t>
        </is>
      </c>
      <c r="B84" s="1" t="n">
        <v>45358.52763888889</v>
      </c>
      <c r="C84" s="1" t="n">
        <v>45962</v>
      </c>
      <c r="D84" t="inlineStr">
        <is>
          <t>JÖNKÖPINGS LÄN</t>
        </is>
      </c>
      <c r="E84" t="inlineStr">
        <is>
          <t>JÖNKÖPING</t>
        </is>
      </c>
      <c r="G84" t="n">
        <v>4.7</v>
      </c>
      <c r="H84" t="n">
        <v>0</v>
      </c>
      <c r="I84" t="n">
        <v>1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1</v>
      </c>
      <c r="P84" t="n">
        <v>0</v>
      </c>
      <c r="Q84" t="n">
        <v>2</v>
      </c>
      <c r="R84" s="2" t="inlineStr">
        <is>
          <t>Motaggsvamp
Blomkålssvamp</t>
        </is>
      </c>
      <c r="S84">
        <f>HYPERLINK("https://klasma.github.io/Logging_0680/artfynd/A 9221-2024 artfynd.xlsx", "A 9221-2024")</f>
        <v/>
      </c>
      <c r="T84">
        <f>HYPERLINK("https://klasma.github.io/Logging_0680/kartor/A 9221-2024 karta.png", "A 9221-2024")</f>
        <v/>
      </c>
      <c r="V84">
        <f>HYPERLINK("https://klasma.github.io/Logging_0680/klagomål/A 9221-2024 FSC-klagomål.docx", "A 9221-2024")</f>
        <v/>
      </c>
      <c r="W84">
        <f>HYPERLINK("https://klasma.github.io/Logging_0680/klagomålsmail/A 9221-2024 FSC-klagomål mail.docx", "A 9221-2024")</f>
        <v/>
      </c>
      <c r="X84">
        <f>HYPERLINK("https://klasma.github.io/Logging_0680/tillsyn/A 9221-2024 tillsynsbegäran.docx", "A 9221-2024")</f>
        <v/>
      </c>
      <c r="Y84">
        <f>HYPERLINK("https://klasma.github.io/Logging_0680/tillsynsmail/A 9221-2024 tillsynsbegäran mail.docx", "A 9221-2024")</f>
        <v/>
      </c>
    </row>
    <row r="85" ht="15" customHeight="1">
      <c r="A85" t="inlineStr">
        <is>
          <t>A 882-2021</t>
        </is>
      </c>
      <c r="B85" s="1" t="n">
        <v>44205</v>
      </c>
      <c r="C85" s="1" t="n">
        <v>45962</v>
      </c>
      <c r="D85" t="inlineStr">
        <is>
          <t>JÖNKÖPINGS LÄN</t>
        </is>
      </c>
      <c r="E85" t="inlineStr">
        <is>
          <t>VETLANDA</t>
        </is>
      </c>
      <c r="G85" t="n">
        <v>2.9</v>
      </c>
      <c r="H85" t="n">
        <v>0</v>
      </c>
      <c r="I85" t="n">
        <v>0</v>
      </c>
      <c r="J85" t="n">
        <v>2</v>
      </c>
      <c r="K85" t="n">
        <v>0</v>
      </c>
      <c r="L85" t="n">
        <v>0</v>
      </c>
      <c r="M85" t="n">
        <v>0</v>
      </c>
      <c r="N85" t="n">
        <v>0</v>
      </c>
      <c r="O85" t="n">
        <v>2</v>
      </c>
      <c r="P85" t="n">
        <v>0</v>
      </c>
      <c r="Q85" t="n">
        <v>2</v>
      </c>
      <c r="R85" s="2" t="inlineStr">
        <is>
          <t>Sommarfibbla
Svinrot</t>
        </is>
      </c>
      <c r="S85">
        <f>HYPERLINK("https://klasma.github.io/Logging_0685/artfynd/A 882-2021 artfynd.xlsx", "A 882-2021")</f>
        <v/>
      </c>
      <c r="T85">
        <f>HYPERLINK("https://klasma.github.io/Logging_0685/kartor/A 882-2021 karta.png", "A 882-2021")</f>
        <v/>
      </c>
      <c r="V85">
        <f>HYPERLINK("https://klasma.github.io/Logging_0685/klagomål/A 882-2021 FSC-klagomål.docx", "A 882-2021")</f>
        <v/>
      </c>
      <c r="W85">
        <f>HYPERLINK("https://klasma.github.io/Logging_0685/klagomålsmail/A 882-2021 FSC-klagomål mail.docx", "A 882-2021")</f>
        <v/>
      </c>
      <c r="X85">
        <f>HYPERLINK("https://klasma.github.io/Logging_0685/tillsyn/A 882-2021 tillsynsbegäran.docx", "A 882-2021")</f>
        <v/>
      </c>
      <c r="Y85">
        <f>HYPERLINK("https://klasma.github.io/Logging_0685/tillsynsmail/A 882-2021 tillsynsbegäran mail.docx", "A 882-2021")</f>
        <v/>
      </c>
    </row>
    <row r="86" ht="15" customHeight="1">
      <c r="A86" t="inlineStr">
        <is>
          <t>A 7365-2023</t>
        </is>
      </c>
      <c r="B86" s="1" t="n">
        <v>44971</v>
      </c>
      <c r="C86" s="1" t="n">
        <v>45962</v>
      </c>
      <c r="D86" t="inlineStr">
        <is>
          <t>JÖNKÖPINGS LÄN</t>
        </is>
      </c>
      <c r="E86" t="inlineStr">
        <is>
          <t>MULLSJÖ</t>
        </is>
      </c>
      <c r="G86" t="n">
        <v>1.6</v>
      </c>
      <c r="H86" t="n">
        <v>2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2</v>
      </c>
      <c r="R86" s="2" t="inlineStr">
        <is>
          <t>Fläcknycklar
Grönvit nattviol</t>
        </is>
      </c>
      <c r="S86">
        <f>HYPERLINK("https://klasma.github.io/Logging_0642/artfynd/A 7365-2023 artfynd.xlsx", "A 7365-2023")</f>
        <v/>
      </c>
      <c r="T86">
        <f>HYPERLINK("https://klasma.github.io/Logging_0642/kartor/A 7365-2023 karta.png", "A 7365-2023")</f>
        <v/>
      </c>
      <c r="V86">
        <f>HYPERLINK("https://klasma.github.io/Logging_0642/klagomål/A 7365-2023 FSC-klagomål.docx", "A 7365-2023")</f>
        <v/>
      </c>
      <c r="W86">
        <f>HYPERLINK("https://klasma.github.io/Logging_0642/klagomålsmail/A 7365-2023 FSC-klagomål mail.docx", "A 7365-2023")</f>
        <v/>
      </c>
      <c r="X86">
        <f>HYPERLINK("https://klasma.github.io/Logging_0642/tillsyn/A 7365-2023 tillsynsbegäran.docx", "A 7365-2023")</f>
        <v/>
      </c>
      <c r="Y86">
        <f>HYPERLINK("https://klasma.github.io/Logging_0642/tillsynsmail/A 7365-2023 tillsynsbegäran mail.docx", "A 7365-2023")</f>
        <v/>
      </c>
    </row>
    <row r="87" ht="15" customHeight="1">
      <c r="A87" t="inlineStr">
        <is>
          <t>A 46272-2022</t>
        </is>
      </c>
      <c r="B87" s="1" t="n">
        <v>44847</v>
      </c>
      <c r="C87" s="1" t="n">
        <v>45962</v>
      </c>
      <c r="D87" t="inlineStr">
        <is>
          <t>JÖNKÖPINGS LÄN</t>
        </is>
      </c>
      <c r="E87" t="inlineStr">
        <is>
          <t>SÄVSJÖ</t>
        </is>
      </c>
      <c r="G87" t="n">
        <v>6</v>
      </c>
      <c r="H87" t="n">
        <v>1</v>
      </c>
      <c r="I87" t="n">
        <v>0</v>
      </c>
      <c r="J87" t="n">
        <v>0</v>
      </c>
      <c r="K87" t="n">
        <v>1</v>
      </c>
      <c r="L87" t="n">
        <v>1</v>
      </c>
      <c r="M87" t="n">
        <v>0</v>
      </c>
      <c r="N87" t="n">
        <v>0</v>
      </c>
      <c r="O87" t="n">
        <v>2</v>
      </c>
      <c r="P87" t="n">
        <v>2</v>
      </c>
      <c r="Q87" t="n">
        <v>2</v>
      </c>
      <c r="R87" s="2" t="inlineStr">
        <is>
          <t>Mosippa
Slåttergubbe</t>
        </is>
      </c>
      <c r="S87">
        <f>HYPERLINK("https://klasma.github.io/Logging_0684/artfynd/A 46272-2022 artfynd.xlsx", "A 46272-2022")</f>
        <v/>
      </c>
      <c r="T87">
        <f>HYPERLINK("https://klasma.github.io/Logging_0684/kartor/A 46272-2022 karta.png", "A 46272-2022")</f>
        <v/>
      </c>
      <c r="V87">
        <f>HYPERLINK("https://klasma.github.io/Logging_0684/klagomål/A 46272-2022 FSC-klagomål.docx", "A 46272-2022")</f>
        <v/>
      </c>
      <c r="W87">
        <f>HYPERLINK("https://klasma.github.io/Logging_0684/klagomålsmail/A 46272-2022 FSC-klagomål mail.docx", "A 46272-2022")</f>
        <v/>
      </c>
      <c r="X87">
        <f>HYPERLINK("https://klasma.github.io/Logging_0684/tillsyn/A 46272-2022 tillsynsbegäran.docx", "A 46272-2022")</f>
        <v/>
      </c>
      <c r="Y87">
        <f>HYPERLINK("https://klasma.github.io/Logging_0684/tillsynsmail/A 46272-2022 tillsynsbegäran mail.docx", "A 46272-2022")</f>
        <v/>
      </c>
    </row>
    <row r="88" ht="15" customHeight="1">
      <c r="A88" t="inlineStr">
        <is>
          <t>A 37016-2024</t>
        </is>
      </c>
      <c r="B88" s="1" t="n">
        <v>45539</v>
      </c>
      <c r="C88" s="1" t="n">
        <v>45962</v>
      </c>
      <c r="D88" t="inlineStr">
        <is>
          <t>JÖNKÖPINGS LÄN</t>
        </is>
      </c>
      <c r="E88" t="inlineStr">
        <is>
          <t>JÖNKÖPING</t>
        </is>
      </c>
      <c r="G88" t="n">
        <v>1</v>
      </c>
      <c r="H88" t="n">
        <v>0</v>
      </c>
      <c r="I88" t="n">
        <v>2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2</v>
      </c>
      <c r="R88" s="2" t="inlineStr">
        <is>
          <t>Tibast
Vårärt</t>
        </is>
      </c>
      <c r="S88">
        <f>HYPERLINK("https://klasma.github.io/Logging_0680/artfynd/A 37016-2024 artfynd.xlsx", "A 37016-2024")</f>
        <v/>
      </c>
      <c r="T88">
        <f>HYPERLINK("https://klasma.github.io/Logging_0680/kartor/A 37016-2024 karta.png", "A 37016-2024")</f>
        <v/>
      </c>
      <c r="V88">
        <f>HYPERLINK("https://klasma.github.io/Logging_0680/klagomål/A 37016-2024 FSC-klagomål.docx", "A 37016-2024")</f>
        <v/>
      </c>
      <c r="W88">
        <f>HYPERLINK("https://klasma.github.io/Logging_0680/klagomålsmail/A 37016-2024 FSC-klagomål mail.docx", "A 37016-2024")</f>
        <v/>
      </c>
      <c r="X88">
        <f>HYPERLINK("https://klasma.github.io/Logging_0680/tillsyn/A 37016-2024 tillsynsbegäran.docx", "A 37016-2024")</f>
        <v/>
      </c>
      <c r="Y88">
        <f>HYPERLINK("https://klasma.github.io/Logging_0680/tillsynsmail/A 37016-2024 tillsynsbegäran mail.docx", "A 37016-2024")</f>
        <v/>
      </c>
    </row>
    <row r="89" ht="15" customHeight="1">
      <c r="A89" t="inlineStr">
        <is>
          <t>A 4438-2024</t>
        </is>
      </c>
      <c r="B89" s="1" t="n">
        <v>45327.48333333333</v>
      </c>
      <c r="C89" s="1" t="n">
        <v>45962</v>
      </c>
      <c r="D89" t="inlineStr">
        <is>
          <t>JÖNKÖPINGS LÄN</t>
        </is>
      </c>
      <c r="E89" t="inlineStr">
        <is>
          <t>VÄRNAMO</t>
        </is>
      </c>
      <c r="G89" t="n">
        <v>12.6</v>
      </c>
      <c r="H89" t="n">
        <v>0</v>
      </c>
      <c r="I89" t="n">
        <v>2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2</v>
      </c>
      <c r="R89" s="2" t="inlineStr">
        <is>
          <t>Stor revmossa
Västlig hakmossa</t>
        </is>
      </c>
      <c r="S89">
        <f>HYPERLINK("https://klasma.github.io/Logging_0683/artfynd/A 4438-2024 artfynd.xlsx", "A 4438-2024")</f>
        <v/>
      </c>
      <c r="T89">
        <f>HYPERLINK("https://klasma.github.io/Logging_0683/kartor/A 4438-2024 karta.png", "A 4438-2024")</f>
        <v/>
      </c>
      <c r="V89">
        <f>HYPERLINK("https://klasma.github.io/Logging_0683/klagomål/A 4438-2024 FSC-klagomål.docx", "A 4438-2024")</f>
        <v/>
      </c>
      <c r="W89">
        <f>HYPERLINK("https://klasma.github.io/Logging_0683/klagomålsmail/A 4438-2024 FSC-klagomål mail.docx", "A 4438-2024")</f>
        <v/>
      </c>
      <c r="X89">
        <f>HYPERLINK("https://klasma.github.io/Logging_0683/tillsyn/A 4438-2024 tillsynsbegäran.docx", "A 4438-2024")</f>
        <v/>
      </c>
      <c r="Y89">
        <f>HYPERLINK("https://klasma.github.io/Logging_0683/tillsynsmail/A 4438-2024 tillsynsbegäran mail.docx", "A 4438-2024")</f>
        <v/>
      </c>
    </row>
    <row r="90" ht="15" customHeight="1">
      <c r="A90" t="inlineStr">
        <is>
          <t>A 18510-2025</t>
        </is>
      </c>
      <c r="B90" s="1" t="n">
        <v>45763.38111111111</v>
      </c>
      <c r="C90" s="1" t="n">
        <v>45962</v>
      </c>
      <c r="D90" t="inlineStr">
        <is>
          <t>JÖNKÖPINGS LÄN</t>
        </is>
      </c>
      <c r="E90" t="inlineStr">
        <is>
          <t>VETLANDA</t>
        </is>
      </c>
      <c r="G90" t="n">
        <v>0.7</v>
      </c>
      <c r="H90" t="n">
        <v>0</v>
      </c>
      <c r="I90" t="n">
        <v>0</v>
      </c>
      <c r="J90" t="n">
        <v>1</v>
      </c>
      <c r="K90" t="n">
        <v>1</v>
      </c>
      <c r="L90" t="n">
        <v>0</v>
      </c>
      <c r="M90" t="n">
        <v>0</v>
      </c>
      <c r="N90" t="n">
        <v>0</v>
      </c>
      <c r="O90" t="n">
        <v>2</v>
      </c>
      <c r="P90" t="n">
        <v>1</v>
      </c>
      <c r="Q90" t="n">
        <v>2</v>
      </c>
      <c r="R90" s="2" t="inlineStr">
        <is>
          <t>Växeltandsfibbla
Spretfibbla</t>
        </is>
      </c>
      <c r="S90">
        <f>HYPERLINK("https://klasma.github.io/Logging_0685/artfynd/A 18510-2025 artfynd.xlsx", "A 18510-2025")</f>
        <v/>
      </c>
      <c r="T90">
        <f>HYPERLINK("https://klasma.github.io/Logging_0685/kartor/A 18510-2025 karta.png", "A 18510-2025")</f>
        <v/>
      </c>
      <c r="V90">
        <f>HYPERLINK("https://klasma.github.io/Logging_0685/klagomål/A 18510-2025 FSC-klagomål.docx", "A 18510-2025")</f>
        <v/>
      </c>
      <c r="W90">
        <f>HYPERLINK("https://klasma.github.io/Logging_0685/klagomålsmail/A 18510-2025 FSC-klagomål mail.docx", "A 18510-2025")</f>
        <v/>
      </c>
      <c r="X90">
        <f>HYPERLINK("https://klasma.github.io/Logging_0685/tillsyn/A 18510-2025 tillsynsbegäran.docx", "A 18510-2025")</f>
        <v/>
      </c>
      <c r="Y90">
        <f>HYPERLINK("https://klasma.github.io/Logging_0685/tillsynsmail/A 18510-2025 tillsynsbegäran mail.docx", "A 18510-2025")</f>
        <v/>
      </c>
    </row>
    <row r="91" ht="15" customHeight="1">
      <c r="A91" t="inlineStr">
        <is>
          <t>A 28300-2024</t>
        </is>
      </c>
      <c r="B91" s="1" t="n">
        <v>45477.48292824074</v>
      </c>
      <c r="C91" s="1" t="n">
        <v>45962</v>
      </c>
      <c r="D91" t="inlineStr">
        <is>
          <t>JÖNKÖPINGS LÄN</t>
        </is>
      </c>
      <c r="E91" t="inlineStr">
        <is>
          <t>VETLANDA</t>
        </is>
      </c>
      <c r="G91" t="n">
        <v>7.9</v>
      </c>
      <c r="H91" t="n">
        <v>1</v>
      </c>
      <c r="I91" t="n">
        <v>1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2</v>
      </c>
      <c r="R91" s="2" t="inlineStr">
        <is>
          <t>Talltita
Dropptaggsvamp</t>
        </is>
      </c>
      <c r="S91">
        <f>HYPERLINK("https://klasma.github.io/Logging_0685/artfynd/A 28300-2024 artfynd.xlsx", "A 28300-2024")</f>
        <v/>
      </c>
      <c r="T91">
        <f>HYPERLINK("https://klasma.github.io/Logging_0685/kartor/A 28300-2024 karta.png", "A 28300-2024")</f>
        <v/>
      </c>
      <c r="V91">
        <f>HYPERLINK("https://klasma.github.io/Logging_0685/klagomål/A 28300-2024 FSC-klagomål.docx", "A 28300-2024")</f>
        <v/>
      </c>
      <c r="W91">
        <f>HYPERLINK("https://klasma.github.io/Logging_0685/klagomålsmail/A 28300-2024 FSC-klagomål mail.docx", "A 28300-2024")</f>
        <v/>
      </c>
      <c r="X91">
        <f>HYPERLINK("https://klasma.github.io/Logging_0685/tillsyn/A 28300-2024 tillsynsbegäran.docx", "A 28300-2024")</f>
        <v/>
      </c>
      <c r="Y91">
        <f>HYPERLINK("https://klasma.github.io/Logging_0685/tillsynsmail/A 28300-2024 tillsynsbegäran mail.docx", "A 28300-2024")</f>
        <v/>
      </c>
      <c r="Z91">
        <f>HYPERLINK("https://klasma.github.io/Logging_0685/fåglar/A 28300-2024 prioriterade fågelarter.docx", "A 28300-2024")</f>
        <v/>
      </c>
    </row>
    <row r="92" ht="15" customHeight="1">
      <c r="A92" t="inlineStr">
        <is>
          <t>A 4015-2023</t>
        </is>
      </c>
      <c r="B92" s="1" t="n">
        <v>44952.53710648148</v>
      </c>
      <c r="C92" s="1" t="n">
        <v>45962</v>
      </c>
      <c r="D92" t="inlineStr">
        <is>
          <t>JÖNKÖPINGS LÄN</t>
        </is>
      </c>
      <c r="E92" t="inlineStr">
        <is>
          <t>VAGGERYD</t>
        </is>
      </c>
      <c r="G92" t="n">
        <v>6</v>
      </c>
      <c r="H92" t="n">
        <v>2</v>
      </c>
      <c r="I92" t="n">
        <v>2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2</v>
      </c>
      <c r="R92" s="2" t="inlineStr">
        <is>
          <t>Korallrot
Spindelblomster</t>
        </is>
      </c>
      <c r="S92">
        <f>HYPERLINK("https://klasma.github.io/Logging_0665/artfynd/A 4015-2023 artfynd.xlsx", "A 4015-2023")</f>
        <v/>
      </c>
      <c r="T92">
        <f>HYPERLINK("https://klasma.github.io/Logging_0665/kartor/A 4015-2023 karta.png", "A 4015-2023")</f>
        <v/>
      </c>
      <c r="V92">
        <f>HYPERLINK("https://klasma.github.io/Logging_0665/klagomål/A 4015-2023 FSC-klagomål.docx", "A 4015-2023")</f>
        <v/>
      </c>
      <c r="W92">
        <f>HYPERLINK("https://klasma.github.io/Logging_0665/klagomålsmail/A 4015-2023 FSC-klagomål mail.docx", "A 4015-2023")</f>
        <v/>
      </c>
      <c r="X92">
        <f>HYPERLINK("https://klasma.github.io/Logging_0665/tillsyn/A 4015-2023 tillsynsbegäran.docx", "A 4015-2023")</f>
        <v/>
      </c>
      <c r="Y92">
        <f>HYPERLINK("https://klasma.github.io/Logging_0665/tillsynsmail/A 4015-2023 tillsynsbegäran mail.docx", "A 4015-2023")</f>
        <v/>
      </c>
    </row>
    <row r="93" ht="15" customHeight="1">
      <c r="A93" t="inlineStr">
        <is>
          <t>A 58663-2024</t>
        </is>
      </c>
      <c r="B93" s="1" t="n">
        <v>45635.6062037037</v>
      </c>
      <c r="C93" s="1" t="n">
        <v>45962</v>
      </c>
      <c r="D93" t="inlineStr">
        <is>
          <t>JÖNKÖPINGS LÄN</t>
        </is>
      </c>
      <c r="E93" t="inlineStr">
        <is>
          <t>HABO</t>
        </is>
      </c>
      <c r="G93" t="n">
        <v>2</v>
      </c>
      <c r="H93" t="n">
        <v>0</v>
      </c>
      <c r="I93" t="n">
        <v>0</v>
      </c>
      <c r="J93" t="n">
        <v>2</v>
      </c>
      <c r="K93" t="n">
        <v>0</v>
      </c>
      <c r="L93" t="n">
        <v>0</v>
      </c>
      <c r="M93" t="n">
        <v>0</v>
      </c>
      <c r="N93" t="n">
        <v>0</v>
      </c>
      <c r="O93" t="n">
        <v>2</v>
      </c>
      <c r="P93" t="n">
        <v>0</v>
      </c>
      <c r="Q93" t="n">
        <v>2</v>
      </c>
      <c r="R93" s="2" t="inlineStr">
        <is>
          <t>Motaggsvamp
Rhithrogena germanica</t>
        </is>
      </c>
      <c r="S93">
        <f>HYPERLINK("https://klasma.github.io/Logging_0643/artfynd/A 58663-2024 artfynd.xlsx", "A 58663-2024")</f>
        <v/>
      </c>
      <c r="T93">
        <f>HYPERLINK("https://klasma.github.io/Logging_0643/kartor/A 58663-2024 karta.png", "A 58663-2024")</f>
        <v/>
      </c>
      <c r="V93">
        <f>HYPERLINK("https://klasma.github.io/Logging_0643/klagomål/A 58663-2024 FSC-klagomål.docx", "A 58663-2024")</f>
        <v/>
      </c>
      <c r="W93">
        <f>HYPERLINK("https://klasma.github.io/Logging_0643/klagomålsmail/A 58663-2024 FSC-klagomål mail.docx", "A 58663-2024")</f>
        <v/>
      </c>
      <c r="X93">
        <f>HYPERLINK("https://klasma.github.io/Logging_0643/tillsyn/A 58663-2024 tillsynsbegäran.docx", "A 58663-2024")</f>
        <v/>
      </c>
      <c r="Y93">
        <f>HYPERLINK("https://klasma.github.io/Logging_0643/tillsynsmail/A 58663-2024 tillsynsbegäran mail.docx", "A 58663-2024")</f>
        <v/>
      </c>
    </row>
    <row r="94" ht="15" customHeight="1">
      <c r="A94" t="inlineStr">
        <is>
          <t>A 22417-2025</t>
        </is>
      </c>
      <c r="B94" s="1" t="n">
        <v>45786.56075231481</v>
      </c>
      <c r="C94" s="1" t="n">
        <v>45962</v>
      </c>
      <c r="D94" t="inlineStr">
        <is>
          <t>JÖNKÖPINGS LÄN</t>
        </is>
      </c>
      <c r="E94" t="inlineStr">
        <is>
          <t>TRANÅS</t>
        </is>
      </c>
      <c r="G94" t="n">
        <v>1.3</v>
      </c>
      <c r="H94" t="n">
        <v>1</v>
      </c>
      <c r="I94" t="n">
        <v>1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2</v>
      </c>
      <c r="R94" s="2" t="inlineStr">
        <is>
          <t>Vätteros
Revlummer</t>
        </is>
      </c>
      <c r="S94">
        <f>HYPERLINK("https://klasma.github.io/Logging_0687/artfynd/A 22417-2025 artfynd.xlsx", "A 22417-2025")</f>
        <v/>
      </c>
      <c r="T94">
        <f>HYPERLINK("https://klasma.github.io/Logging_0687/kartor/A 22417-2025 karta.png", "A 22417-2025")</f>
        <v/>
      </c>
      <c r="V94">
        <f>HYPERLINK("https://klasma.github.io/Logging_0687/klagomål/A 22417-2025 FSC-klagomål.docx", "A 22417-2025")</f>
        <v/>
      </c>
      <c r="W94">
        <f>HYPERLINK("https://klasma.github.io/Logging_0687/klagomålsmail/A 22417-2025 FSC-klagomål mail.docx", "A 22417-2025")</f>
        <v/>
      </c>
      <c r="X94">
        <f>HYPERLINK("https://klasma.github.io/Logging_0687/tillsyn/A 22417-2025 tillsynsbegäran.docx", "A 22417-2025")</f>
        <v/>
      </c>
      <c r="Y94">
        <f>HYPERLINK("https://klasma.github.io/Logging_0687/tillsynsmail/A 22417-2025 tillsynsbegäran mail.docx", "A 22417-2025")</f>
        <v/>
      </c>
    </row>
    <row r="95" ht="15" customHeight="1">
      <c r="A95" t="inlineStr">
        <is>
          <t>A 13006-2022</t>
        </is>
      </c>
      <c r="B95" s="1" t="n">
        <v>44643</v>
      </c>
      <c r="C95" s="1" t="n">
        <v>45962</v>
      </c>
      <c r="D95" t="inlineStr">
        <is>
          <t>JÖNKÖPINGS LÄN</t>
        </is>
      </c>
      <c r="E95" t="inlineStr">
        <is>
          <t>VETLANDA</t>
        </is>
      </c>
      <c r="F95" t="inlineStr">
        <is>
          <t>Kommuner</t>
        </is>
      </c>
      <c r="G95" t="n">
        <v>12.5</v>
      </c>
      <c r="H95" t="n">
        <v>1</v>
      </c>
      <c r="I95" t="n">
        <v>1</v>
      </c>
      <c r="J95" t="n">
        <v>0</v>
      </c>
      <c r="K95" t="n">
        <v>1</v>
      </c>
      <c r="L95" t="n">
        <v>0</v>
      </c>
      <c r="M95" t="n">
        <v>0</v>
      </c>
      <c r="N95" t="n">
        <v>0</v>
      </c>
      <c r="O95" t="n">
        <v>1</v>
      </c>
      <c r="P95" t="n">
        <v>1</v>
      </c>
      <c r="Q95" t="n">
        <v>2</v>
      </c>
      <c r="R95" s="2" t="inlineStr">
        <is>
          <t>Knärot
Grönpyrola</t>
        </is>
      </c>
      <c r="S95">
        <f>HYPERLINK("https://klasma.github.io/Logging_0685/artfynd/A 13006-2022 artfynd.xlsx", "A 13006-2022")</f>
        <v/>
      </c>
      <c r="T95">
        <f>HYPERLINK("https://klasma.github.io/Logging_0685/kartor/A 13006-2022 karta.png", "A 13006-2022")</f>
        <v/>
      </c>
      <c r="U95">
        <f>HYPERLINK("https://klasma.github.io/Logging_0685/knärot/A 13006-2022 karta knärot.png", "A 13006-2022")</f>
        <v/>
      </c>
      <c r="V95">
        <f>HYPERLINK("https://klasma.github.io/Logging_0685/klagomål/A 13006-2022 FSC-klagomål.docx", "A 13006-2022")</f>
        <v/>
      </c>
      <c r="W95">
        <f>HYPERLINK("https://klasma.github.io/Logging_0685/klagomålsmail/A 13006-2022 FSC-klagomål mail.docx", "A 13006-2022")</f>
        <v/>
      </c>
      <c r="X95">
        <f>HYPERLINK("https://klasma.github.io/Logging_0685/tillsyn/A 13006-2022 tillsynsbegäran.docx", "A 13006-2022")</f>
        <v/>
      </c>
      <c r="Y95">
        <f>HYPERLINK("https://klasma.github.io/Logging_0685/tillsynsmail/A 13006-2022 tillsynsbegäran mail.docx", "A 13006-2022")</f>
        <v/>
      </c>
    </row>
    <row r="96" ht="15" customHeight="1">
      <c r="A96" t="inlineStr">
        <is>
          <t>A 23066-2025</t>
        </is>
      </c>
      <c r="B96" s="1" t="n">
        <v>45790.83706018519</v>
      </c>
      <c r="C96" s="1" t="n">
        <v>45962</v>
      </c>
      <c r="D96" t="inlineStr">
        <is>
          <t>JÖNKÖPINGS LÄN</t>
        </is>
      </c>
      <c r="E96" t="inlineStr">
        <is>
          <t>JÖNKÖPING</t>
        </is>
      </c>
      <c r="G96" t="n">
        <v>1.5</v>
      </c>
      <c r="H96" t="n">
        <v>1</v>
      </c>
      <c r="I96" t="n">
        <v>0</v>
      </c>
      <c r="J96" t="n">
        <v>0</v>
      </c>
      <c r="K96" t="n">
        <v>1</v>
      </c>
      <c r="L96" t="n">
        <v>0</v>
      </c>
      <c r="M96" t="n">
        <v>0</v>
      </c>
      <c r="N96" t="n">
        <v>0</v>
      </c>
      <c r="O96" t="n">
        <v>1</v>
      </c>
      <c r="P96" t="n">
        <v>1</v>
      </c>
      <c r="Q96" t="n">
        <v>2</v>
      </c>
      <c r="R96" s="2" t="inlineStr">
        <is>
          <t>Slåttergubbe
Nattviol</t>
        </is>
      </c>
      <c r="S96">
        <f>HYPERLINK("https://klasma.github.io/Logging_0680/artfynd/A 23066-2025 artfynd.xlsx", "A 23066-2025")</f>
        <v/>
      </c>
      <c r="T96">
        <f>HYPERLINK("https://klasma.github.io/Logging_0680/kartor/A 23066-2025 karta.png", "A 23066-2025")</f>
        <v/>
      </c>
      <c r="V96">
        <f>HYPERLINK("https://klasma.github.io/Logging_0680/klagomål/A 23066-2025 FSC-klagomål.docx", "A 23066-2025")</f>
        <v/>
      </c>
      <c r="W96">
        <f>HYPERLINK("https://klasma.github.io/Logging_0680/klagomålsmail/A 23066-2025 FSC-klagomål mail.docx", "A 23066-2025")</f>
        <v/>
      </c>
      <c r="X96">
        <f>HYPERLINK("https://klasma.github.io/Logging_0680/tillsyn/A 23066-2025 tillsynsbegäran.docx", "A 23066-2025")</f>
        <v/>
      </c>
      <c r="Y96">
        <f>HYPERLINK("https://klasma.github.io/Logging_0680/tillsynsmail/A 23066-2025 tillsynsbegäran mail.docx", "A 23066-2025")</f>
        <v/>
      </c>
    </row>
    <row r="97" ht="15" customHeight="1">
      <c r="A97" t="inlineStr">
        <is>
          <t>A 15227-2024</t>
        </is>
      </c>
      <c r="B97" s="1" t="n">
        <v>45400.47915509259</v>
      </c>
      <c r="C97" s="1" t="n">
        <v>45962</v>
      </c>
      <c r="D97" t="inlineStr">
        <is>
          <t>JÖNKÖPINGS LÄN</t>
        </is>
      </c>
      <c r="E97" t="inlineStr">
        <is>
          <t>GISLAVED</t>
        </is>
      </c>
      <c r="F97" t="inlineStr">
        <is>
          <t>Sveaskog</t>
        </is>
      </c>
      <c r="G97" t="n">
        <v>1.4</v>
      </c>
      <c r="H97" t="n">
        <v>2</v>
      </c>
      <c r="I97" t="n">
        <v>0</v>
      </c>
      <c r="J97" t="n">
        <v>1</v>
      </c>
      <c r="K97" t="n">
        <v>0</v>
      </c>
      <c r="L97" t="n">
        <v>0</v>
      </c>
      <c r="M97" t="n">
        <v>0</v>
      </c>
      <c r="N97" t="n">
        <v>0</v>
      </c>
      <c r="O97" t="n">
        <v>1</v>
      </c>
      <c r="P97" t="n">
        <v>0</v>
      </c>
      <c r="Q97" t="n">
        <v>2</v>
      </c>
      <c r="R97" s="2" t="inlineStr">
        <is>
          <t>Havsörn
Tjäder</t>
        </is>
      </c>
      <c r="S97">
        <f>HYPERLINK("https://klasma.github.io/Logging_0662/artfynd/A 15227-2024 artfynd.xlsx", "A 15227-2024")</f>
        <v/>
      </c>
      <c r="T97">
        <f>HYPERLINK("https://klasma.github.io/Logging_0662/kartor/A 15227-2024 karta.png", "A 15227-2024")</f>
        <v/>
      </c>
      <c r="V97">
        <f>HYPERLINK("https://klasma.github.io/Logging_0662/klagomål/A 15227-2024 FSC-klagomål.docx", "A 15227-2024")</f>
        <v/>
      </c>
      <c r="W97">
        <f>HYPERLINK("https://klasma.github.io/Logging_0662/klagomålsmail/A 15227-2024 FSC-klagomål mail.docx", "A 15227-2024")</f>
        <v/>
      </c>
      <c r="X97">
        <f>HYPERLINK("https://klasma.github.io/Logging_0662/tillsyn/A 15227-2024 tillsynsbegäran.docx", "A 15227-2024")</f>
        <v/>
      </c>
      <c r="Y97">
        <f>HYPERLINK("https://klasma.github.io/Logging_0662/tillsynsmail/A 15227-2024 tillsynsbegäran mail.docx", "A 15227-2024")</f>
        <v/>
      </c>
      <c r="Z97">
        <f>HYPERLINK("https://klasma.github.io/Logging_0662/fåglar/A 15227-2024 prioriterade fågelarter.docx", "A 15227-2024")</f>
        <v/>
      </c>
    </row>
    <row r="98" ht="15" customHeight="1">
      <c r="A98" t="inlineStr">
        <is>
          <t>A 1235-2024</t>
        </is>
      </c>
      <c r="B98" s="1" t="n">
        <v>45302</v>
      </c>
      <c r="C98" s="1" t="n">
        <v>45962</v>
      </c>
      <c r="D98" t="inlineStr">
        <is>
          <t>JÖNKÖPINGS LÄN</t>
        </is>
      </c>
      <c r="E98" t="inlineStr">
        <is>
          <t>JÖNKÖPING</t>
        </is>
      </c>
      <c r="G98" t="n">
        <v>2.8</v>
      </c>
      <c r="H98" t="n">
        <v>0</v>
      </c>
      <c r="I98" t="n">
        <v>1</v>
      </c>
      <c r="J98" t="n">
        <v>0</v>
      </c>
      <c r="K98" t="n">
        <v>1</v>
      </c>
      <c r="L98" t="n">
        <v>0</v>
      </c>
      <c r="M98" t="n">
        <v>0</v>
      </c>
      <c r="N98" t="n">
        <v>0</v>
      </c>
      <c r="O98" t="n">
        <v>1</v>
      </c>
      <c r="P98" t="n">
        <v>1</v>
      </c>
      <c r="Q98" t="n">
        <v>2</v>
      </c>
      <c r="R98" s="2" t="inlineStr">
        <is>
          <t>Lakritsmusseron
Dropptaggsvamp</t>
        </is>
      </c>
      <c r="S98">
        <f>HYPERLINK("https://klasma.github.io/Logging_0680/artfynd/A 1235-2024 artfynd.xlsx", "A 1235-2024")</f>
        <v/>
      </c>
      <c r="T98">
        <f>HYPERLINK("https://klasma.github.io/Logging_0680/kartor/A 1235-2024 karta.png", "A 1235-2024")</f>
        <v/>
      </c>
      <c r="V98">
        <f>HYPERLINK("https://klasma.github.io/Logging_0680/klagomål/A 1235-2024 FSC-klagomål.docx", "A 1235-2024")</f>
        <v/>
      </c>
      <c r="W98">
        <f>HYPERLINK("https://klasma.github.io/Logging_0680/klagomålsmail/A 1235-2024 FSC-klagomål mail.docx", "A 1235-2024")</f>
        <v/>
      </c>
      <c r="X98">
        <f>HYPERLINK("https://klasma.github.io/Logging_0680/tillsyn/A 1235-2024 tillsynsbegäran.docx", "A 1235-2024")</f>
        <v/>
      </c>
      <c r="Y98">
        <f>HYPERLINK("https://klasma.github.io/Logging_0680/tillsynsmail/A 1235-2024 tillsynsbegäran mail.docx", "A 1235-2024")</f>
        <v/>
      </c>
    </row>
    <row r="99" ht="15" customHeight="1">
      <c r="A99" t="inlineStr">
        <is>
          <t>A 3361-2025</t>
        </is>
      </c>
      <c r="B99" s="1" t="n">
        <v>45679.98452546296</v>
      </c>
      <c r="C99" s="1" t="n">
        <v>45962</v>
      </c>
      <c r="D99" t="inlineStr">
        <is>
          <t>JÖNKÖPINGS LÄN</t>
        </is>
      </c>
      <c r="E99" t="inlineStr">
        <is>
          <t>JÖNKÖPING</t>
        </is>
      </c>
      <c r="G99" t="n">
        <v>1.3</v>
      </c>
      <c r="H99" t="n">
        <v>1</v>
      </c>
      <c r="I99" t="n">
        <v>1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2</v>
      </c>
      <c r="R99" s="2" t="inlineStr">
        <is>
          <t>Vårärt
Blåsippa</t>
        </is>
      </c>
      <c r="S99">
        <f>HYPERLINK("https://klasma.github.io/Logging_0680/artfynd/A 3361-2025 artfynd.xlsx", "A 3361-2025")</f>
        <v/>
      </c>
      <c r="T99">
        <f>HYPERLINK("https://klasma.github.io/Logging_0680/kartor/A 3361-2025 karta.png", "A 3361-2025")</f>
        <v/>
      </c>
      <c r="V99">
        <f>HYPERLINK("https://klasma.github.io/Logging_0680/klagomål/A 3361-2025 FSC-klagomål.docx", "A 3361-2025")</f>
        <v/>
      </c>
      <c r="W99">
        <f>HYPERLINK("https://klasma.github.io/Logging_0680/klagomålsmail/A 3361-2025 FSC-klagomål mail.docx", "A 3361-2025")</f>
        <v/>
      </c>
      <c r="X99">
        <f>HYPERLINK("https://klasma.github.io/Logging_0680/tillsyn/A 3361-2025 tillsynsbegäran.docx", "A 3361-2025")</f>
        <v/>
      </c>
      <c r="Y99">
        <f>HYPERLINK("https://klasma.github.io/Logging_0680/tillsynsmail/A 3361-2025 tillsynsbegäran mail.docx", "A 3361-2025")</f>
        <v/>
      </c>
    </row>
    <row r="100" ht="15" customHeight="1">
      <c r="A100" t="inlineStr">
        <is>
          <t>A 24572-2025</t>
        </is>
      </c>
      <c r="B100" s="1" t="n">
        <v>45798.47107638889</v>
      </c>
      <c r="C100" s="1" t="n">
        <v>45962</v>
      </c>
      <c r="D100" t="inlineStr">
        <is>
          <t>JÖNKÖPINGS LÄN</t>
        </is>
      </c>
      <c r="E100" t="inlineStr">
        <is>
          <t>GISLAVED</t>
        </is>
      </c>
      <c r="G100" t="n">
        <v>0.9</v>
      </c>
      <c r="H100" t="n">
        <v>1</v>
      </c>
      <c r="I100" t="n">
        <v>1</v>
      </c>
      <c r="J100" t="n">
        <v>0</v>
      </c>
      <c r="K100" t="n">
        <v>1</v>
      </c>
      <c r="L100" t="n">
        <v>0</v>
      </c>
      <c r="M100" t="n">
        <v>0</v>
      </c>
      <c r="N100" t="n">
        <v>0</v>
      </c>
      <c r="O100" t="n">
        <v>1</v>
      </c>
      <c r="P100" t="n">
        <v>1</v>
      </c>
      <c r="Q100" t="n">
        <v>2</v>
      </c>
      <c r="R100" s="2" t="inlineStr">
        <is>
          <t>Knärot
Västlig hakmossa</t>
        </is>
      </c>
      <c r="S100">
        <f>HYPERLINK("https://klasma.github.io/Logging_0662/artfynd/A 24572-2025 artfynd.xlsx", "A 24572-2025")</f>
        <v/>
      </c>
      <c r="T100">
        <f>HYPERLINK("https://klasma.github.io/Logging_0662/kartor/A 24572-2025 karta.png", "A 24572-2025")</f>
        <v/>
      </c>
      <c r="U100">
        <f>HYPERLINK("https://klasma.github.io/Logging_0662/knärot/A 24572-2025 karta knärot.png", "A 24572-2025")</f>
        <v/>
      </c>
      <c r="V100">
        <f>HYPERLINK("https://klasma.github.io/Logging_0662/klagomål/A 24572-2025 FSC-klagomål.docx", "A 24572-2025")</f>
        <v/>
      </c>
      <c r="W100">
        <f>HYPERLINK("https://klasma.github.io/Logging_0662/klagomålsmail/A 24572-2025 FSC-klagomål mail.docx", "A 24572-2025")</f>
        <v/>
      </c>
      <c r="X100">
        <f>HYPERLINK("https://klasma.github.io/Logging_0662/tillsyn/A 24572-2025 tillsynsbegäran.docx", "A 24572-2025")</f>
        <v/>
      </c>
      <c r="Y100">
        <f>HYPERLINK("https://klasma.github.io/Logging_0662/tillsynsmail/A 24572-2025 tillsynsbegäran mail.docx", "A 24572-2025")</f>
        <v/>
      </c>
    </row>
    <row r="101" ht="15" customHeight="1">
      <c r="A101" t="inlineStr">
        <is>
          <t>A 72729-2021</t>
        </is>
      </c>
      <c r="B101" s="1" t="n">
        <v>44546</v>
      </c>
      <c r="C101" s="1" t="n">
        <v>45962</v>
      </c>
      <c r="D101" t="inlineStr">
        <is>
          <t>JÖNKÖPINGS LÄN</t>
        </is>
      </c>
      <c r="E101" t="inlineStr">
        <is>
          <t>VÄRNAMO</t>
        </is>
      </c>
      <c r="G101" t="n">
        <v>9.699999999999999</v>
      </c>
      <c r="H101" t="n">
        <v>1</v>
      </c>
      <c r="I101" t="n">
        <v>1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2</v>
      </c>
      <c r="R101" s="2" t="inlineStr">
        <is>
          <t>Blåmossa
Vanlig groda</t>
        </is>
      </c>
      <c r="S101">
        <f>HYPERLINK("https://klasma.github.io/Logging_0683/artfynd/A 72729-2021 artfynd.xlsx", "A 72729-2021")</f>
        <v/>
      </c>
      <c r="T101">
        <f>HYPERLINK("https://klasma.github.io/Logging_0683/kartor/A 72729-2021 karta.png", "A 72729-2021")</f>
        <v/>
      </c>
      <c r="V101">
        <f>HYPERLINK("https://klasma.github.io/Logging_0683/klagomål/A 72729-2021 FSC-klagomål.docx", "A 72729-2021")</f>
        <v/>
      </c>
      <c r="W101">
        <f>HYPERLINK("https://klasma.github.io/Logging_0683/klagomålsmail/A 72729-2021 FSC-klagomål mail.docx", "A 72729-2021")</f>
        <v/>
      </c>
      <c r="X101">
        <f>HYPERLINK("https://klasma.github.io/Logging_0683/tillsyn/A 72729-2021 tillsynsbegäran.docx", "A 72729-2021")</f>
        <v/>
      </c>
      <c r="Y101">
        <f>HYPERLINK("https://klasma.github.io/Logging_0683/tillsynsmail/A 72729-2021 tillsynsbegäran mail.docx", "A 72729-2021")</f>
        <v/>
      </c>
    </row>
    <row r="102" ht="15" customHeight="1">
      <c r="A102" t="inlineStr">
        <is>
          <t>A 14539-2024</t>
        </is>
      </c>
      <c r="B102" s="1" t="n">
        <v>45394.65423611111</v>
      </c>
      <c r="C102" s="1" t="n">
        <v>45962</v>
      </c>
      <c r="D102" t="inlineStr">
        <is>
          <t>JÖNKÖPINGS LÄN</t>
        </is>
      </c>
      <c r="E102" t="inlineStr">
        <is>
          <t>NÄSSJÖ</t>
        </is>
      </c>
      <c r="G102" t="n">
        <v>9.9</v>
      </c>
      <c r="H102" t="n">
        <v>2</v>
      </c>
      <c r="I102" t="n">
        <v>0</v>
      </c>
      <c r="J102" t="n">
        <v>2</v>
      </c>
      <c r="K102" t="n">
        <v>0</v>
      </c>
      <c r="L102" t="n">
        <v>0</v>
      </c>
      <c r="M102" t="n">
        <v>0</v>
      </c>
      <c r="N102" t="n">
        <v>0</v>
      </c>
      <c r="O102" t="n">
        <v>2</v>
      </c>
      <c r="P102" t="n">
        <v>0</v>
      </c>
      <c r="Q102" t="n">
        <v>2</v>
      </c>
      <c r="R102" s="2" t="inlineStr">
        <is>
          <t>Entita
Flodsångare</t>
        </is>
      </c>
      <c r="S102">
        <f>HYPERLINK("https://klasma.github.io/Logging_0682/artfynd/A 14539-2024 artfynd.xlsx", "A 14539-2024")</f>
        <v/>
      </c>
      <c r="T102">
        <f>HYPERLINK("https://klasma.github.io/Logging_0682/kartor/A 14539-2024 karta.png", "A 14539-2024")</f>
        <v/>
      </c>
      <c r="V102">
        <f>HYPERLINK("https://klasma.github.io/Logging_0682/klagomål/A 14539-2024 FSC-klagomål.docx", "A 14539-2024")</f>
        <v/>
      </c>
      <c r="W102">
        <f>HYPERLINK("https://klasma.github.io/Logging_0682/klagomålsmail/A 14539-2024 FSC-klagomål mail.docx", "A 14539-2024")</f>
        <v/>
      </c>
      <c r="X102">
        <f>HYPERLINK("https://klasma.github.io/Logging_0682/tillsyn/A 14539-2024 tillsynsbegäran.docx", "A 14539-2024")</f>
        <v/>
      </c>
      <c r="Y102">
        <f>HYPERLINK("https://klasma.github.io/Logging_0682/tillsynsmail/A 14539-2024 tillsynsbegäran mail.docx", "A 14539-2024")</f>
        <v/>
      </c>
      <c r="Z102">
        <f>HYPERLINK("https://klasma.github.io/Logging_0682/fåglar/A 14539-2024 prioriterade fågelarter.docx", "A 14539-2024")</f>
        <v/>
      </c>
    </row>
    <row r="103" ht="15" customHeight="1">
      <c r="A103" t="inlineStr">
        <is>
          <t>A 8838-2025</t>
        </is>
      </c>
      <c r="B103" s="1" t="n">
        <v>45713.26855324074</v>
      </c>
      <c r="C103" s="1" t="n">
        <v>45962</v>
      </c>
      <c r="D103" t="inlineStr">
        <is>
          <t>JÖNKÖPINGS LÄN</t>
        </is>
      </c>
      <c r="E103" t="inlineStr">
        <is>
          <t>VETLANDA</t>
        </is>
      </c>
      <c r="G103" t="n">
        <v>1.8</v>
      </c>
      <c r="H103" t="n">
        <v>2</v>
      </c>
      <c r="I103" t="n">
        <v>0</v>
      </c>
      <c r="J103" t="n">
        <v>2</v>
      </c>
      <c r="K103" t="n">
        <v>0</v>
      </c>
      <c r="L103" t="n">
        <v>0</v>
      </c>
      <c r="M103" t="n">
        <v>0</v>
      </c>
      <c r="N103" t="n">
        <v>0</v>
      </c>
      <c r="O103" t="n">
        <v>2</v>
      </c>
      <c r="P103" t="n">
        <v>0</v>
      </c>
      <c r="Q103" t="n">
        <v>2</v>
      </c>
      <c r="R103" s="2" t="inlineStr">
        <is>
          <t>Brunlångöra
Nordfladdermus</t>
        </is>
      </c>
      <c r="S103">
        <f>HYPERLINK("https://klasma.github.io/Logging_0685/artfynd/A 8838-2025 artfynd.xlsx", "A 8838-2025")</f>
        <v/>
      </c>
      <c r="T103">
        <f>HYPERLINK("https://klasma.github.io/Logging_0685/kartor/A 8838-2025 karta.png", "A 8838-2025")</f>
        <v/>
      </c>
      <c r="V103">
        <f>HYPERLINK("https://klasma.github.io/Logging_0685/klagomål/A 8838-2025 FSC-klagomål.docx", "A 8838-2025")</f>
        <v/>
      </c>
      <c r="W103">
        <f>HYPERLINK("https://klasma.github.io/Logging_0685/klagomålsmail/A 8838-2025 FSC-klagomål mail.docx", "A 8838-2025")</f>
        <v/>
      </c>
      <c r="X103">
        <f>HYPERLINK("https://klasma.github.io/Logging_0685/tillsyn/A 8838-2025 tillsynsbegäran.docx", "A 8838-2025")</f>
        <v/>
      </c>
      <c r="Y103">
        <f>HYPERLINK("https://klasma.github.io/Logging_0685/tillsynsmail/A 8838-2025 tillsynsbegäran mail.docx", "A 8838-2025")</f>
        <v/>
      </c>
    </row>
    <row r="104" ht="15" customHeight="1">
      <c r="A104" t="inlineStr">
        <is>
          <t>A 8457-2025</t>
        </is>
      </c>
      <c r="B104" s="1" t="n">
        <v>45709.46327546296</v>
      </c>
      <c r="C104" s="1" t="n">
        <v>45962</v>
      </c>
      <c r="D104" t="inlineStr">
        <is>
          <t>JÖNKÖPINGS LÄN</t>
        </is>
      </c>
      <c r="E104" t="inlineStr">
        <is>
          <t>ANEBY</t>
        </is>
      </c>
      <c r="G104" t="n">
        <v>13.1</v>
      </c>
      <c r="H104" t="n">
        <v>1</v>
      </c>
      <c r="I104" t="n">
        <v>1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2</v>
      </c>
      <c r="R104" s="2" t="inlineStr">
        <is>
          <t>Spillkråka
Rödgul trumpetsvamp</t>
        </is>
      </c>
      <c r="S104">
        <f>HYPERLINK("https://klasma.github.io/Logging_0604/artfynd/A 8457-2025 artfynd.xlsx", "A 8457-2025")</f>
        <v/>
      </c>
      <c r="T104">
        <f>HYPERLINK("https://klasma.github.io/Logging_0604/kartor/A 8457-2025 karta.png", "A 8457-2025")</f>
        <v/>
      </c>
      <c r="V104">
        <f>HYPERLINK("https://klasma.github.io/Logging_0604/klagomål/A 8457-2025 FSC-klagomål.docx", "A 8457-2025")</f>
        <v/>
      </c>
      <c r="W104">
        <f>HYPERLINK("https://klasma.github.io/Logging_0604/klagomålsmail/A 8457-2025 FSC-klagomål mail.docx", "A 8457-2025")</f>
        <v/>
      </c>
      <c r="X104">
        <f>HYPERLINK("https://klasma.github.io/Logging_0604/tillsyn/A 8457-2025 tillsynsbegäran.docx", "A 8457-2025")</f>
        <v/>
      </c>
      <c r="Y104">
        <f>HYPERLINK("https://klasma.github.io/Logging_0604/tillsynsmail/A 8457-2025 tillsynsbegäran mail.docx", "A 8457-2025")</f>
        <v/>
      </c>
      <c r="Z104">
        <f>HYPERLINK("https://klasma.github.io/Logging_0604/fåglar/A 8457-2025 prioriterade fågelarter.docx", "A 8457-2025")</f>
        <v/>
      </c>
    </row>
    <row r="105" ht="15" customHeight="1">
      <c r="A105" t="inlineStr">
        <is>
          <t>A 5041-2025</t>
        </is>
      </c>
      <c r="B105" s="1" t="n">
        <v>45691.43565972222</v>
      </c>
      <c r="C105" s="1" t="n">
        <v>45962</v>
      </c>
      <c r="D105" t="inlineStr">
        <is>
          <t>JÖNKÖPINGS LÄN</t>
        </is>
      </c>
      <c r="E105" t="inlineStr">
        <is>
          <t>VETLANDA</t>
        </is>
      </c>
      <c r="G105" t="n">
        <v>1.3</v>
      </c>
      <c r="H105" t="n">
        <v>1</v>
      </c>
      <c r="I105" t="n">
        <v>0</v>
      </c>
      <c r="J105" t="n">
        <v>1</v>
      </c>
      <c r="K105" t="n">
        <v>1</v>
      </c>
      <c r="L105" t="n">
        <v>0</v>
      </c>
      <c r="M105" t="n">
        <v>0</v>
      </c>
      <c r="N105" t="n">
        <v>0</v>
      </c>
      <c r="O105" t="n">
        <v>2</v>
      </c>
      <c r="P105" t="n">
        <v>1</v>
      </c>
      <c r="Q105" t="n">
        <v>2</v>
      </c>
      <c r="R105" s="2" t="inlineStr">
        <is>
          <t>Knärot
Garnlav</t>
        </is>
      </c>
      <c r="S105">
        <f>HYPERLINK("https://klasma.github.io/Logging_0685/artfynd/A 5041-2025 artfynd.xlsx", "A 5041-2025")</f>
        <v/>
      </c>
      <c r="T105">
        <f>HYPERLINK("https://klasma.github.io/Logging_0685/kartor/A 5041-2025 karta.png", "A 5041-2025")</f>
        <v/>
      </c>
      <c r="U105">
        <f>HYPERLINK("https://klasma.github.io/Logging_0685/knärot/A 5041-2025 karta knärot.png", "A 5041-2025")</f>
        <v/>
      </c>
      <c r="V105">
        <f>HYPERLINK("https://klasma.github.io/Logging_0685/klagomål/A 5041-2025 FSC-klagomål.docx", "A 5041-2025")</f>
        <v/>
      </c>
      <c r="W105">
        <f>HYPERLINK("https://klasma.github.io/Logging_0685/klagomålsmail/A 5041-2025 FSC-klagomål mail.docx", "A 5041-2025")</f>
        <v/>
      </c>
      <c r="X105">
        <f>HYPERLINK("https://klasma.github.io/Logging_0685/tillsyn/A 5041-2025 tillsynsbegäran.docx", "A 5041-2025")</f>
        <v/>
      </c>
      <c r="Y105">
        <f>HYPERLINK("https://klasma.github.io/Logging_0685/tillsynsmail/A 5041-2025 tillsynsbegäran mail.docx", "A 5041-2025")</f>
        <v/>
      </c>
    </row>
    <row r="106" ht="15" customHeight="1">
      <c r="A106" t="inlineStr">
        <is>
          <t>A 11623-2024</t>
        </is>
      </c>
      <c r="B106" s="1" t="n">
        <v>45373.44148148148</v>
      </c>
      <c r="C106" s="1" t="n">
        <v>45962</v>
      </c>
      <c r="D106" t="inlineStr">
        <is>
          <t>JÖNKÖPINGS LÄN</t>
        </is>
      </c>
      <c r="E106" t="inlineStr">
        <is>
          <t>JÖNKÖPING</t>
        </is>
      </c>
      <c r="G106" t="n">
        <v>0.7</v>
      </c>
      <c r="H106" t="n">
        <v>0</v>
      </c>
      <c r="I106" t="n">
        <v>0</v>
      </c>
      <c r="J106" t="n">
        <v>2</v>
      </c>
      <c r="K106" t="n">
        <v>0</v>
      </c>
      <c r="L106" t="n">
        <v>0</v>
      </c>
      <c r="M106" t="n">
        <v>0</v>
      </c>
      <c r="N106" t="n">
        <v>0</v>
      </c>
      <c r="O106" t="n">
        <v>2</v>
      </c>
      <c r="P106" t="n">
        <v>0</v>
      </c>
      <c r="Q106" t="n">
        <v>2</v>
      </c>
      <c r="R106" s="2" t="inlineStr">
        <is>
          <t>Sexfläckig bastardsvärmare
Ängsmetallvinge</t>
        </is>
      </c>
      <c r="S106">
        <f>HYPERLINK("https://klasma.github.io/Logging_0680/artfynd/A 11623-2024 artfynd.xlsx", "A 11623-2024")</f>
        <v/>
      </c>
      <c r="T106">
        <f>HYPERLINK("https://klasma.github.io/Logging_0680/kartor/A 11623-2024 karta.png", "A 11623-2024")</f>
        <v/>
      </c>
      <c r="V106">
        <f>HYPERLINK("https://klasma.github.io/Logging_0680/klagomål/A 11623-2024 FSC-klagomål.docx", "A 11623-2024")</f>
        <v/>
      </c>
      <c r="W106">
        <f>HYPERLINK("https://klasma.github.io/Logging_0680/klagomålsmail/A 11623-2024 FSC-klagomål mail.docx", "A 11623-2024")</f>
        <v/>
      </c>
      <c r="X106">
        <f>HYPERLINK("https://klasma.github.io/Logging_0680/tillsyn/A 11623-2024 tillsynsbegäran.docx", "A 11623-2024")</f>
        <v/>
      </c>
      <c r="Y106">
        <f>HYPERLINK("https://klasma.github.io/Logging_0680/tillsynsmail/A 11623-2024 tillsynsbegäran mail.docx", "A 11623-2024")</f>
        <v/>
      </c>
    </row>
    <row r="107" ht="15" customHeight="1">
      <c r="A107" t="inlineStr">
        <is>
          <t>A 6307-2023</t>
        </is>
      </c>
      <c r="B107" s="1" t="n">
        <v>44965</v>
      </c>
      <c r="C107" s="1" t="n">
        <v>45962</v>
      </c>
      <c r="D107" t="inlineStr">
        <is>
          <t>JÖNKÖPINGS LÄN</t>
        </is>
      </c>
      <c r="E107" t="inlineStr">
        <is>
          <t>TRANÅS</t>
        </is>
      </c>
      <c r="G107" t="n">
        <v>1.4</v>
      </c>
      <c r="H107" t="n">
        <v>1</v>
      </c>
      <c r="I107" t="n">
        <v>0</v>
      </c>
      <c r="J107" t="n">
        <v>0</v>
      </c>
      <c r="K107" t="n">
        <v>1</v>
      </c>
      <c r="L107" t="n">
        <v>0</v>
      </c>
      <c r="M107" t="n">
        <v>0</v>
      </c>
      <c r="N107" t="n">
        <v>0</v>
      </c>
      <c r="O107" t="n">
        <v>1</v>
      </c>
      <c r="P107" t="n">
        <v>1</v>
      </c>
      <c r="Q107" t="n">
        <v>2</v>
      </c>
      <c r="R107" s="2" t="inlineStr">
        <is>
          <t>Liten hornflikmossa
Revlummer</t>
        </is>
      </c>
      <c r="S107">
        <f>HYPERLINK("https://klasma.github.io/Logging_0687/artfynd/A 6307-2023 artfynd.xlsx", "A 6307-2023")</f>
        <v/>
      </c>
      <c r="T107">
        <f>HYPERLINK("https://klasma.github.io/Logging_0687/kartor/A 6307-2023 karta.png", "A 6307-2023")</f>
        <v/>
      </c>
      <c r="V107">
        <f>HYPERLINK("https://klasma.github.io/Logging_0687/klagomål/A 6307-2023 FSC-klagomål.docx", "A 6307-2023")</f>
        <v/>
      </c>
      <c r="W107">
        <f>HYPERLINK("https://klasma.github.io/Logging_0687/klagomålsmail/A 6307-2023 FSC-klagomål mail.docx", "A 6307-2023")</f>
        <v/>
      </c>
      <c r="X107">
        <f>HYPERLINK("https://klasma.github.io/Logging_0687/tillsyn/A 6307-2023 tillsynsbegäran.docx", "A 6307-2023")</f>
        <v/>
      </c>
      <c r="Y107">
        <f>HYPERLINK("https://klasma.github.io/Logging_0687/tillsynsmail/A 6307-2023 tillsynsbegäran mail.docx", "A 6307-2023")</f>
        <v/>
      </c>
    </row>
    <row r="108" ht="15" customHeight="1">
      <c r="A108" t="inlineStr">
        <is>
          <t>A 64978-2023</t>
        </is>
      </c>
      <c r="B108" s="1" t="n">
        <v>45285</v>
      </c>
      <c r="C108" s="1" t="n">
        <v>45962</v>
      </c>
      <c r="D108" t="inlineStr">
        <is>
          <t>JÖNKÖPINGS LÄN</t>
        </is>
      </c>
      <c r="E108" t="inlineStr">
        <is>
          <t>EKSJÖ</t>
        </is>
      </c>
      <c r="G108" t="n">
        <v>4</v>
      </c>
      <c r="H108" t="n">
        <v>1</v>
      </c>
      <c r="I108" t="n">
        <v>1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2</v>
      </c>
      <c r="R108" s="2" t="inlineStr">
        <is>
          <t>Svart trolldruva
Blåsippa</t>
        </is>
      </c>
      <c r="S108">
        <f>HYPERLINK("https://klasma.github.io/Logging_0686/artfynd/A 64978-2023 artfynd.xlsx", "A 64978-2023")</f>
        <v/>
      </c>
      <c r="T108">
        <f>HYPERLINK("https://klasma.github.io/Logging_0686/kartor/A 64978-2023 karta.png", "A 64978-2023")</f>
        <v/>
      </c>
      <c r="V108">
        <f>HYPERLINK("https://klasma.github.io/Logging_0686/klagomål/A 64978-2023 FSC-klagomål.docx", "A 64978-2023")</f>
        <v/>
      </c>
      <c r="W108">
        <f>HYPERLINK("https://klasma.github.io/Logging_0686/klagomålsmail/A 64978-2023 FSC-klagomål mail.docx", "A 64978-2023")</f>
        <v/>
      </c>
      <c r="X108">
        <f>HYPERLINK("https://klasma.github.io/Logging_0686/tillsyn/A 64978-2023 tillsynsbegäran.docx", "A 64978-2023")</f>
        <v/>
      </c>
      <c r="Y108">
        <f>HYPERLINK("https://klasma.github.io/Logging_0686/tillsynsmail/A 64978-2023 tillsynsbegäran mail.docx", "A 64978-2023")</f>
        <v/>
      </c>
    </row>
    <row r="109" ht="15" customHeight="1">
      <c r="A109" t="inlineStr">
        <is>
          <t>A 28535-2025</t>
        </is>
      </c>
      <c r="B109" s="1" t="n">
        <v>45819.50840277778</v>
      </c>
      <c r="C109" s="1" t="n">
        <v>45962</v>
      </c>
      <c r="D109" t="inlineStr">
        <is>
          <t>JÖNKÖPINGS LÄN</t>
        </is>
      </c>
      <c r="E109" t="inlineStr">
        <is>
          <t>VETLANDA</t>
        </is>
      </c>
      <c r="G109" t="n">
        <v>1</v>
      </c>
      <c r="H109" t="n">
        <v>1</v>
      </c>
      <c r="I109" t="n">
        <v>0</v>
      </c>
      <c r="J109" t="n">
        <v>1</v>
      </c>
      <c r="K109" t="n">
        <v>0</v>
      </c>
      <c r="L109" t="n">
        <v>0</v>
      </c>
      <c r="M109" t="n">
        <v>0</v>
      </c>
      <c r="N109" t="n">
        <v>0</v>
      </c>
      <c r="O109" t="n">
        <v>1</v>
      </c>
      <c r="P109" t="n">
        <v>0</v>
      </c>
      <c r="Q109" t="n">
        <v>2</v>
      </c>
      <c r="R109" s="2" t="inlineStr">
        <is>
          <t>Loppstarr
Blåsippa</t>
        </is>
      </c>
      <c r="S109">
        <f>HYPERLINK("https://klasma.github.io/Logging_0685/artfynd/A 28535-2025 artfynd.xlsx", "A 28535-2025")</f>
        <v/>
      </c>
      <c r="T109">
        <f>HYPERLINK("https://klasma.github.io/Logging_0685/kartor/A 28535-2025 karta.png", "A 28535-2025")</f>
        <v/>
      </c>
      <c r="V109">
        <f>HYPERLINK("https://klasma.github.io/Logging_0685/klagomål/A 28535-2025 FSC-klagomål.docx", "A 28535-2025")</f>
        <v/>
      </c>
      <c r="W109">
        <f>HYPERLINK("https://klasma.github.io/Logging_0685/klagomålsmail/A 28535-2025 FSC-klagomål mail.docx", "A 28535-2025")</f>
        <v/>
      </c>
      <c r="X109">
        <f>HYPERLINK("https://klasma.github.io/Logging_0685/tillsyn/A 28535-2025 tillsynsbegäran.docx", "A 28535-2025")</f>
        <v/>
      </c>
      <c r="Y109">
        <f>HYPERLINK("https://klasma.github.io/Logging_0685/tillsynsmail/A 28535-2025 tillsynsbegäran mail.docx", "A 28535-2025")</f>
        <v/>
      </c>
    </row>
    <row r="110" ht="15" customHeight="1">
      <c r="A110" t="inlineStr">
        <is>
          <t>A 26934-2025</t>
        </is>
      </c>
      <c r="B110" s="1" t="n">
        <v>45811</v>
      </c>
      <c r="C110" s="1" t="n">
        <v>45962</v>
      </c>
      <c r="D110" t="inlineStr">
        <is>
          <t>JÖNKÖPINGS LÄN</t>
        </is>
      </c>
      <c r="E110" t="inlineStr">
        <is>
          <t>HABO</t>
        </is>
      </c>
      <c r="G110" t="n">
        <v>7.4</v>
      </c>
      <c r="H110" t="n">
        <v>1</v>
      </c>
      <c r="I110" t="n">
        <v>0</v>
      </c>
      <c r="J110" t="n">
        <v>2</v>
      </c>
      <c r="K110" t="n">
        <v>0</v>
      </c>
      <c r="L110" t="n">
        <v>0</v>
      </c>
      <c r="M110" t="n">
        <v>0</v>
      </c>
      <c r="N110" t="n">
        <v>0</v>
      </c>
      <c r="O110" t="n">
        <v>2</v>
      </c>
      <c r="P110" t="n">
        <v>0</v>
      </c>
      <c r="Q110" t="n">
        <v>2</v>
      </c>
      <c r="R110" s="2" t="inlineStr">
        <is>
          <t>Tallriska
Talltita</t>
        </is>
      </c>
      <c r="S110">
        <f>HYPERLINK("https://klasma.github.io/Logging_0643/artfynd/A 26934-2025 artfynd.xlsx", "A 26934-2025")</f>
        <v/>
      </c>
      <c r="T110">
        <f>HYPERLINK("https://klasma.github.io/Logging_0643/kartor/A 26934-2025 karta.png", "A 26934-2025")</f>
        <v/>
      </c>
      <c r="V110">
        <f>HYPERLINK("https://klasma.github.io/Logging_0643/klagomål/A 26934-2025 FSC-klagomål.docx", "A 26934-2025")</f>
        <v/>
      </c>
      <c r="W110">
        <f>HYPERLINK("https://klasma.github.io/Logging_0643/klagomålsmail/A 26934-2025 FSC-klagomål mail.docx", "A 26934-2025")</f>
        <v/>
      </c>
      <c r="X110">
        <f>HYPERLINK("https://klasma.github.io/Logging_0643/tillsyn/A 26934-2025 tillsynsbegäran.docx", "A 26934-2025")</f>
        <v/>
      </c>
      <c r="Y110">
        <f>HYPERLINK("https://klasma.github.io/Logging_0643/tillsynsmail/A 26934-2025 tillsynsbegäran mail.docx", "A 26934-2025")</f>
        <v/>
      </c>
      <c r="Z110">
        <f>HYPERLINK("https://klasma.github.io/Logging_0643/fåglar/A 26934-2025 prioriterade fågelarter.docx", "A 26934-2025")</f>
        <v/>
      </c>
    </row>
    <row r="111" ht="15" customHeight="1">
      <c r="A111" t="inlineStr">
        <is>
          <t>A 28842-2022</t>
        </is>
      </c>
      <c r="B111" s="1" t="n">
        <v>44749</v>
      </c>
      <c r="C111" s="1" t="n">
        <v>45962</v>
      </c>
      <c r="D111" t="inlineStr">
        <is>
          <t>JÖNKÖPINGS LÄN</t>
        </is>
      </c>
      <c r="E111" t="inlineStr">
        <is>
          <t>HABO</t>
        </is>
      </c>
      <c r="G111" t="n">
        <v>3.7</v>
      </c>
      <c r="H111" t="n">
        <v>0</v>
      </c>
      <c r="I111" t="n">
        <v>1</v>
      </c>
      <c r="J111" t="n">
        <v>1</v>
      </c>
      <c r="K111" t="n">
        <v>0</v>
      </c>
      <c r="L111" t="n">
        <v>0</v>
      </c>
      <c r="M111" t="n">
        <v>0</v>
      </c>
      <c r="N111" t="n">
        <v>0</v>
      </c>
      <c r="O111" t="n">
        <v>1</v>
      </c>
      <c r="P111" t="n">
        <v>0</v>
      </c>
      <c r="Q111" t="n">
        <v>2</v>
      </c>
      <c r="R111" s="2" t="inlineStr">
        <is>
          <t>Skrovlig taggsvamp
Blomkålssvamp</t>
        </is>
      </c>
      <c r="S111">
        <f>HYPERLINK("https://klasma.github.io/Logging_0643/artfynd/A 28842-2022 artfynd.xlsx", "A 28842-2022")</f>
        <v/>
      </c>
      <c r="T111">
        <f>HYPERLINK("https://klasma.github.io/Logging_0643/kartor/A 28842-2022 karta.png", "A 28842-2022")</f>
        <v/>
      </c>
      <c r="V111">
        <f>HYPERLINK("https://klasma.github.io/Logging_0643/klagomål/A 28842-2022 FSC-klagomål.docx", "A 28842-2022")</f>
        <v/>
      </c>
      <c r="W111">
        <f>HYPERLINK("https://klasma.github.io/Logging_0643/klagomålsmail/A 28842-2022 FSC-klagomål mail.docx", "A 28842-2022")</f>
        <v/>
      </c>
      <c r="X111">
        <f>HYPERLINK("https://klasma.github.io/Logging_0643/tillsyn/A 28842-2022 tillsynsbegäran.docx", "A 28842-2022")</f>
        <v/>
      </c>
      <c r="Y111">
        <f>HYPERLINK("https://klasma.github.io/Logging_0643/tillsynsmail/A 28842-2022 tillsynsbegäran mail.docx", "A 28842-2022")</f>
        <v/>
      </c>
    </row>
    <row r="112" ht="15" customHeight="1">
      <c r="A112" t="inlineStr">
        <is>
          <t>A 29356-2024</t>
        </is>
      </c>
      <c r="B112" s="1" t="n">
        <v>45483</v>
      </c>
      <c r="C112" s="1" t="n">
        <v>45962</v>
      </c>
      <c r="D112" t="inlineStr">
        <is>
          <t>JÖNKÖPINGS LÄN</t>
        </is>
      </c>
      <c r="E112" t="inlineStr">
        <is>
          <t>VÄRNAMO</t>
        </is>
      </c>
      <c r="G112" t="n">
        <v>4.1</v>
      </c>
      <c r="H112" t="n">
        <v>0</v>
      </c>
      <c r="I112" t="n">
        <v>2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2</v>
      </c>
      <c r="R112" s="2" t="inlineStr">
        <is>
          <t>Grönpyrola
Vätteros</t>
        </is>
      </c>
      <c r="S112">
        <f>HYPERLINK("https://klasma.github.io/Logging_0683/artfynd/A 29356-2024 artfynd.xlsx", "A 29356-2024")</f>
        <v/>
      </c>
      <c r="T112">
        <f>HYPERLINK("https://klasma.github.io/Logging_0683/kartor/A 29356-2024 karta.png", "A 29356-2024")</f>
        <v/>
      </c>
      <c r="V112">
        <f>HYPERLINK("https://klasma.github.io/Logging_0683/klagomål/A 29356-2024 FSC-klagomål.docx", "A 29356-2024")</f>
        <v/>
      </c>
      <c r="W112">
        <f>HYPERLINK("https://klasma.github.io/Logging_0683/klagomålsmail/A 29356-2024 FSC-klagomål mail.docx", "A 29356-2024")</f>
        <v/>
      </c>
      <c r="X112">
        <f>HYPERLINK("https://klasma.github.io/Logging_0683/tillsyn/A 29356-2024 tillsynsbegäran.docx", "A 29356-2024")</f>
        <v/>
      </c>
      <c r="Y112">
        <f>HYPERLINK("https://klasma.github.io/Logging_0683/tillsynsmail/A 29356-2024 tillsynsbegäran mail.docx", "A 29356-2024")</f>
        <v/>
      </c>
    </row>
    <row r="113" ht="15" customHeight="1">
      <c r="A113" t="inlineStr">
        <is>
          <t>A 29486-2023</t>
        </is>
      </c>
      <c r="B113" s="1" t="n">
        <v>45106</v>
      </c>
      <c r="C113" s="1" t="n">
        <v>45962</v>
      </c>
      <c r="D113" t="inlineStr">
        <is>
          <t>JÖNKÖPINGS LÄN</t>
        </is>
      </c>
      <c r="E113" t="inlineStr">
        <is>
          <t>TRANÅS</t>
        </is>
      </c>
      <c r="G113" t="n">
        <v>4.3</v>
      </c>
      <c r="H113" t="n">
        <v>0</v>
      </c>
      <c r="I113" t="n">
        <v>0</v>
      </c>
      <c r="J113" t="n">
        <v>1</v>
      </c>
      <c r="K113" t="n">
        <v>1</v>
      </c>
      <c r="L113" t="n">
        <v>0</v>
      </c>
      <c r="M113" t="n">
        <v>0</v>
      </c>
      <c r="N113" t="n">
        <v>0</v>
      </c>
      <c r="O113" t="n">
        <v>2</v>
      </c>
      <c r="P113" t="n">
        <v>1</v>
      </c>
      <c r="Q113" t="n">
        <v>2</v>
      </c>
      <c r="R113" s="2" t="inlineStr">
        <is>
          <t>Åkerrättika
Klofibbla</t>
        </is>
      </c>
      <c r="S113">
        <f>HYPERLINK("https://klasma.github.io/Logging_0687/artfynd/A 29486-2023 artfynd.xlsx", "A 29486-2023")</f>
        <v/>
      </c>
      <c r="T113">
        <f>HYPERLINK("https://klasma.github.io/Logging_0687/kartor/A 29486-2023 karta.png", "A 29486-2023")</f>
        <v/>
      </c>
      <c r="V113">
        <f>HYPERLINK("https://klasma.github.io/Logging_0687/klagomål/A 29486-2023 FSC-klagomål.docx", "A 29486-2023")</f>
        <v/>
      </c>
      <c r="W113">
        <f>HYPERLINK("https://klasma.github.io/Logging_0687/klagomålsmail/A 29486-2023 FSC-klagomål mail.docx", "A 29486-2023")</f>
        <v/>
      </c>
      <c r="X113">
        <f>HYPERLINK("https://klasma.github.io/Logging_0687/tillsyn/A 29486-2023 tillsynsbegäran.docx", "A 29486-2023")</f>
        <v/>
      </c>
      <c r="Y113">
        <f>HYPERLINK("https://klasma.github.io/Logging_0687/tillsynsmail/A 29486-2023 tillsynsbegäran mail.docx", "A 29486-2023")</f>
        <v/>
      </c>
    </row>
    <row r="114" ht="15" customHeight="1">
      <c r="A114" t="inlineStr">
        <is>
          <t>A 33068-2025</t>
        </is>
      </c>
      <c r="B114" s="1" t="n">
        <v>45840.448125</v>
      </c>
      <c r="C114" s="1" t="n">
        <v>45962</v>
      </c>
      <c r="D114" t="inlineStr">
        <is>
          <t>JÖNKÖPINGS LÄN</t>
        </is>
      </c>
      <c r="E114" t="inlineStr">
        <is>
          <t>VETLANDA</t>
        </is>
      </c>
      <c r="G114" t="n">
        <v>2.1</v>
      </c>
      <c r="H114" t="n">
        <v>0</v>
      </c>
      <c r="I114" t="n">
        <v>0</v>
      </c>
      <c r="J114" t="n">
        <v>1</v>
      </c>
      <c r="K114" t="n">
        <v>1</v>
      </c>
      <c r="L114" t="n">
        <v>0</v>
      </c>
      <c r="M114" t="n">
        <v>0</v>
      </c>
      <c r="N114" t="n">
        <v>0</v>
      </c>
      <c r="O114" t="n">
        <v>2</v>
      </c>
      <c r="P114" t="n">
        <v>1</v>
      </c>
      <c r="Q114" t="n">
        <v>2</v>
      </c>
      <c r="R114" s="2" t="inlineStr">
        <is>
          <t>Åkerrättika
Klofibbla</t>
        </is>
      </c>
      <c r="S114">
        <f>HYPERLINK("https://klasma.github.io/Logging_0685/artfynd/A 33068-2025 artfynd.xlsx", "A 33068-2025")</f>
        <v/>
      </c>
      <c r="T114">
        <f>HYPERLINK("https://klasma.github.io/Logging_0685/kartor/A 33068-2025 karta.png", "A 33068-2025")</f>
        <v/>
      </c>
      <c r="V114">
        <f>HYPERLINK("https://klasma.github.io/Logging_0685/klagomål/A 33068-2025 FSC-klagomål.docx", "A 33068-2025")</f>
        <v/>
      </c>
      <c r="W114">
        <f>HYPERLINK("https://klasma.github.io/Logging_0685/klagomålsmail/A 33068-2025 FSC-klagomål mail.docx", "A 33068-2025")</f>
        <v/>
      </c>
      <c r="X114">
        <f>HYPERLINK("https://klasma.github.io/Logging_0685/tillsyn/A 33068-2025 tillsynsbegäran.docx", "A 33068-2025")</f>
        <v/>
      </c>
      <c r="Y114">
        <f>HYPERLINK("https://klasma.github.io/Logging_0685/tillsynsmail/A 33068-2025 tillsynsbegäran mail.docx", "A 33068-2025")</f>
        <v/>
      </c>
    </row>
    <row r="115" ht="15" customHeight="1">
      <c r="A115" t="inlineStr">
        <is>
          <t>A 17130-2022</t>
        </is>
      </c>
      <c r="B115" s="1" t="n">
        <v>44677</v>
      </c>
      <c r="C115" s="1" t="n">
        <v>45962</v>
      </c>
      <c r="D115" t="inlineStr">
        <is>
          <t>JÖNKÖPINGS LÄN</t>
        </is>
      </c>
      <c r="E115" t="inlineStr">
        <is>
          <t>ANEBY</t>
        </is>
      </c>
      <c r="G115" t="n">
        <v>4.2</v>
      </c>
      <c r="H115" t="n">
        <v>2</v>
      </c>
      <c r="I115" t="n">
        <v>2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2</v>
      </c>
      <c r="R115" s="2" t="inlineStr">
        <is>
          <t>Korallrot
Spindelblomster</t>
        </is>
      </c>
      <c r="S115">
        <f>HYPERLINK("https://klasma.github.io/Logging_0604/artfynd/A 17130-2022 artfynd.xlsx", "A 17130-2022")</f>
        <v/>
      </c>
      <c r="T115">
        <f>HYPERLINK("https://klasma.github.io/Logging_0604/kartor/A 17130-2022 karta.png", "A 17130-2022")</f>
        <v/>
      </c>
      <c r="V115">
        <f>HYPERLINK("https://klasma.github.io/Logging_0604/klagomål/A 17130-2022 FSC-klagomål.docx", "A 17130-2022")</f>
        <v/>
      </c>
      <c r="W115">
        <f>HYPERLINK("https://klasma.github.io/Logging_0604/klagomålsmail/A 17130-2022 FSC-klagomål mail.docx", "A 17130-2022")</f>
        <v/>
      </c>
      <c r="X115">
        <f>HYPERLINK("https://klasma.github.io/Logging_0604/tillsyn/A 17130-2022 tillsynsbegäran.docx", "A 17130-2022")</f>
        <v/>
      </c>
      <c r="Y115">
        <f>HYPERLINK("https://klasma.github.io/Logging_0604/tillsynsmail/A 17130-2022 tillsynsbegäran mail.docx", "A 17130-2022")</f>
        <v/>
      </c>
    </row>
    <row r="116" ht="15" customHeight="1">
      <c r="A116" t="inlineStr">
        <is>
          <t>A 13323-2024</t>
        </is>
      </c>
      <c r="B116" s="1" t="n">
        <v>45386.85489583333</v>
      </c>
      <c r="C116" s="1" t="n">
        <v>45962</v>
      </c>
      <c r="D116" t="inlineStr">
        <is>
          <t>JÖNKÖPINGS LÄN</t>
        </is>
      </c>
      <c r="E116" t="inlineStr">
        <is>
          <t>VETLANDA</t>
        </is>
      </c>
      <c r="G116" t="n">
        <v>0.8</v>
      </c>
      <c r="H116" t="n">
        <v>1</v>
      </c>
      <c r="I116" t="n">
        <v>1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2</v>
      </c>
      <c r="R116" s="2" t="inlineStr">
        <is>
          <t>Grönpyrola
Vanlig snok</t>
        </is>
      </c>
      <c r="S116">
        <f>HYPERLINK("https://klasma.github.io/Logging_0685/artfynd/A 13323-2024 artfynd.xlsx", "A 13323-2024")</f>
        <v/>
      </c>
      <c r="T116">
        <f>HYPERLINK("https://klasma.github.io/Logging_0685/kartor/A 13323-2024 karta.png", "A 13323-2024")</f>
        <v/>
      </c>
      <c r="U116">
        <f>HYPERLINK("https://klasma.github.io/Logging_0685/knärot/A 13323-2024 karta knärot.png", "A 13323-2024")</f>
        <v/>
      </c>
      <c r="V116">
        <f>HYPERLINK("https://klasma.github.io/Logging_0685/klagomål/A 13323-2024 FSC-klagomål.docx", "A 13323-2024")</f>
        <v/>
      </c>
      <c r="W116">
        <f>HYPERLINK("https://klasma.github.io/Logging_0685/klagomålsmail/A 13323-2024 FSC-klagomål mail.docx", "A 13323-2024")</f>
        <v/>
      </c>
      <c r="X116">
        <f>HYPERLINK("https://klasma.github.io/Logging_0685/tillsyn/A 13323-2024 tillsynsbegäran.docx", "A 13323-2024")</f>
        <v/>
      </c>
      <c r="Y116">
        <f>HYPERLINK("https://klasma.github.io/Logging_0685/tillsynsmail/A 13323-2024 tillsynsbegäran mail.docx", "A 13323-2024")</f>
        <v/>
      </c>
    </row>
    <row r="117" ht="15" customHeight="1">
      <c r="A117" t="inlineStr">
        <is>
          <t>A 58667-2024</t>
        </is>
      </c>
      <c r="B117" s="1" t="n">
        <v>45635.60858796296</v>
      </c>
      <c r="C117" s="1" t="n">
        <v>45962</v>
      </c>
      <c r="D117" t="inlineStr">
        <is>
          <t>JÖNKÖPINGS LÄN</t>
        </is>
      </c>
      <c r="E117" t="inlineStr">
        <is>
          <t>HABO</t>
        </is>
      </c>
      <c r="G117" t="n">
        <v>1.8</v>
      </c>
      <c r="H117" t="n">
        <v>0</v>
      </c>
      <c r="I117" t="n">
        <v>0</v>
      </c>
      <c r="J117" t="n">
        <v>2</v>
      </c>
      <c r="K117" t="n">
        <v>0</v>
      </c>
      <c r="L117" t="n">
        <v>0</v>
      </c>
      <c r="M117" t="n">
        <v>0</v>
      </c>
      <c r="N117" t="n">
        <v>0</v>
      </c>
      <c r="O117" t="n">
        <v>2</v>
      </c>
      <c r="P117" t="n">
        <v>0</v>
      </c>
      <c r="Q117" t="n">
        <v>2</v>
      </c>
      <c r="R117" s="2" t="inlineStr">
        <is>
          <t>Motaggsvamp
Vaddporing</t>
        </is>
      </c>
      <c r="S117">
        <f>HYPERLINK("https://klasma.github.io/Logging_0643/artfynd/A 58667-2024 artfynd.xlsx", "A 58667-2024")</f>
        <v/>
      </c>
      <c r="T117">
        <f>HYPERLINK("https://klasma.github.io/Logging_0643/kartor/A 58667-2024 karta.png", "A 58667-2024")</f>
        <v/>
      </c>
      <c r="U117">
        <f>HYPERLINK("https://klasma.github.io/Logging_0643/knärot/A 58667-2024 karta knärot.png", "A 58667-2024")</f>
        <v/>
      </c>
      <c r="V117">
        <f>HYPERLINK("https://klasma.github.io/Logging_0643/klagomål/A 58667-2024 FSC-klagomål.docx", "A 58667-2024")</f>
        <v/>
      </c>
      <c r="W117">
        <f>HYPERLINK("https://klasma.github.io/Logging_0643/klagomålsmail/A 58667-2024 FSC-klagomål mail.docx", "A 58667-2024")</f>
        <v/>
      </c>
      <c r="X117">
        <f>HYPERLINK("https://klasma.github.io/Logging_0643/tillsyn/A 58667-2024 tillsynsbegäran.docx", "A 58667-2024")</f>
        <v/>
      </c>
      <c r="Y117">
        <f>HYPERLINK("https://klasma.github.io/Logging_0643/tillsynsmail/A 58667-2024 tillsynsbegäran mail.docx", "A 58667-2024")</f>
        <v/>
      </c>
    </row>
    <row r="118" ht="15" customHeight="1">
      <c r="A118" t="inlineStr">
        <is>
          <t>A 28929-2023</t>
        </is>
      </c>
      <c r="B118" s="1" t="n">
        <v>45104.55762731482</v>
      </c>
      <c r="C118" s="1" t="n">
        <v>45962</v>
      </c>
      <c r="D118" t="inlineStr">
        <is>
          <t>JÖNKÖPINGS LÄN</t>
        </is>
      </c>
      <c r="E118" t="inlineStr">
        <is>
          <t>VAGGERYD</t>
        </is>
      </c>
      <c r="F118" t="inlineStr">
        <is>
          <t>Sveaskog</t>
        </is>
      </c>
      <c r="G118" t="n">
        <v>11.8</v>
      </c>
      <c r="H118" t="n">
        <v>1</v>
      </c>
      <c r="I118" t="n">
        <v>1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2</v>
      </c>
      <c r="R118" s="2" t="inlineStr">
        <is>
          <t>Västlig hakmossa
Nattviol</t>
        </is>
      </c>
      <c r="S118">
        <f>HYPERLINK("https://klasma.github.io/Logging_0665/artfynd/A 28929-2023 artfynd.xlsx", "A 28929-2023")</f>
        <v/>
      </c>
      <c r="T118">
        <f>HYPERLINK("https://klasma.github.io/Logging_0665/kartor/A 28929-2023 karta.png", "A 28929-2023")</f>
        <v/>
      </c>
      <c r="V118">
        <f>HYPERLINK("https://klasma.github.io/Logging_0665/klagomål/A 28929-2023 FSC-klagomål.docx", "A 28929-2023")</f>
        <v/>
      </c>
      <c r="W118">
        <f>HYPERLINK("https://klasma.github.io/Logging_0665/klagomålsmail/A 28929-2023 FSC-klagomål mail.docx", "A 28929-2023")</f>
        <v/>
      </c>
      <c r="X118">
        <f>HYPERLINK("https://klasma.github.io/Logging_0665/tillsyn/A 28929-2023 tillsynsbegäran.docx", "A 28929-2023")</f>
        <v/>
      </c>
      <c r="Y118">
        <f>HYPERLINK("https://klasma.github.io/Logging_0665/tillsynsmail/A 28929-2023 tillsynsbegäran mail.docx", "A 28929-2023")</f>
        <v/>
      </c>
    </row>
    <row r="119" ht="15" customHeight="1">
      <c r="A119" t="inlineStr">
        <is>
          <t>A 8097-2025</t>
        </is>
      </c>
      <c r="B119" s="1" t="n">
        <v>45707.68733796296</v>
      </c>
      <c r="C119" s="1" t="n">
        <v>45962</v>
      </c>
      <c r="D119" t="inlineStr">
        <is>
          <t>JÖNKÖPINGS LÄN</t>
        </is>
      </c>
      <c r="E119" t="inlineStr">
        <is>
          <t>NÄSSJÖ</t>
        </is>
      </c>
      <c r="G119" t="n">
        <v>6.7</v>
      </c>
      <c r="H119" t="n">
        <v>0</v>
      </c>
      <c r="I119" t="n">
        <v>0</v>
      </c>
      <c r="J119" t="n">
        <v>2</v>
      </c>
      <c r="K119" t="n">
        <v>0</v>
      </c>
      <c r="L119" t="n">
        <v>0</v>
      </c>
      <c r="M119" t="n">
        <v>0</v>
      </c>
      <c r="N119" t="n">
        <v>0</v>
      </c>
      <c r="O119" t="n">
        <v>2</v>
      </c>
      <c r="P119" t="n">
        <v>0</v>
      </c>
      <c r="Q119" t="n">
        <v>2</v>
      </c>
      <c r="R119" s="2" t="inlineStr">
        <is>
          <t>Loppstarr
Ängsstarr</t>
        </is>
      </c>
      <c r="S119">
        <f>HYPERLINK("https://klasma.github.io/Logging_0682/artfynd/A 8097-2025 artfynd.xlsx", "A 8097-2025")</f>
        <v/>
      </c>
      <c r="T119">
        <f>HYPERLINK("https://klasma.github.io/Logging_0682/kartor/A 8097-2025 karta.png", "A 8097-2025")</f>
        <v/>
      </c>
      <c r="V119">
        <f>HYPERLINK("https://klasma.github.io/Logging_0682/klagomål/A 8097-2025 FSC-klagomål.docx", "A 8097-2025")</f>
        <v/>
      </c>
      <c r="W119">
        <f>HYPERLINK("https://klasma.github.io/Logging_0682/klagomålsmail/A 8097-2025 FSC-klagomål mail.docx", "A 8097-2025")</f>
        <v/>
      </c>
      <c r="X119">
        <f>HYPERLINK("https://klasma.github.io/Logging_0682/tillsyn/A 8097-2025 tillsynsbegäran.docx", "A 8097-2025")</f>
        <v/>
      </c>
      <c r="Y119">
        <f>HYPERLINK("https://klasma.github.io/Logging_0682/tillsynsmail/A 8097-2025 tillsynsbegäran mail.docx", "A 8097-2025")</f>
        <v/>
      </c>
    </row>
    <row r="120" ht="15" customHeight="1">
      <c r="A120" t="inlineStr">
        <is>
          <t>A 10991-2023</t>
        </is>
      </c>
      <c r="B120" s="1" t="n">
        <v>44991</v>
      </c>
      <c r="C120" s="1" t="n">
        <v>45962</v>
      </c>
      <c r="D120" t="inlineStr">
        <is>
          <t>JÖNKÖPINGS LÄN</t>
        </is>
      </c>
      <c r="E120" t="inlineStr">
        <is>
          <t>JÖNKÖPING</t>
        </is>
      </c>
      <c r="G120" t="n">
        <v>0.7</v>
      </c>
      <c r="H120" t="n">
        <v>0</v>
      </c>
      <c r="I120" t="n">
        <v>2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2</v>
      </c>
      <c r="R120" s="2" t="inlineStr">
        <is>
          <t>Gulnål
Kornig nållav</t>
        </is>
      </c>
      <c r="S120">
        <f>HYPERLINK("https://klasma.github.io/Logging_0680/artfynd/A 10991-2023 artfynd.xlsx", "A 10991-2023")</f>
        <v/>
      </c>
      <c r="T120">
        <f>HYPERLINK("https://klasma.github.io/Logging_0680/kartor/A 10991-2023 karta.png", "A 10991-2023")</f>
        <v/>
      </c>
      <c r="V120">
        <f>HYPERLINK("https://klasma.github.io/Logging_0680/klagomål/A 10991-2023 FSC-klagomål.docx", "A 10991-2023")</f>
        <v/>
      </c>
      <c r="W120">
        <f>HYPERLINK("https://klasma.github.io/Logging_0680/klagomålsmail/A 10991-2023 FSC-klagomål mail.docx", "A 10991-2023")</f>
        <v/>
      </c>
      <c r="X120">
        <f>HYPERLINK("https://klasma.github.io/Logging_0680/tillsyn/A 10991-2023 tillsynsbegäran.docx", "A 10991-2023")</f>
        <v/>
      </c>
      <c r="Y120">
        <f>HYPERLINK("https://klasma.github.io/Logging_0680/tillsynsmail/A 10991-2023 tillsynsbegäran mail.docx", "A 10991-2023")</f>
        <v/>
      </c>
    </row>
    <row r="121" ht="15" customHeight="1">
      <c r="A121" t="inlineStr">
        <is>
          <t>A 19201-2023</t>
        </is>
      </c>
      <c r="B121" s="1" t="n">
        <v>45048</v>
      </c>
      <c r="C121" s="1" t="n">
        <v>45962</v>
      </c>
      <c r="D121" t="inlineStr">
        <is>
          <t>JÖNKÖPINGS LÄN</t>
        </is>
      </c>
      <c r="E121" t="inlineStr">
        <is>
          <t>VETLANDA</t>
        </is>
      </c>
      <c r="G121" t="n">
        <v>4.6</v>
      </c>
      <c r="H121" t="n">
        <v>1</v>
      </c>
      <c r="I121" t="n">
        <v>1</v>
      </c>
      <c r="J121" t="n">
        <v>0</v>
      </c>
      <c r="K121" t="n">
        <v>1</v>
      </c>
      <c r="L121" t="n">
        <v>0</v>
      </c>
      <c r="M121" t="n">
        <v>0</v>
      </c>
      <c r="N121" t="n">
        <v>0</v>
      </c>
      <c r="O121" t="n">
        <v>1</v>
      </c>
      <c r="P121" t="n">
        <v>1</v>
      </c>
      <c r="Q121" t="n">
        <v>2</v>
      </c>
      <c r="R121" s="2" t="inlineStr">
        <is>
          <t>Backsippa
Kryddspindling</t>
        </is>
      </c>
      <c r="S121">
        <f>HYPERLINK("https://klasma.github.io/Logging_0685/artfynd/A 19201-2023 artfynd.xlsx", "A 19201-2023")</f>
        <v/>
      </c>
      <c r="T121">
        <f>HYPERLINK("https://klasma.github.io/Logging_0685/kartor/A 19201-2023 karta.png", "A 19201-2023")</f>
        <v/>
      </c>
      <c r="V121">
        <f>HYPERLINK("https://klasma.github.io/Logging_0685/klagomål/A 19201-2023 FSC-klagomål.docx", "A 19201-2023")</f>
        <v/>
      </c>
      <c r="W121">
        <f>HYPERLINK("https://klasma.github.io/Logging_0685/klagomålsmail/A 19201-2023 FSC-klagomål mail.docx", "A 19201-2023")</f>
        <v/>
      </c>
      <c r="X121">
        <f>HYPERLINK("https://klasma.github.io/Logging_0685/tillsyn/A 19201-2023 tillsynsbegäran.docx", "A 19201-2023")</f>
        <v/>
      </c>
      <c r="Y121">
        <f>HYPERLINK("https://klasma.github.io/Logging_0685/tillsynsmail/A 19201-2023 tillsynsbegäran mail.docx", "A 19201-2023")</f>
        <v/>
      </c>
    </row>
    <row r="122" ht="15" customHeight="1">
      <c r="A122" t="inlineStr">
        <is>
          <t>A 59543-2022</t>
        </is>
      </c>
      <c r="B122" s="1" t="n">
        <v>44900</v>
      </c>
      <c r="C122" s="1" t="n">
        <v>45962</v>
      </c>
      <c r="D122" t="inlineStr">
        <is>
          <t>JÖNKÖPINGS LÄN</t>
        </is>
      </c>
      <c r="E122" t="inlineStr">
        <is>
          <t>TRANÅS</t>
        </is>
      </c>
      <c r="G122" t="n">
        <v>2.6</v>
      </c>
      <c r="H122" t="n">
        <v>2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2</v>
      </c>
      <c r="R122" s="2" t="inlineStr">
        <is>
          <t>Större vattensalamander
Mindre vattensalamander</t>
        </is>
      </c>
      <c r="S122">
        <f>HYPERLINK("https://klasma.github.io/Logging_0687/artfynd/A 59543-2022 artfynd.xlsx", "A 59543-2022")</f>
        <v/>
      </c>
      <c r="T122">
        <f>HYPERLINK("https://klasma.github.io/Logging_0687/kartor/A 59543-2022 karta.png", "A 59543-2022")</f>
        <v/>
      </c>
      <c r="V122">
        <f>HYPERLINK("https://klasma.github.io/Logging_0687/klagomål/A 59543-2022 FSC-klagomål.docx", "A 59543-2022")</f>
        <v/>
      </c>
      <c r="W122">
        <f>HYPERLINK("https://klasma.github.io/Logging_0687/klagomålsmail/A 59543-2022 FSC-klagomål mail.docx", "A 59543-2022")</f>
        <v/>
      </c>
      <c r="X122">
        <f>HYPERLINK("https://klasma.github.io/Logging_0687/tillsyn/A 59543-2022 tillsynsbegäran.docx", "A 59543-2022")</f>
        <v/>
      </c>
      <c r="Y122">
        <f>HYPERLINK("https://klasma.github.io/Logging_0687/tillsynsmail/A 59543-2022 tillsynsbegäran mail.docx", "A 59543-2022")</f>
        <v/>
      </c>
    </row>
    <row r="123" ht="15" customHeight="1">
      <c r="A123" t="inlineStr">
        <is>
          <t>A 17256-2023</t>
        </is>
      </c>
      <c r="B123" s="1" t="n">
        <v>45035</v>
      </c>
      <c r="C123" s="1" t="n">
        <v>45962</v>
      </c>
      <c r="D123" t="inlineStr">
        <is>
          <t>JÖNKÖPINGS LÄN</t>
        </is>
      </c>
      <c r="E123" t="inlineStr">
        <is>
          <t>VETLANDA</t>
        </is>
      </c>
      <c r="G123" t="n">
        <v>0.8</v>
      </c>
      <c r="H123" t="n">
        <v>0</v>
      </c>
      <c r="I123" t="n">
        <v>1</v>
      </c>
      <c r="J123" t="n">
        <v>1</v>
      </c>
      <c r="K123" t="n">
        <v>0</v>
      </c>
      <c r="L123" t="n">
        <v>0</v>
      </c>
      <c r="M123" t="n">
        <v>0</v>
      </c>
      <c r="N123" t="n">
        <v>0</v>
      </c>
      <c r="O123" t="n">
        <v>1</v>
      </c>
      <c r="P123" t="n">
        <v>0</v>
      </c>
      <c r="Q123" t="n">
        <v>2</v>
      </c>
      <c r="R123" s="2" t="inlineStr">
        <is>
          <t>Klasefibbla
Vårärt</t>
        </is>
      </c>
      <c r="S123">
        <f>HYPERLINK("https://klasma.github.io/Logging_0685/artfynd/A 17256-2023 artfynd.xlsx", "A 17256-2023")</f>
        <v/>
      </c>
      <c r="T123">
        <f>HYPERLINK("https://klasma.github.io/Logging_0685/kartor/A 17256-2023 karta.png", "A 17256-2023")</f>
        <v/>
      </c>
      <c r="V123">
        <f>HYPERLINK("https://klasma.github.io/Logging_0685/klagomål/A 17256-2023 FSC-klagomål.docx", "A 17256-2023")</f>
        <v/>
      </c>
      <c r="W123">
        <f>HYPERLINK("https://klasma.github.io/Logging_0685/klagomålsmail/A 17256-2023 FSC-klagomål mail.docx", "A 17256-2023")</f>
        <v/>
      </c>
      <c r="X123">
        <f>HYPERLINK("https://klasma.github.io/Logging_0685/tillsyn/A 17256-2023 tillsynsbegäran.docx", "A 17256-2023")</f>
        <v/>
      </c>
      <c r="Y123">
        <f>HYPERLINK("https://klasma.github.io/Logging_0685/tillsynsmail/A 17256-2023 tillsynsbegäran mail.docx", "A 17256-2023")</f>
        <v/>
      </c>
    </row>
    <row r="124" ht="15" customHeight="1">
      <c r="A124" t="inlineStr">
        <is>
          <t>A 47199-2025</t>
        </is>
      </c>
      <c r="B124" s="1" t="n">
        <v>45930</v>
      </c>
      <c r="C124" s="1" t="n">
        <v>45962</v>
      </c>
      <c r="D124" t="inlineStr">
        <is>
          <t>JÖNKÖPINGS LÄN</t>
        </is>
      </c>
      <c r="E124" t="inlineStr">
        <is>
          <t>HABO</t>
        </is>
      </c>
      <c r="G124" t="n">
        <v>0.7</v>
      </c>
      <c r="H124" t="n">
        <v>1</v>
      </c>
      <c r="I124" t="n">
        <v>1</v>
      </c>
      <c r="J124" t="n">
        <v>0</v>
      </c>
      <c r="K124" t="n">
        <v>1</v>
      </c>
      <c r="L124" t="n">
        <v>0</v>
      </c>
      <c r="M124" t="n">
        <v>0</v>
      </c>
      <c r="N124" t="n">
        <v>0</v>
      </c>
      <c r="O124" t="n">
        <v>1</v>
      </c>
      <c r="P124" t="n">
        <v>1</v>
      </c>
      <c r="Q124" t="n">
        <v>2</v>
      </c>
      <c r="R124" s="2" t="inlineStr">
        <is>
          <t>Knärot
Dropptaggsvamp</t>
        </is>
      </c>
      <c r="S124">
        <f>HYPERLINK("https://klasma.github.io/Logging_0643/artfynd/A 47199-2025 artfynd.xlsx", "A 47199-2025")</f>
        <v/>
      </c>
      <c r="T124">
        <f>HYPERLINK("https://klasma.github.io/Logging_0643/kartor/A 47199-2025 karta.png", "A 47199-2025")</f>
        <v/>
      </c>
      <c r="U124">
        <f>HYPERLINK("https://klasma.github.io/Logging_0643/knärot/A 47199-2025 karta knärot.png", "A 47199-2025")</f>
        <v/>
      </c>
      <c r="V124">
        <f>HYPERLINK("https://klasma.github.io/Logging_0643/klagomål/A 47199-2025 FSC-klagomål.docx", "A 47199-2025")</f>
        <v/>
      </c>
      <c r="W124">
        <f>HYPERLINK("https://klasma.github.io/Logging_0643/klagomålsmail/A 47199-2025 FSC-klagomål mail.docx", "A 47199-2025")</f>
        <v/>
      </c>
      <c r="X124">
        <f>HYPERLINK("https://klasma.github.io/Logging_0643/tillsyn/A 47199-2025 tillsynsbegäran.docx", "A 47199-2025")</f>
        <v/>
      </c>
      <c r="Y124">
        <f>HYPERLINK("https://klasma.github.io/Logging_0643/tillsynsmail/A 47199-2025 tillsynsbegäran mail.docx", "A 47199-2025")</f>
        <v/>
      </c>
    </row>
    <row r="125" ht="15" customHeight="1">
      <c r="A125" t="inlineStr">
        <is>
          <t>A 29448-2023</t>
        </is>
      </c>
      <c r="B125" s="1" t="n">
        <v>45106</v>
      </c>
      <c r="C125" s="1" t="n">
        <v>45962</v>
      </c>
      <c r="D125" t="inlineStr">
        <is>
          <t>JÖNKÖPINGS LÄN</t>
        </is>
      </c>
      <c r="E125" t="inlineStr">
        <is>
          <t>HABO</t>
        </is>
      </c>
      <c r="G125" t="n">
        <v>4.6</v>
      </c>
      <c r="H125" t="n">
        <v>0</v>
      </c>
      <c r="I125" t="n">
        <v>1</v>
      </c>
      <c r="J125" t="n">
        <v>1</v>
      </c>
      <c r="K125" t="n">
        <v>0</v>
      </c>
      <c r="L125" t="n">
        <v>0</v>
      </c>
      <c r="M125" t="n">
        <v>0</v>
      </c>
      <c r="N125" t="n">
        <v>0</v>
      </c>
      <c r="O125" t="n">
        <v>1</v>
      </c>
      <c r="P125" t="n">
        <v>0</v>
      </c>
      <c r="Q125" t="n">
        <v>2</v>
      </c>
      <c r="R125" s="2" t="inlineStr">
        <is>
          <t>Sexfläckig bastardsvärmare
Guldlockmossa</t>
        </is>
      </c>
      <c r="S125">
        <f>HYPERLINK("https://klasma.github.io/Logging_0643/artfynd/A 29448-2023 artfynd.xlsx", "A 29448-2023")</f>
        <v/>
      </c>
      <c r="T125">
        <f>HYPERLINK("https://klasma.github.io/Logging_0643/kartor/A 29448-2023 karta.png", "A 29448-2023")</f>
        <v/>
      </c>
      <c r="V125">
        <f>HYPERLINK("https://klasma.github.io/Logging_0643/klagomål/A 29448-2023 FSC-klagomål.docx", "A 29448-2023")</f>
        <v/>
      </c>
      <c r="W125">
        <f>HYPERLINK("https://klasma.github.io/Logging_0643/klagomålsmail/A 29448-2023 FSC-klagomål mail.docx", "A 29448-2023")</f>
        <v/>
      </c>
      <c r="X125">
        <f>HYPERLINK("https://klasma.github.io/Logging_0643/tillsyn/A 29448-2023 tillsynsbegäran.docx", "A 29448-2023")</f>
        <v/>
      </c>
      <c r="Y125">
        <f>HYPERLINK("https://klasma.github.io/Logging_0643/tillsynsmail/A 29448-2023 tillsynsbegäran mail.docx", "A 29448-2023")</f>
        <v/>
      </c>
    </row>
    <row r="126" ht="15" customHeight="1">
      <c r="A126" t="inlineStr">
        <is>
          <t>A 41104-2025</t>
        </is>
      </c>
      <c r="B126" s="1" t="n">
        <v>45898.45456018519</v>
      </c>
      <c r="C126" s="1" t="n">
        <v>45962</v>
      </c>
      <c r="D126" t="inlineStr">
        <is>
          <t>JÖNKÖPINGS LÄN</t>
        </is>
      </c>
      <c r="E126" t="inlineStr">
        <is>
          <t>JÖNKÖPING</t>
        </is>
      </c>
      <c r="G126" t="n">
        <v>1</v>
      </c>
      <c r="H126" t="n">
        <v>2</v>
      </c>
      <c r="I126" t="n">
        <v>0</v>
      </c>
      <c r="J126" t="n">
        <v>2</v>
      </c>
      <c r="K126" t="n">
        <v>0</v>
      </c>
      <c r="L126" t="n">
        <v>0</v>
      </c>
      <c r="M126" t="n">
        <v>0</v>
      </c>
      <c r="N126" t="n">
        <v>0</v>
      </c>
      <c r="O126" t="n">
        <v>2</v>
      </c>
      <c r="P126" t="n">
        <v>0</v>
      </c>
      <c r="Q126" t="n">
        <v>2</v>
      </c>
      <c r="R126" s="2" t="inlineStr">
        <is>
          <t>Duvhök
Havsörn</t>
        </is>
      </c>
      <c r="S126">
        <f>HYPERLINK("https://klasma.github.io/Logging_0680/artfynd/A 41104-2025 artfynd.xlsx", "A 41104-2025")</f>
        <v/>
      </c>
      <c r="T126">
        <f>HYPERLINK("https://klasma.github.io/Logging_0680/kartor/A 41104-2025 karta.png", "A 41104-2025")</f>
        <v/>
      </c>
      <c r="V126">
        <f>HYPERLINK("https://klasma.github.io/Logging_0680/klagomål/A 41104-2025 FSC-klagomål.docx", "A 41104-2025")</f>
        <v/>
      </c>
      <c r="W126">
        <f>HYPERLINK("https://klasma.github.io/Logging_0680/klagomålsmail/A 41104-2025 FSC-klagomål mail.docx", "A 41104-2025")</f>
        <v/>
      </c>
      <c r="X126">
        <f>HYPERLINK("https://klasma.github.io/Logging_0680/tillsyn/A 41104-2025 tillsynsbegäran.docx", "A 41104-2025")</f>
        <v/>
      </c>
      <c r="Y126">
        <f>HYPERLINK("https://klasma.github.io/Logging_0680/tillsynsmail/A 41104-2025 tillsynsbegäran mail.docx", "A 41104-2025")</f>
        <v/>
      </c>
      <c r="Z126">
        <f>HYPERLINK("https://klasma.github.io/Logging_0680/fåglar/A 41104-2025 prioriterade fågelarter.docx", "A 41104-2025")</f>
        <v/>
      </c>
    </row>
    <row r="127" ht="15" customHeight="1">
      <c r="A127" t="inlineStr">
        <is>
          <t>A 51385-2025</t>
        </is>
      </c>
      <c r="B127" s="1" t="n">
        <v>45947</v>
      </c>
      <c r="C127" s="1" t="n">
        <v>45962</v>
      </c>
      <c r="D127" t="inlineStr">
        <is>
          <t>JÖNKÖPINGS LÄN</t>
        </is>
      </c>
      <c r="E127" t="inlineStr">
        <is>
          <t>JÖNKÖPING</t>
        </is>
      </c>
      <c r="G127" t="n">
        <v>5.2</v>
      </c>
      <c r="H127" t="n">
        <v>0</v>
      </c>
      <c r="I127" t="n">
        <v>0</v>
      </c>
      <c r="J127" t="n">
        <v>2</v>
      </c>
      <c r="K127" t="n">
        <v>0</v>
      </c>
      <c r="L127" t="n">
        <v>0</v>
      </c>
      <c r="M127" t="n">
        <v>0</v>
      </c>
      <c r="N127" t="n">
        <v>0</v>
      </c>
      <c r="O127" t="n">
        <v>2</v>
      </c>
      <c r="P127" t="n">
        <v>0</v>
      </c>
      <c r="Q127" t="n">
        <v>2</v>
      </c>
      <c r="R127" s="2" t="inlineStr">
        <is>
          <t>Gullklöver
Klofibbla</t>
        </is>
      </c>
      <c r="S127">
        <f>HYPERLINK("https://klasma.github.io/Logging_0680/artfynd/A 51385-2025 artfynd.xlsx", "A 51385-2025")</f>
        <v/>
      </c>
      <c r="T127">
        <f>HYPERLINK("https://klasma.github.io/Logging_0680/kartor/A 51385-2025 karta.png", "A 51385-2025")</f>
        <v/>
      </c>
      <c r="V127">
        <f>HYPERLINK("https://klasma.github.io/Logging_0680/klagomål/A 51385-2025 FSC-klagomål.docx", "A 51385-2025")</f>
        <v/>
      </c>
      <c r="W127">
        <f>HYPERLINK("https://klasma.github.io/Logging_0680/klagomålsmail/A 51385-2025 FSC-klagomål mail.docx", "A 51385-2025")</f>
        <v/>
      </c>
      <c r="X127">
        <f>HYPERLINK("https://klasma.github.io/Logging_0680/tillsyn/A 51385-2025 tillsynsbegäran.docx", "A 51385-2025")</f>
        <v/>
      </c>
      <c r="Y127">
        <f>HYPERLINK("https://klasma.github.io/Logging_0680/tillsynsmail/A 51385-2025 tillsynsbegäran mail.docx", "A 51385-2025")</f>
        <v/>
      </c>
    </row>
    <row r="128" ht="15" customHeight="1">
      <c r="A128" t="inlineStr">
        <is>
          <t>A 22167-2023</t>
        </is>
      </c>
      <c r="B128" s="1" t="n">
        <v>45069.67415509259</v>
      </c>
      <c r="C128" s="1" t="n">
        <v>45962</v>
      </c>
      <c r="D128" t="inlineStr">
        <is>
          <t>JÖNKÖPINGS LÄN</t>
        </is>
      </c>
      <c r="E128" t="inlineStr">
        <is>
          <t>SÄVSJÖ</t>
        </is>
      </c>
      <c r="G128" t="n">
        <v>3.2</v>
      </c>
      <c r="H128" t="n">
        <v>0</v>
      </c>
      <c r="I128" t="n">
        <v>2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2</v>
      </c>
      <c r="R128" s="2" t="inlineStr">
        <is>
          <t>Aprikosfingersvamp
Ängsfingersvamp</t>
        </is>
      </c>
      <c r="S128">
        <f>HYPERLINK("https://klasma.github.io/Logging_0684/artfynd/A 22167-2023 artfynd.xlsx", "A 22167-2023")</f>
        <v/>
      </c>
      <c r="T128">
        <f>HYPERLINK("https://klasma.github.io/Logging_0684/kartor/A 22167-2023 karta.png", "A 22167-2023")</f>
        <v/>
      </c>
      <c r="V128">
        <f>HYPERLINK("https://klasma.github.io/Logging_0684/klagomål/A 22167-2023 FSC-klagomål.docx", "A 22167-2023")</f>
        <v/>
      </c>
      <c r="W128">
        <f>HYPERLINK("https://klasma.github.io/Logging_0684/klagomålsmail/A 22167-2023 FSC-klagomål mail.docx", "A 22167-2023")</f>
        <v/>
      </c>
      <c r="X128">
        <f>HYPERLINK("https://klasma.github.io/Logging_0684/tillsyn/A 22167-2023 tillsynsbegäran.docx", "A 22167-2023")</f>
        <v/>
      </c>
      <c r="Y128">
        <f>HYPERLINK("https://klasma.github.io/Logging_0684/tillsynsmail/A 22167-2023 tillsynsbegäran mail.docx", "A 22167-2023")</f>
        <v/>
      </c>
    </row>
    <row r="129" ht="15" customHeight="1">
      <c r="A129" t="inlineStr">
        <is>
          <t>A 14138-2021</t>
        </is>
      </c>
      <c r="B129" s="1" t="n">
        <v>44278</v>
      </c>
      <c r="C129" s="1" t="n">
        <v>45962</v>
      </c>
      <c r="D129" t="inlineStr">
        <is>
          <t>JÖNKÖPINGS LÄN</t>
        </is>
      </c>
      <c r="E129" t="inlineStr">
        <is>
          <t>JÖNKÖPING</t>
        </is>
      </c>
      <c r="G129" t="n">
        <v>1.2</v>
      </c>
      <c r="H129" t="n">
        <v>0</v>
      </c>
      <c r="I129" t="n">
        <v>1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1</v>
      </c>
      <c r="R129" s="2" t="inlineStr">
        <is>
          <t>Svart trolldruva</t>
        </is>
      </c>
      <c r="S129">
        <f>HYPERLINK("https://klasma.github.io/Logging_0680/artfynd/A 14138-2021 artfynd.xlsx", "A 14138-2021")</f>
        <v/>
      </c>
      <c r="T129">
        <f>HYPERLINK("https://klasma.github.io/Logging_0680/kartor/A 14138-2021 karta.png", "A 14138-2021")</f>
        <v/>
      </c>
      <c r="V129">
        <f>HYPERLINK("https://klasma.github.io/Logging_0680/klagomål/A 14138-2021 FSC-klagomål.docx", "A 14138-2021")</f>
        <v/>
      </c>
      <c r="W129">
        <f>HYPERLINK("https://klasma.github.io/Logging_0680/klagomålsmail/A 14138-2021 FSC-klagomål mail.docx", "A 14138-2021")</f>
        <v/>
      </c>
      <c r="X129">
        <f>HYPERLINK("https://klasma.github.io/Logging_0680/tillsyn/A 14138-2021 tillsynsbegäran.docx", "A 14138-2021")</f>
        <v/>
      </c>
      <c r="Y129">
        <f>HYPERLINK("https://klasma.github.io/Logging_0680/tillsynsmail/A 14138-2021 tillsynsbegäran mail.docx", "A 14138-2021")</f>
        <v/>
      </c>
    </row>
    <row r="130" ht="15" customHeight="1">
      <c r="A130" t="inlineStr">
        <is>
          <t>A 40268-2021</t>
        </is>
      </c>
      <c r="B130" s="1" t="n">
        <v>44419</v>
      </c>
      <c r="C130" s="1" t="n">
        <v>45962</v>
      </c>
      <c r="D130" t="inlineStr">
        <is>
          <t>JÖNKÖPINGS LÄN</t>
        </is>
      </c>
      <c r="E130" t="inlineStr">
        <is>
          <t>JÖNKÖPING</t>
        </is>
      </c>
      <c r="G130" t="n">
        <v>4</v>
      </c>
      <c r="H130" t="n">
        <v>0</v>
      </c>
      <c r="I130" t="n">
        <v>1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1</v>
      </c>
      <c r="R130" s="2" t="inlineStr">
        <is>
          <t>Strutbräken</t>
        </is>
      </c>
      <c r="S130">
        <f>HYPERLINK("https://klasma.github.io/Logging_0680/artfynd/A 40268-2021 artfynd.xlsx", "A 40268-2021")</f>
        <v/>
      </c>
      <c r="T130">
        <f>HYPERLINK("https://klasma.github.io/Logging_0680/kartor/A 40268-2021 karta.png", "A 40268-2021")</f>
        <v/>
      </c>
      <c r="V130">
        <f>HYPERLINK("https://klasma.github.io/Logging_0680/klagomål/A 40268-2021 FSC-klagomål.docx", "A 40268-2021")</f>
        <v/>
      </c>
      <c r="W130">
        <f>HYPERLINK("https://klasma.github.io/Logging_0680/klagomålsmail/A 40268-2021 FSC-klagomål mail.docx", "A 40268-2021")</f>
        <v/>
      </c>
      <c r="X130">
        <f>HYPERLINK("https://klasma.github.io/Logging_0680/tillsyn/A 40268-2021 tillsynsbegäran.docx", "A 40268-2021")</f>
        <v/>
      </c>
      <c r="Y130">
        <f>HYPERLINK("https://klasma.github.io/Logging_0680/tillsynsmail/A 40268-2021 tillsynsbegäran mail.docx", "A 40268-2021")</f>
        <v/>
      </c>
    </row>
    <row r="131" ht="15" customHeight="1">
      <c r="A131" t="inlineStr">
        <is>
          <t>A 39612-2022</t>
        </is>
      </c>
      <c r="B131" s="1" t="n">
        <v>44818</v>
      </c>
      <c r="C131" s="1" t="n">
        <v>45962</v>
      </c>
      <c r="D131" t="inlineStr">
        <is>
          <t>JÖNKÖPINGS LÄN</t>
        </is>
      </c>
      <c r="E131" t="inlineStr">
        <is>
          <t>VETLANDA</t>
        </is>
      </c>
      <c r="G131" t="n">
        <v>7.6</v>
      </c>
      <c r="H131" t="n">
        <v>1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1</v>
      </c>
      <c r="R131" s="2" t="inlineStr">
        <is>
          <t>Revlummer</t>
        </is>
      </c>
      <c r="S131">
        <f>HYPERLINK("https://klasma.github.io/Logging_0685/artfynd/A 39612-2022 artfynd.xlsx", "A 39612-2022")</f>
        <v/>
      </c>
      <c r="T131">
        <f>HYPERLINK("https://klasma.github.io/Logging_0685/kartor/A 39612-2022 karta.png", "A 39612-2022")</f>
        <v/>
      </c>
      <c r="V131">
        <f>HYPERLINK("https://klasma.github.io/Logging_0685/klagomål/A 39612-2022 FSC-klagomål.docx", "A 39612-2022")</f>
        <v/>
      </c>
      <c r="W131">
        <f>HYPERLINK("https://klasma.github.io/Logging_0685/klagomålsmail/A 39612-2022 FSC-klagomål mail.docx", "A 39612-2022")</f>
        <v/>
      </c>
      <c r="X131">
        <f>HYPERLINK("https://klasma.github.io/Logging_0685/tillsyn/A 39612-2022 tillsynsbegäran.docx", "A 39612-2022")</f>
        <v/>
      </c>
      <c r="Y131">
        <f>HYPERLINK("https://klasma.github.io/Logging_0685/tillsynsmail/A 39612-2022 tillsynsbegäran mail.docx", "A 39612-2022")</f>
        <v/>
      </c>
    </row>
    <row r="132" ht="15" customHeight="1">
      <c r="A132" t="inlineStr">
        <is>
          <t>A 26395-2022</t>
        </is>
      </c>
      <c r="B132" s="1" t="n">
        <v>44735</v>
      </c>
      <c r="C132" s="1" t="n">
        <v>45962</v>
      </c>
      <c r="D132" t="inlineStr">
        <is>
          <t>JÖNKÖPINGS LÄN</t>
        </is>
      </c>
      <c r="E132" t="inlineStr">
        <is>
          <t>TRANÅS</t>
        </is>
      </c>
      <c r="G132" t="n">
        <v>2.1</v>
      </c>
      <c r="H132" t="n">
        <v>1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1</v>
      </c>
      <c r="R132" s="2" t="inlineStr">
        <is>
          <t>Ängsnycklar</t>
        </is>
      </c>
      <c r="S132">
        <f>HYPERLINK("https://klasma.github.io/Logging_0687/artfynd/A 26395-2022 artfynd.xlsx", "A 26395-2022")</f>
        <v/>
      </c>
      <c r="T132">
        <f>HYPERLINK("https://klasma.github.io/Logging_0687/kartor/A 26395-2022 karta.png", "A 26395-2022")</f>
        <v/>
      </c>
      <c r="V132">
        <f>HYPERLINK("https://klasma.github.io/Logging_0687/klagomål/A 26395-2022 FSC-klagomål.docx", "A 26395-2022")</f>
        <v/>
      </c>
      <c r="W132">
        <f>HYPERLINK("https://klasma.github.io/Logging_0687/klagomålsmail/A 26395-2022 FSC-klagomål mail.docx", "A 26395-2022")</f>
        <v/>
      </c>
      <c r="X132">
        <f>HYPERLINK("https://klasma.github.io/Logging_0687/tillsyn/A 26395-2022 tillsynsbegäran.docx", "A 26395-2022")</f>
        <v/>
      </c>
      <c r="Y132">
        <f>HYPERLINK("https://klasma.github.io/Logging_0687/tillsynsmail/A 26395-2022 tillsynsbegäran mail.docx", "A 26395-2022")</f>
        <v/>
      </c>
    </row>
    <row r="133" ht="15" customHeight="1">
      <c r="A133" t="inlineStr">
        <is>
          <t>A 42834-2021</t>
        </is>
      </c>
      <c r="B133" s="1" t="n">
        <v>44430.64592592593</v>
      </c>
      <c r="C133" s="1" t="n">
        <v>45962</v>
      </c>
      <c r="D133" t="inlineStr">
        <is>
          <t>JÖNKÖPINGS LÄN</t>
        </is>
      </c>
      <c r="E133" t="inlineStr">
        <is>
          <t>NÄSSJÖ</t>
        </is>
      </c>
      <c r="G133" t="n">
        <v>1</v>
      </c>
      <c r="H133" t="n">
        <v>0</v>
      </c>
      <c r="I133" t="n">
        <v>1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1</v>
      </c>
      <c r="R133" s="2" t="inlineStr">
        <is>
          <t>Granbräken</t>
        </is>
      </c>
      <c r="S133">
        <f>HYPERLINK("https://klasma.github.io/Logging_0682/artfynd/A 42834-2021 artfynd.xlsx", "A 42834-2021")</f>
        <v/>
      </c>
      <c r="T133">
        <f>HYPERLINK("https://klasma.github.io/Logging_0682/kartor/A 42834-2021 karta.png", "A 42834-2021")</f>
        <v/>
      </c>
      <c r="V133">
        <f>HYPERLINK("https://klasma.github.io/Logging_0682/klagomål/A 42834-2021 FSC-klagomål.docx", "A 42834-2021")</f>
        <v/>
      </c>
      <c r="W133">
        <f>HYPERLINK("https://klasma.github.io/Logging_0682/klagomålsmail/A 42834-2021 FSC-klagomål mail.docx", "A 42834-2021")</f>
        <v/>
      </c>
      <c r="X133">
        <f>HYPERLINK("https://klasma.github.io/Logging_0682/tillsyn/A 42834-2021 tillsynsbegäran.docx", "A 42834-2021")</f>
        <v/>
      </c>
      <c r="Y133">
        <f>HYPERLINK("https://klasma.github.io/Logging_0682/tillsynsmail/A 42834-2021 tillsynsbegäran mail.docx", "A 42834-2021")</f>
        <v/>
      </c>
    </row>
    <row r="134" ht="15" customHeight="1">
      <c r="A134" t="inlineStr">
        <is>
          <t>A 56911-2020</t>
        </is>
      </c>
      <c r="B134" s="1" t="n">
        <v>44138</v>
      </c>
      <c r="C134" s="1" t="n">
        <v>45962</v>
      </c>
      <c r="D134" t="inlineStr">
        <is>
          <t>JÖNKÖPINGS LÄN</t>
        </is>
      </c>
      <c r="E134" t="inlineStr">
        <is>
          <t>VAGGERYD</t>
        </is>
      </c>
      <c r="F134" t="inlineStr">
        <is>
          <t>Övriga statliga verk och myndigheter</t>
        </is>
      </c>
      <c r="G134" t="n">
        <v>11.4</v>
      </c>
      <c r="H134" t="n">
        <v>1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1</v>
      </c>
      <c r="R134" s="2" t="inlineStr">
        <is>
          <t>Kopparödla</t>
        </is>
      </c>
      <c r="S134">
        <f>HYPERLINK("https://klasma.github.io/Logging_0665/artfynd/A 56911-2020 artfynd.xlsx", "A 56911-2020")</f>
        <v/>
      </c>
      <c r="T134">
        <f>HYPERLINK("https://klasma.github.io/Logging_0665/kartor/A 56911-2020 karta.png", "A 56911-2020")</f>
        <v/>
      </c>
      <c r="V134">
        <f>HYPERLINK("https://klasma.github.io/Logging_0665/klagomål/A 56911-2020 FSC-klagomål.docx", "A 56911-2020")</f>
        <v/>
      </c>
      <c r="W134">
        <f>HYPERLINK("https://klasma.github.io/Logging_0665/klagomålsmail/A 56911-2020 FSC-klagomål mail.docx", "A 56911-2020")</f>
        <v/>
      </c>
      <c r="X134">
        <f>HYPERLINK("https://klasma.github.io/Logging_0665/tillsyn/A 56911-2020 tillsynsbegäran.docx", "A 56911-2020")</f>
        <v/>
      </c>
      <c r="Y134">
        <f>HYPERLINK("https://klasma.github.io/Logging_0665/tillsynsmail/A 56911-2020 tillsynsbegäran mail.docx", "A 56911-2020")</f>
        <v/>
      </c>
    </row>
    <row r="135" ht="15" customHeight="1">
      <c r="A135" t="inlineStr">
        <is>
          <t>A 63467-2021</t>
        </is>
      </c>
      <c r="B135" s="1" t="n">
        <v>44508</v>
      </c>
      <c r="C135" s="1" t="n">
        <v>45962</v>
      </c>
      <c r="D135" t="inlineStr">
        <is>
          <t>JÖNKÖPINGS LÄN</t>
        </is>
      </c>
      <c r="E135" t="inlineStr">
        <is>
          <t>ANEBY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1</v>
      </c>
      <c r="L135" t="n">
        <v>0</v>
      </c>
      <c r="M135" t="n">
        <v>0</v>
      </c>
      <c r="N135" t="n">
        <v>0</v>
      </c>
      <c r="O135" t="n">
        <v>1</v>
      </c>
      <c r="P135" t="n">
        <v>1</v>
      </c>
      <c r="Q135" t="n">
        <v>1</v>
      </c>
      <c r="R135" s="2" t="inlineStr">
        <is>
          <t>Åkerrättika</t>
        </is>
      </c>
      <c r="S135">
        <f>HYPERLINK("https://klasma.github.io/Logging_0604/artfynd/A 63467-2021 artfynd.xlsx", "A 63467-2021")</f>
        <v/>
      </c>
      <c r="T135">
        <f>HYPERLINK("https://klasma.github.io/Logging_0604/kartor/A 63467-2021 karta.png", "A 63467-2021")</f>
        <v/>
      </c>
      <c r="V135">
        <f>HYPERLINK("https://klasma.github.io/Logging_0604/klagomål/A 63467-2021 FSC-klagomål.docx", "A 63467-2021")</f>
        <v/>
      </c>
      <c r="W135">
        <f>HYPERLINK("https://klasma.github.io/Logging_0604/klagomålsmail/A 63467-2021 FSC-klagomål mail.docx", "A 63467-2021")</f>
        <v/>
      </c>
      <c r="X135">
        <f>HYPERLINK("https://klasma.github.io/Logging_0604/tillsyn/A 63467-2021 tillsynsbegäran.docx", "A 63467-2021")</f>
        <v/>
      </c>
      <c r="Y135">
        <f>HYPERLINK("https://klasma.github.io/Logging_0604/tillsynsmail/A 63467-2021 tillsynsbegäran mail.docx", "A 63467-2021")</f>
        <v/>
      </c>
    </row>
    <row r="136" ht="15" customHeight="1">
      <c r="A136" t="inlineStr">
        <is>
          <t>A 1304-2022</t>
        </is>
      </c>
      <c r="B136" s="1" t="n">
        <v>44572.70938657408</v>
      </c>
      <c r="C136" s="1" t="n">
        <v>45962</v>
      </c>
      <c r="D136" t="inlineStr">
        <is>
          <t>JÖNKÖPINGS LÄN</t>
        </is>
      </c>
      <c r="E136" t="inlineStr">
        <is>
          <t>SÄVSJÖ</t>
        </is>
      </c>
      <c r="G136" t="n">
        <v>3.6</v>
      </c>
      <c r="H136" t="n">
        <v>1</v>
      </c>
      <c r="I136" t="n">
        <v>0</v>
      </c>
      <c r="J136" t="n">
        <v>1</v>
      </c>
      <c r="K136" t="n">
        <v>0</v>
      </c>
      <c r="L136" t="n">
        <v>0</v>
      </c>
      <c r="M136" t="n">
        <v>0</v>
      </c>
      <c r="N136" t="n">
        <v>0</v>
      </c>
      <c r="O136" t="n">
        <v>1</v>
      </c>
      <c r="P136" t="n">
        <v>0</v>
      </c>
      <c r="Q136" t="n">
        <v>1</v>
      </c>
      <c r="R136" s="2" t="inlineStr">
        <is>
          <t>Fjällvråk</t>
        </is>
      </c>
      <c r="S136">
        <f>HYPERLINK("https://klasma.github.io/Logging_0684/artfynd/A 1304-2022 artfynd.xlsx", "A 1304-2022")</f>
        <v/>
      </c>
      <c r="T136">
        <f>HYPERLINK("https://klasma.github.io/Logging_0684/kartor/A 1304-2022 karta.png", "A 1304-2022")</f>
        <v/>
      </c>
      <c r="V136">
        <f>HYPERLINK("https://klasma.github.io/Logging_0684/klagomål/A 1304-2022 FSC-klagomål.docx", "A 1304-2022")</f>
        <v/>
      </c>
      <c r="W136">
        <f>HYPERLINK("https://klasma.github.io/Logging_0684/klagomålsmail/A 1304-2022 FSC-klagomål mail.docx", "A 1304-2022")</f>
        <v/>
      </c>
      <c r="X136">
        <f>HYPERLINK("https://klasma.github.io/Logging_0684/tillsyn/A 1304-2022 tillsynsbegäran.docx", "A 1304-2022")</f>
        <v/>
      </c>
      <c r="Y136">
        <f>HYPERLINK("https://klasma.github.io/Logging_0684/tillsynsmail/A 1304-2022 tillsynsbegäran mail.docx", "A 1304-2022")</f>
        <v/>
      </c>
      <c r="Z136">
        <f>HYPERLINK("https://klasma.github.io/Logging_0684/fåglar/A 1304-2022 prioriterade fågelarter.docx", "A 1304-2022")</f>
        <v/>
      </c>
    </row>
    <row r="137" ht="15" customHeight="1">
      <c r="A137" t="inlineStr">
        <is>
          <t>A 13839-2022</t>
        </is>
      </c>
      <c r="B137" s="1" t="n">
        <v>44649.65215277778</v>
      </c>
      <c r="C137" s="1" t="n">
        <v>45962</v>
      </c>
      <c r="D137" t="inlineStr">
        <is>
          <t>JÖNKÖPINGS LÄN</t>
        </is>
      </c>
      <c r="E137" t="inlineStr">
        <is>
          <t>EKSJÖ</t>
        </is>
      </c>
      <c r="G137" t="n">
        <v>1.4</v>
      </c>
      <c r="H137" t="n">
        <v>1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1</v>
      </c>
      <c r="R137" s="2" t="inlineStr">
        <is>
          <t>Blåsippa</t>
        </is>
      </c>
      <c r="S137">
        <f>HYPERLINK("https://klasma.github.io/Logging_0686/artfynd/A 13839-2022 artfynd.xlsx", "A 13839-2022")</f>
        <v/>
      </c>
      <c r="T137">
        <f>HYPERLINK("https://klasma.github.io/Logging_0686/kartor/A 13839-2022 karta.png", "A 13839-2022")</f>
        <v/>
      </c>
      <c r="V137">
        <f>HYPERLINK("https://klasma.github.io/Logging_0686/klagomål/A 13839-2022 FSC-klagomål.docx", "A 13839-2022")</f>
        <v/>
      </c>
      <c r="W137">
        <f>HYPERLINK("https://klasma.github.io/Logging_0686/klagomålsmail/A 13839-2022 FSC-klagomål mail.docx", "A 13839-2022")</f>
        <v/>
      </c>
      <c r="X137">
        <f>HYPERLINK("https://klasma.github.io/Logging_0686/tillsyn/A 13839-2022 tillsynsbegäran.docx", "A 13839-2022")</f>
        <v/>
      </c>
      <c r="Y137">
        <f>HYPERLINK("https://klasma.github.io/Logging_0686/tillsynsmail/A 13839-2022 tillsynsbegäran mail.docx", "A 13839-2022")</f>
        <v/>
      </c>
    </row>
    <row r="138" ht="15" customHeight="1">
      <c r="A138" t="inlineStr">
        <is>
          <t>A 43385-2022</t>
        </is>
      </c>
      <c r="B138" s="1" t="n">
        <v>44834</v>
      </c>
      <c r="C138" s="1" t="n">
        <v>45962</v>
      </c>
      <c r="D138" t="inlineStr">
        <is>
          <t>JÖNKÖPINGS LÄN</t>
        </is>
      </c>
      <c r="E138" t="inlineStr">
        <is>
          <t>VETLANDA</t>
        </is>
      </c>
      <c r="G138" t="n">
        <v>2</v>
      </c>
      <c r="H138" t="n">
        <v>0</v>
      </c>
      <c r="I138" t="n">
        <v>0</v>
      </c>
      <c r="J138" t="n">
        <v>0</v>
      </c>
      <c r="K138" t="n">
        <v>1</v>
      </c>
      <c r="L138" t="n">
        <v>0</v>
      </c>
      <c r="M138" t="n">
        <v>0</v>
      </c>
      <c r="N138" t="n">
        <v>0</v>
      </c>
      <c r="O138" t="n">
        <v>1</v>
      </c>
      <c r="P138" t="n">
        <v>1</v>
      </c>
      <c r="Q138" t="n">
        <v>1</v>
      </c>
      <c r="R138" s="2" t="inlineStr">
        <is>
          <t>Senfibbla</t>
        </is>
      </c>
      <c r="S138">
        <f>HYPERLINK("https://klasma.github.io/Logging_0685/artfynd/A 43385-2022 artfynd.xlsx", "A 43385-2022")</f>
        <v/>
      </c>
      <c r="T138">
        <f>HYPERLINK("https://klasma.github.io/Logging_0685/kartor/A 43385-2022 karta.png", "A 43385-2022")</f>
        <v/>
      </c>
      <c r="V138">
        <f>HYPERLINK("https://klasma.github.io/Logging_0685/klagomål/A 43385-2022 FSC-klagomål.docx", "A 43385-2022")</f>
        <v/>
      </c>
      <c r="W138">
        <f>HYPERLINK("https://klasma.github.io/Logging_0685/klagomålsmail/A 43385-2022 FSC-klagomål mail.docx", "A 43385-2022")</f>
        <v/>
      </c>
      <c r="X138">
        <f>HYPERLINK("https://klasma.github.io/Logging_0685/tillsyn/A 43385-2022 tillsynsbegäran.docx", "A 43385-2022")</f>
        <v/>
      </c>
      <c r="Y138">
        <f>HYPERLINK("https://klasma.github.io/Logging_0685/tillsynsmail/A 43385-2022 tillsynsbegäran mail.docx", "A 43385-2022")</f>
        <v/>
      </c>
    </row>
    <row r="139" ht="15" customHeight="1">
      <c r="A139" t="inlineStr">
        <is>
          <t>A 51852-2021</t>
        </is>
      </c>
      <c r="B139" s="1" t="n">
        <v>44462</v>
      </c>
      <c r="C139" s="1" t="n">
        <v>45962</v>
      </c>
      <c r="D139" t="inlineStr">
        <is>
          <t>JÖNKÖPINGS LÄN</t>
        </is>
      </c>
      <c r="E139" t="inlineStr">
        <is>
          <t>VETLANDA</t>
        </is>
      </c>
      <c r="G139" t="n">
        <v>3</v>
      </c>
      <c r="H139" t="n">
        <v>1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1</v>
      </c>
      <c r="R139" s="2" t="inlineStr">
        <is>
          <t>Revlummer</t>
        </is>
      </c>
      <c r="S139">
        <f>HYPERLINK("https://klasma.github.io/Logging_0685/artfynd/A 51852-2021 artfynd.xlsx", "A 51852-2021")</f>
        <v/>
      </c>
      <c r="T139">
        <f>HYPERLINK("https://klasma.github.io/Logging_0685/kartor/A 51852-2021 karta.png", "A 51852-2021")</f>
        <v/>
      </c>
      <c r="V139">
        <f>HYPERLINK("https://klasma.github.io/Logging_0685/klagomål/A 51852-2021 FSC-klagomål.docx", "A 51852-2021")</f>
        <v/>
      </c>
      <c r="W139">
        <f>HYPERLINK("https://klasma.github.io/Logging_0685/klagomålsmail/A 51852-2021 FSC-klagomål mail.docx", "A 51852-2021")</f>
        <v/>
      </c>
      <c r="X139">
        <f>HYPERLINK("https://klasma.github.io/Logging_0685/tillsyn/A 51852-2021 tillsynsbegäran.docx", "A 51852-2021")</f>
        <v/>
      </c>
      <c r="Y139">
        <f>HYPERLINK("https://klasma.github.io/Logging_0685/tillsynsmail/A 51852-2021 tillsynsbegäran mail.docx", "A 51852-2021")</f>
        <v/>
      </c>
    </row>
    <row r="140" ht="15" customHeight="1">
      <c r="A140" t="inlineStr">
        <is>
          <t>A 70820-2021</t>
        </is>
      </c>
      <c r="B140" s="1" t="n">
        <v>44537</v>
      </c>
      <c r="C140" s="1" t="n">
        <v>45962</v>
      </c>
      <c r="D140" t="inlineStr">
        <is>
          <t>JÖNKÖPINGS LÄN</t>
        </is>
      </c>
      <c r="E140" t="inlineStr">
        <is>
          <t>NÄSSJÖ</t>
        </is>
      </c>
      <c r="G140" t="n">
        <v>5</v>
      </c>
      <c r="H140" t="n">
        <v>1</v>
      </c>
      <c r="I140" t="n">
        <v>0</v>
      </c>
      <c r="J140" t="n">
        <v>0</v>
      </c>
      <c r="K140" t="n">
        <v>1</v>
      </c>
      <c r="L140" t="n">
        <v>0</v>
      </c>
      <c r="M140" t="n">
        <v>0</v>
      </c>
      <c r="N140" t="n">
        <v>0</v>
      </c>
      <c r="O140" t="n">
        <v>1</v>
      </c>
      <c r="P140" t="n">
        <v>1</v>
      </c>
      <c r="Q140" t="n">
        <v>1</v>
      </c>
      <c r="R140" s="2" t="inlineStr">
        <is>
          <t>Lappuggla</t>
        </is>
      </c>
      <c r="S140">
        <f>HYPERLINK("https://klasma.github.io/Logging_0682/artfynd/A 70820-2021 artfynd.xlsx", "A 70820-2021")</f>
        <v/>
      </c>
      <c r="T140">
        <f>HYPERLINK("https://klasma.github.io/Logging_0682/kartor/A 70820-2021 karta.png", "A 70820-2021")</f>
        <v/>
      </c>
      <c r="V140">
        <f>HYPERLINK("https://klasma.github.io/Logging_0682/klagomål/A 70820-2021 FSC-klagomål.docx", "A 70820-2021")</f>
        <v/>
      </c>
      <c r="W140">
        <f>HYPERLINK("https://klasma.github.io/Logging_0682/klagomålsmail/A 70820-2021 FSC-klagomål mail.docx", "A 70820-2021")</f>
        <v/>
      </c>
      <c r="X140">
        <f>HYPERLINK("https://klasma.github.io/Logging_0682/tillsyn/A 70820-2021 tillsynsbegäran.docx", "A 70820-2021")</f>
        <v/>
      </c>
      <c r="Y140">
        <f>HYPERLINK("https://klasma.github.io/Logging_0682/tillsynsmail/A 70820-2021 tillsynsbegäran mail.docx", "A 70820-2021")</f>
        <v/>
      </c>
      <c r="Z140">
        <f>HYPERLINK("https://klasma.github.io/Logging_0682/fåglar/A 70820-2021 prioriterade fågelarter.docx", "A 70820-2021")</f>
        <v/>
      </c>
    </row>
    <row r="141" ht="15" customHeight="1">
      <c r="A141" t="inlineStr">
        <is>
          <t>A 28349-2022</t>
        </is>
      </c>
      <c r="B141" s="1" t="n">
        <v>44747</v>
      </c>
      <c r="C141" s="1" t="n">
        <v>45962</v>
      </c>
      <c r="D141" t="inlineStr">
        <is>
          <t>JÖNKÖPINGS LÄN</t>
        </is>
      </c>
      <c r="E141" t="inlineStr">
        <is>
          <t>VETLANDA</t>
        </is>
      </c>
      <c r="G141" t="n">
        <v>0.9</v>
      </c>
      <c r="H141" t="n">
        <v>1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1</v>
      </c>
      <c r="R141" s="2" t="inlineStr">
        <is>
          <t>Grönvit nattviol</t>
        </is>
      </c>
      <c r="S141">
        <f>HYPERLINK("https://klasma.github.io/Logging_0685/artfynd/A 28349-2022 artfynd.xlsx", "A 28349-2022")</f>
        <v/>
      </c>
      <c r="T141">
        <f>HYPERLINK("https://klasma.github.io/Logging_0685/kartor/A 28349-2022 karta.png", "A 28349-2022")</f>
        <v/>
      </c>
      <c r="V141">
        <f>HYPERLINK("https://klasma.github.io/Logging_0685/klagomål/A 28349-2022 FSC-klagomål.docx", "A 28349-2022")</f>
        <v/>
      </c>
      <c r="W141">
        <f>HYPERLINK("https://klasma.github.io/Logging_0685/klagomålsmail/A 28349-2022 FSC-klagomål mail.docx", "A 28349-2022")</f>
        <v/>
      </c>
      <c r="X141">
        <f>HYPERLINK("https://klasma.github.io/Logging_0685/tillsyn/A 28349-2022 tillsynsbegäran.docx", "A 28349-2022")</f>
        <v/>
      </c>
      <c r="Y141">
        <f>HYPERLINK("https://klasma.github.io/Logging_0685/tillsynsmail/A 28349-2022 tillsynsbegäran mail.docx", "A 28349-2022")</f>
        <v/>
      </c>
    </row>
    <row r="142" ht="15" customHeight="1">
      <c r="A142" t="inlineStr">
        <is>
          <t>A 26343-2021</t>
        </is>
      </c>
      <c r="B142" s="1" t="n">
        <v>44347.63069444444</v>
      </c>
      <c r="C142" s="1" t="n">
        <v>45962</v>
      </c>
      <c r="D142" t="inlineStr">
        <is>
          <t>JÖNKÖPINGS LÄN</t>
        </is>
      </c>
      <c r="E142" t="inlineStr">
        <is>
          <t>JÖNKÖPING</t>
        </is>
      </c>
      <c r="G142" t="n">
        <v>0.6</v>
      </c>
      <c r="H142" t="n">
        <v>0</v>
      </c>
      <c r="I142" t="n">
        <v>1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1</v>
      </c>
      <c r="R142" s="2" t="inlineStr">
        <is>
          <t>Dvärghäxört</t>
        </is>
      </c>
      <c r="S142">
        <f>HYPERLINK("https://klasma.github.io/Logging_0680/artfynd/A 26343-2021 artfynd.xlsx", "A 26343-2021")</f>
        <v/>
      </c>
      <c r="T142">
        <f>HYPERLINK("https://klasma.github.io/Logging_0680/kartor/A 26343-2021 karta.png", "A 26343-2021")</f>
        <v/>
      </c>
      <c r="V142">
        <f>HYPERLINK("https://klasma.github.io/Logging_0680/klagomål/A 26343-2021 FSC-klagomål.docx", "A 26343-2021")</f>
        <v/>
      </c>
      <c r="W142">
        <f>HYPERLINK("https://klasma.github.io/Logging_0680/klagomålsmail/A 26343-2021 FSC-klagomål mail.docx", "A 26343-2021")</f>
        <v/>
      </c>
      <c r="X142">
        <f>HYPERLINK("https://klasma.github.io/Logging_0680/tillsyn/A 26343-2021 tillsynsbegäran.docx", "A 26343-2021")</f>
        <v/>
      </c>
      <c r="Y142">
        <f>HYPERLINK("https://klasma.github.io/Logging_0680/tillsynsmail/A 26343-2021 tillsynsbegäran mail.docx", "A 26343-2021")</f>
        <v/>
      </c>
    </row>
    <row r="143" ht="15" customHeight="1">
      <c r="A143" t="inlineStr">
        <is>
          <t>A 53025-2021</t>
        </is>
      </c>
      <c r="B143" s="1" t="n">
        <v>44467</v>
      </c>
      <c r="C143" s="1" t="n">
        <v>45962</v>
      </c>
      <c r="D143" t="inlineStr">
        <is>
          <t>JÖNKÖPINGS LÄN</t>
        </is>
      </c>
      <c r="E143" t="inlineStr">
        <is>
          <t>JÖNKÖPING</t>
        </is>
      </c>
      <c r="G143" t="n">
        <v>2.5</v>
      </c>
      <c r="H143" t="n">
        <v>0</v>
      </c>
      <c r="I143" t="n">
        <v>0</v>
      </c>
      <c r="J143" t="n">
        <v>0</v>
      </c>
      <c r="K143" t="n">
        <v>1</v>
      </c>
      <c r="L143" t="n">
        <v>0</v>
      </c>
      <c r="M143" t="n">
        <v>0</v>
      </c>
      <c r="N143" t="n">
        <v>0</v>
      </c>
      <c r="O143" t="n">
        <v>1</v>
      </c>
      <c r="P143" t="n">
        <v>1</v>
      </c>
      <c r="Q143" t="n">
        <v>1</v>
      </c>
      <c r="R143" s="2" t="inlineStr">
        <is>
          <t>Slåttergubbe</t>
        </is>
      </c>
      <c r="S143">
        <f>HYPERLINK("https://klasma.github.io/Logging_0680/artfynd/A 53025-2021 artfynd.xlsx", "A 53025-2021")</f>
        <v/>
      </c>
      <c r="T143">
        <f>HYPERLINK("https://klasma.github.io/Logging_0680/kartor/A 53025-2021 karta.png", "A 53025-2021")</f>
        <v/>
      </c>
      <c r="V143">
        <f>HYPERLINK("https://klasma.github.io/Logging_0680/klagomål/A 53025-2021 FSC-klagomål.docx", "A 53025-2021")</f>
        <v/>
      </c>
      <c r="W143">
        <f>HYPERLINK("https://klasma.github.io/Logging_0680/klagomålsmail/A 53025-2021 FSC-klagomål mail.docx", "A 53025-2021")</f>
        <v/>
      </c>
      <c r="X143">
        <f>HYPERLINK("https://klasma.github.io/Logging_0680/tillsyn/A 53025-2021 tillsynsbegäran.docx", "A 53025-2021")</f>
        <v/>
      </c>
      <c r="Y143">
        <f>HYPERLINK("https://klasma.github.io/Logging_0680/tillsynsmail/A 53025-2021 tillsynsbegäran mail.docx", "A 53025-2021")</f>
        <v/>
      </c>
    </row>
    <row r="144" ht="15" customHeight="1">
      <c r="A144" t="inlineStr">
        <is>
          <t>A 49388-2021</t>
        </is>
      </c>
      <c r="B144" s="1" t="n">
        <v>44454</v>
      </c>
      <c r="C144" s="1" t="n">
        <v>45962</v>
      </c>
      <c r="D144" t="inlineStr">
        <is>
          <t>JÖNKÖPINGS LÄN</t>
        </is>
      </c>
      <c r="E144" t="inlineStr">
        <is>
          <t>VETLANDA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1</v>
      </c>
      <c r="M144" t="n">
        <v>0</v>
      </c>
      <c r="N144" t="n">
        <v>0</v>
      </c>
      <c r="O144" t="n">
        <v>1</v>
      </c>
      <c r="P144" t="n">
        <v>1</v>
      </c>
      <c r="Q144" t="n">
        <v>1</v>
      </c>
      <c r="R144" s="2" t="inlineStr">
        <is>
          <t>Ask</t>
        </is>
      </c>
      <c r="S144">
        <f>HYPERLINK("https://klasma.github.io/Logging_0685/artfynd/A 49388-2021 artfynd.xlsx", "A 49388-2021")</f>
        <v/>
      </c>
      <c r="T144">
        <f>HYPERLINK("https://klasma.github.io/Logging_0685/kartor/A 49388-2021 karta.png", "A 49388-2021")</f>
        <v/>
      </c>
      <c r="V144">
        <f>HYPERLINK("https://klasma.github.io/Logging_0685/klagomål/A 49388-2021 FSC-klagomål.docx", "A 49388-2021")</f>
        <v/>
      </c>
      <c r="W144">
        <f>HYPERLINK("https://klasma.github.io/Logging_0685/klagomålsmail/A 49388-2021 FSC-klagomål mail.docx", "A 49388-2021")</f>
        <v/>
      </c>
      <c r="X144">
        <f>HYPERLINK("https://klasma.github.io/Logging_0685/tillsyn/A 49388-2021 tillsynsbegäran.docx", "A 49388-2021")</f>
        <v/>
      </c>
      <c r="Y144">
        <f>HYPERLINK("https://klasma.github.io/Logging_0685/tillsynsmail/A 49388-2021 tillsynsbegäran mail.docx", "A 49388-2021")</f>
        <v/>
      </c>
    </row>
    <row r="145" ht="15" customHeight="1">
      <c r="A145" t="inlineStr">
        <is>
          <t>A 5211-2021</t>
        </is>
      </c>
      <c r="B145" s="1" t="n">
        <v>44228.99570601852</v>
      </c>
      <c r="C145" s="1" t="n">
        <v>45962</v>
      </c>
      <c r="D145" t="inlineStr">
        <is>
          <t>JÖNKÖPINGS LÄN</t>
        </is>
      </c>
      <c r="E145" t="inlineStr">
        <is>
          <t>VETLANDA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1</v>
      </c>
      <c r="L145" t="n">
        <v>0</v>
      </c>
      <c r="M145" t="n">
        <v>0</v>
      </c>
      <c r="N145" t="n">
        <v>0</v>
      </c>
      <c r="O145" t="n">
        <v>1</v>
      </c>
      <c r="P145" t="n">
        <v>1</v>
      </c>
      <c r="Q145" t="n">
        <v>1</v>
      </c>
      <c r="R145" s="2" t="inlineStr">
        <is>
          <t>Slåttergubbe</t>
        </is>
      </c>
      <c r="S145">
        <f>HYPERLINK("https://klasma.github.io/Logging_0685/artfynd/A 5211-2021 artfynd.xlsx", "A 5211-2021")</f>
        <v/>
      </c>
      <c r="T145">
        <f>HYPERLINK("https://klasma.github.io/Logging_0685/kartor/A 5211-2021 karta.png", "A 5211-2021")</f>
        <v/>
      </c>
      <c r="V145">
        <f>HYPERLINK("https://klasma.github.io/Logging_0685/klagomål/A 5211-2021 FSC-klagomål.docx", "A 5211-2021")</f>
        <v/>
      </c>
      <c r="W145">
        <f>HYPERLINK("https://klasma.github.io/Logging_0685/klagomålsmail/A 5211-2021 FSC-klagomål mail.docx", "A 5211-2021")</f>
        <v/>
      </c>
      <c r="X145">
        <f>HYPERLINK("https://klasma.github.io/Logging_0685/tillsyn/A 5211-2021 tillsynsbegäran.docx", "A 5211-2021")</f>
        <v/>
      </c>
      <c r="Y145">
        <f>HYPERLINK("https://klasma.github.io/Logging_0685/tillsynsmail/A 5211-2021 tillsynsbegäran mail.docx", "A 5211-2021")</f>
        <v/>
      </c>
    </row>
    <row r="146" ht="15" customHeight="1">
      <c r="A146" t="inlineStr">
        <is>
          <t>A 70402-2021</t>
        </is>
      </c>
      <c r="B146" s="1" t="n">
        <v>44536</v>
      </c>
      <c r="C146" s="1" t="n">
        <v>45962</v>
      </c>
      <c r="D146" t="inlineStr">
        <is>
          <t>JÖNKÖPINGS LÄN</t>
        </is>
      </c>
      <c r="E146" t="inlineStr">
        <is>
          <t>JÖNKÖPING</t>
        </is>
      </c>
      <c r="F146" t="inlineStr">
        <is>
          <t>Sveaskog</t>
        </is>
      </c>
      <c r="G146" t="n">
        <v>6.2</v>
      </c>
      <c r="H146" t="n">
        <v>0</v>
      </c>
      <c r="I146" t="n">
        <v>0</v>
      </c>
      <c r="J146" t="n">
        <v>0</v>
      </c>
      <c r="K146" t="n">
        <v>1</v>
      </c>
      <c r="L146" t="n">
        <v>0</v>
      </c>
      <c r="M146" t="n">
        <v>0</v>
      </c>
      <c r="N146" t="n">
        <v>0</v>
      </c>
      <c r="O146" t="n">
        <v>1</v>
      </c>
      <c r="P146" t="n">
        <v>1</v>
      </c>
      <c r="Q146" t="n">
        <v>1</v>
      </c>
      <c r="R146" s="2" t="inlineStr">
        <is>
          <t>Slåttergubbe</t>
        </is>
      </c>
      <c r="S146">
        <f>HYPERLINK("https://klasma.github.io/Logging_0680/artfynd/A 70402-2021 artfynd.xlsx", "A 70402-2021")</f>
        <v/>
      </c>
      <c r="T146">
        <f>HYPERLINK("https://klasma.github.io/Logging_0680/kartor/A 70402-2021 karta.png", "A 70402-2021")</f>
        <v/>
      </c>
      <c r="V146">
        <f>HYPERLINK("https://klasma.github.io/Logging_0680/klagomål/A 70402-2021 FSC-klagomål.docx", "A 70402-2021")</f>
        <v/>
      </c>
      <c r="W146">
        <f>HYPERLINK("https://klasma.github.io/Logging_0680/klagomålsmail/A 70402-2021 FSC-klagomål mail.docx", "A 70402-2021")</f>
        <v/>
      </c>
      <c r="X146">
        <f>HYPERLINK("https://klasma.github.io/Logging_0680/tillsyn/A 70402-2021 tillsynsbegäran.docx", "A 70402-2021")</f>
        <v/>
      </c>
      <c r="Y146">
        <f>HYPERLINK("https://klasma.github.io/Logging_0680/tillsynsmail/A 70402-2021 tillsynsbegäran mail.docx", "A 70402-2021")</f>
        <v/>
      </c>
    </row>
    <row r="147" ht="15" customHeight="1">
      <c r="A147" t="inlineStr">
        <is>
          <t>A 48114-2023</t>
        </is>
      </c>
      <c r="B147" s="1" t="n">
        <v>45205</v>
      </c>
      <c r="C147" s="1" t="n">
        <v>45962</v>
      </c>
      <c r="D147" t="inlineStr">
        <is>
          <t>JÖNKÖPINGS LÄN</t>
        </is>
      </c>
      <c r="E147" t="inlineStr">
        <is>
          <t>JÖNKÖPING</t>
        </is>
      </c>
      <c r="G147" t="n">
        <v>9.300000000000001</v>
      </c>
      <c r="H147" t="n">
        <v>0</v>
      </c>
      <c r="I147" t="n">
        <v>0</v>
      </c>
      <c r="J147" t="n">
        <v>1</v>
      </c>
      <c r="K147" t="n">
        <v>0</v>
      </c>
      <c r="L147" t="n">
        <v>0</v>
      </c>
      <c r="M147" t="n">
        <v>0</v>
      </c>
      <c r="N147" t="n">
        <v>0</v>
      </c>
      <c r="O147" t="n">
        <v>1</v>
      </c>
      <c r="P147" t="n">
        <v>0</v>
      </c>
      <c r="Q147" t="n">
        <v>1</v>
      </c>
      <c r="R147" s="2" t="inlineStr">
        <is>
          <t>Garnlav</t>
        </is>
      </c>
      <c r="S147">
        <f>HYPERLINK("https://klasma.github.io/Logging_0680/artfynd/A 48114-2023 artfynd.xlsx", "A 48114-2023")</f>
        <v/>
      </c>
      <c r="T147">
        <f>HYPERLINK("https://klasma.github.io/Logging_0680/kartor/A 48114-2023 karta.png", "A 48114-2023")</f>
        <v/>
      </c>
      <c r="V147">
        <f>HYPERLINK("https://klasma.github.io/Logging_0680/klagomål/A 48114-2023 FSC-klagomål.docx", "A 48114-2023")</f>
        <v/>
      </c>
      <c r="W147">
        <f>HYPERLINK("https://klasma.github.io/Logging_0680/klagomålsmail/A 48114-2023 FSC-klagomål mail.docx", "A 48114-2023")</f>
        <v/>
      </c>
      <c r="X147">
        <f>HYPERLINK("https://klasma.github.io/Logging_0680/tillsyn/A 48114-2023 tillsynsbegäran.docx", "A 48114-2023")</f>
        <v/>
      </c>
      <c r="Y147">
        <f>HYPERLINK("https://klasma.github.io/Logging_0680/tillsynsmail/A 48114-2023 tillsynsbegäran mail.docx", "A 48114-2023")</f>
        <v/>
      </c>
    </row>
    <row r="148" ht="15" customHeight="1">
      <c r="A148" t="inlineStr">
        <is>
          <t>A 230-2024</t>
        </is>
      </c>
      <c r="B148" s="1" t="n">
        <v>45293</v>
      </c>
      <c r="C148" s="1" t="n">
        <v>45962</v>
      </c>
      <c r="D148" t="inlineStr">
        <is>
          <t>JÖNKÖPINGS LÄN</t>
        </is>
      </c>
      <c r="E148" t="inlineStr">
        <is>
          <t>ANEBY</t>
        </is>
      </c>
      <c r="G148" t="n">
        <v>1</v>
      </c>
      <c r="H148" t="n">
        <v>1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1</v>
      </c>
      <c r="R148" s="2" t="inlineStr">
        <is>
          <t>Revlummer</t>
        </is>
      </c>
      <c r="S148">
        <f>HYPERLINK("https://klasma.github.io/Logging_0604/artfynd/A 230-2024 artfynd.xlsx", "A 230-2024")</f>
        <v/>
      </c>
      <c r="T148">
        <f>HYPERLINK("https://klasma.github.io/Logging_0604/kartor/A 230-2024 karta.png", "A 230-2024")</f>
        <v/>
      </c>
      <c r="V148">
        <f>HYPERLINK("https://klasma.github.io/Logging_0604/klagomål/A 230-2024 FSC-klagomål.docx", "A 230-2024")</f>
        <v/>
      </c>
      <c r="W148">
        <f>HYPERLINK("https://klasma.github.io/Logging_0604/klagomålsmail/A 230-2024 FSC-klagomål mail.docx", "A 230-2024")</f>
        <v/>
      </c>
      <c r="X148">
        <f>HYPERLINK("https://klasma.github.io/Logging_0604/tillsyn/A 230-2024 tillsynsbegäran.docx", "A 230-2024")</f>
        <v/>
      </c>
      <c r="Y148">
        <f>HYPERLINK("https://klasma.github.io/Logging_0604/tillsynsmail/A 230-2024 tillsynsbegäran mail.docx", "A 230-2024")</f>
        <v/>
      </c>
    </row>
    <row r="149" ht="15" customHeight="1">
      <c r="A149" t="inlineStr">
        <is>
          <t>A 23370-2023</t>
        </is>
      </c>
      <c r="B149" s="1" t="n">
        <v>45076</v>
      </c>
      <c r="C149" s="1" t="n">
        <v>45962</v>
      </c>
      <c r="D149" t="inlineStr">
        <is>
          <t>JÖNKÖPINGS LÄN</t>
        </is>
      </c>
      <c r="E149" t="inlineStr">
        <is>
          <t>VÄRNAMO</t>
        </is>
      </c>
      <c r="G149" t="n">
        <v>4.7</v>
      </c>
      <c r="H149" t="n">
        <v>0</v>
      </c>
      <c r="I149" t="n">
        <v>0</v>
      </c>
      <c r="J149" t="n">
        <v>0</v>
      </c>
      <c r="K149" t="n">
        <v>1</v>
      </c>
      <c r="L149" t="n">
        <v>0</v>
      </c>
      <c r="M149" t="n">
        <v>0</v>
      </c>
      <c r="N149" t="n">
        <v>0</v>
      </c>
      <c r="O149" t="n">
        <v>1</v>
      </c>
      <c r="P149" t="n">
        <v>1</v>
      </c>
      <c r="Q149" t="n">
        <v>1</v>
      </c>
      <c r="R149" s="2" t="inlineStr">
        <is>
          <t>Slåttergubbe</t>
        </is>
      </c>
      <c r="S149">
        <f>HYPERLINK("https://klasma.github.io/Logging_0683/artfynd/A 23370-2023 artfynd.xlsx", "A 23370-2023")</f>
        <v/>
      </c>
      <c r="T149">
        <f>HYPERLINK("https://klasma.github.io/Logging_0683/kartor/A 23370-2023 karta.png", "A 23370-2023")</f>
        <v/>
      </c>
      <c r="V149">
        <f>HYPERLINK("https://klasma.github.io/Logging_0683/klagomål/A 23370-2023 FSC-klagomål.docx", "A 23370-2023")</f>
        <v/>
      </c>
      <c r="W149">
        <f>HYPERLINK("https://klasma.github.io/Logging_0683/klagomålsmail/A 23370-2023 FSC-klagomål mail.docx", "A 23370-2023")</f>
        <v/>
      </c>
      <c r="X149">
        <f>HYPERLINK("https://klasma.github.io/Logging_0683/tillsyn/A 23370-2023 tillsynsbegäran.docx", "A 23370-2023")</f>
        <v/>
      </c>
      <c r="Y149">
        <f>HYPERLINK("https://klasma.github.io/Logging_0683/tillsynsmail/A 23370-2023 tillsynsbegäran mail.docx", "A 23370-2023")</f>
        <v/>
      </c>
    </row>
    <row r="150" ht="15" customHeight="1">
      <c r="A150" t="inlineStr">
        <is>
          <t>A 50816-2023</t>
        </is>
      </c>
      <c r="B150" s="1" t="n">
        <v>45217</v>
      </c>
      <c r="C150" s="1" t="n">
        <v>45962</v>
      </c>
      <c r="D150" t="inlineStr">
        <is>
          <t>JÖNKÖPINGS LÄN</t>
        </is>
      </c>
      <c r="E150" t="inlineStr">
        <is>
          <t>SÄVSJÖ</t>
        </is>
      </c>
      <c r="G150" t="n">
        <v>4</v>
      </c>
      <c r="H150" t="n">
        <v>0</v>
      </c>
      <c r="I150" t="n">
        <v>0</v>
      </c>
      <c r="J150" t="n">
        <v>1</v>
      </c>
      <c r="K150" t="n">
        <v>0</v>
      </c>
      <c r="L150" t="n">
        <v>0</v>
      </c>
      <c r="M150" t="n">
        <v>0</v>
      </c>
      <c r="N150" t="n">
        <v>0</v>
      </c>
      <c r="O150" t="n">
        <v>1</v>
      </c>
      <c r="P150" t="n">
        <v>0</v>
      </c>
      <c r="Q150" t="n">
        <v>1</v>
      </c>
      <c r="R150" s="2" t="inlineStr">
        <is>
          <t>Sommarfibbla</t>
        </is>
      </c>
      <c r="S150">
        <f>HYPERLINK("https://klasma.github.io/Logging_0684/artfynd/A 50816-2023 artfynd.xlsx", "A 50816-2023")</f>
        <v/>
      </c>
      <c r="T150">
        <f>HYPERLINK("https://klasma.github.io/Logging_0684/kartor/A 50816-2023 karta.png", "A 50816-2023")</f>
        <v/>
      </c>
      <c r="V150">
        <f>HYPERLINK("https://klasma.github.io/Logging_0684/klagomål/A 50816-2023 FSC-klagomål.docx", "A 50816-2023")</f>
        <v/>
      </c>
      <c r="W150">
        <f>HYPERLINK("https://klasma.github.io/Logging_0684/klagomålsmail/A 50816-2023 FSC-klagomål mail.docx", "A 50816-2023")</f>
        <v/>
      </c>
      <c r="X150">
        <f>HYPERLINK("https://klasma.github.io/Logging_0684/tillsyn/A 50816-2023 tillsynsbegäran.docx", "A 50816-2023")</f>
        <v/>
      </c>
      <c r="Y150">
        <f>HYPERLINK("https://klasma.github.io/Logging_0684/tillsynsmail/A 50816-2023 tillsynsbegäran mail.docx", "A 50816-2023")</f>
        <v/>
      </c>
    </row>
    <row r="151" ht="15" customHeight="1">
      <c r="A151" t="inlineStr">
        <is>
          <t>A 51095-2023</t>
        </is>
      </c>
      <c r="B151" s="1" t="n">
        <v>45218.86729166667</v>
      </c>
      <c r="C151" s="1" t="n">
        <v>45962</v>
      </c>
      <c r="D151" t="inlineStr">
        <is>
          <t>JÖNKÖPINGS LÄN</t>
        </is>
      </c>
      <c r="E151" t="inlineStr">
        <is>
          <t>SÄVSJÖ</t>
        </is>
      </c>
      <c r="G151" t="n">
        <v>3.6</v>
      </c>
      <c r="H151" t="n">
        <v>1</v>
      </c>
      <c r="I151" t="n">
        <v>1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1</v>
      </c>
      <c r="R151" s="2" t="inlineStr">
        <is>
          <t>Korallrot</t>
        </is>
      </c>
      <c r="S151">
        <f>HYPERLINK("https://klasma.github.io/Logging_0684/artfynd/A 51095-2023 artfynd.xlsx", "A 51095-2023")</f>
        <v/>
      </c>
      <c r="T151">
        <f>HYPERLINK("https://klasma.github.io/Logging_0684/kartor/A 51095-2023 karta.png", "A 51095-2023")</f>
        <v/>
      </c>
      <c r="V151">
        <f>HYPERLINK("https://klasma.github.io/Logging_0684/klagomål/A 51095-2023 FSC-klagomål.docx", "A 51095-2023")</f>
        <v/>
      </c>
      <c r="W151">
        <f>HYPERLINK("https://klasma.github.io/Logging_0684/klagomålsmail/A 51095-2023 FSC-klagomål mail.docx", "A 51095-2023")</f>
        <v/>
      </c>
      <c r="X151">
        <f>HYPERLINK("https://klasma.github.io/Logging_0684/tillsyn/A 51095-2023 tillsynsbegäran.docx", "A 51095-2023")</f>
        <v/>
      </c>
      <c r="Y151">
        <f>HYPERLINK("https://klasma.github.io/Logging_0684/tillsynsmail/A 51095-2023 tillsynsbegäran mail.docx", "A 51095-2023")</f>
        <v/>
      </c>
    </row>
    <row r="152" ht="15" customHeight="1">
      <c r="A152" t="inlineStr">
        <is>
          <t>A 7898-2025</t>
        </is>
      </c>
      <c r="B152" s="1" t="n">
        <v>45707.31321759259</v>
      </c>
      <c r="C152" s="1" t="n">
        <v>45962</v>
      </c>
      <c r="D152" t="inlineStr">
        <is>
          <t>JÖNKÖPINGS LÄN</t>
        </is>
      </c>
      <c r="E152" t="inlineStr">
        <is>
          <t>VETLANDA</t>
        </is>
      </c>
      <c r="G152" t="n">
        <v>0.8</v>
      </c>
      <c r="H152" t="n">
        <v>1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1</v>
      </c>
      <c r="R152" s="2" t="inlineStr">
        <is>
          <t>Fläcknycklar</t>
        </is>
      </c>
      <c r="S152">
        <f>HYPERLINK("https://klasma.github.io/Logging_0685/artfynd/A 7898-2025 artfynd.xlsx", "A 7898-2025")</f>
        <v/>
      </c>
      <c r="T152">
        <f>HYPERLINK("https://klasma.github.io/Logging_0685/kartor/A 7898-2025 karta.png", "A 7898-2025")</f>
        <v/>
      </c>
      <c r="V152">
        <f>HYPERLINK("https://klasma.github.io/Logging_0685/klagomål/A 7898-2025 FSC-klagomål.docx", "A 7898-2025")</f>
        <v/>
      </c>
      <c r="W152">
        <f>HYPERLINK("https://klasma.github.io/Logging_0685/klagomålsmail/A 7898-2025 FSC-klagomål mail.docx", "A 7898-2025")</f>
        <v/>
      </c>
      <c r="X152">
        <f>HYPERLINK("https://klasma.github.io/Logging_0685/tillsyn/A 7898-2025 tillsynsbegäran.docx", "A 7898-2025")</f>
        <v/>
      </c>
      <c r="Y152">
        <f>HYPERLINK("https://klasma.github.io/Logging_0685/tillsynsmail/A 7898-2025 tillsynsbegäran mail.docx", "A 7898-2025")</f>
        <v/>
      </c>
    </row>
    <row r="153" ht="15" customHeight="1">
      <c r="A153" t="inlineStr">
        <is>
          <t>A 42142-2022</t>
        </is>
      </c>
      <c r="B153" s="1" t="n">
        <v>44830</v>
      </c>
      <c r="C153" s="1" t="n">
        <v>45962</v>
      </c>
      <c r="D153" t="inlineStr">
        <is>
          <t>JÖNKÖPINGS LÄN</t>
        </is>
      </c>
      <c r="E153" t="inlineStr">
        <is>
          <t>VETLANDA</t>
        </is>
      </c>
      <c r="G153" t="n">
        <v>2</v>
      </c>
      <c r="H153" t="n">
        <v>0</v>
      </c>
      <c r="I153" t="n">
        <v>0</v>
      </c>
      <c r="J153" t="n">
        <v>0</v>
      </c>
      <c r="K153" t="n">
        <v>1</v>
      </c>
      <c r="L153" t="n">
        <v>0</v>
      </c>
      <c r="M153" t="n">
        <v>0</v>
      </c>
      <c r="N153" t="n">
        <v>0</v>
      </c>
      <c r="O153" t="n">
        <v>1</v>
      </c>
      <c r="P153" t="n">
        <v>1</v>
      </c>
      <c r="Q153" t="n">
        <v>1</v>
      </c>
      <c r="R153" s="2" t="inlineStr">
        <is>
          <t>Senfibbla</t>
        </is>
      </c>
      <c r="S153">
        <f>HYPERLINK("https://klasma.github.io/Logging_0685/artfynd/A 42142-2022 artfynd.xlsx", "A 42142-2022")</f>
        <v/>
      </c>
      <c r="T153">
        <f>HYPERLINK("https://klasma.github.io/Logging_0685/kartor/A 42142-2022 karta.png", "A 42142-2022")</f>
        <v/>
      </c>
      <c r="V153">
        <f>HYPERLINK("https://klasma.github.io/Logging_0685/klagomål/A 42142-2022 FSC-klagomål.docx", "A 42142-2022")</f>
        <v/>
      </c>
      <c r="W153">
        <f>HYPERLINK("https://klasma.github.io/Logging_0685/klagomålsmail/A 42142-2022 FSC-klagomål mail.docx", "A 42142-2022")</f>
        <v/>
      </c>
      <c r="X153">
        <f>HYPERLINK("https://klasma.github.io/Logging_0685/tillsyn/A 42142-2022 tillsynsbegäran.docx", "A 42142-2022")</f>
        <v/>
      </c>
      <c r="Y153">
        <f>HYPERLINK("https://klasma.github.io/Logging_0685/tillsynsmail/A 42142-2022 tillsynsbegäran mail.docx", "A 42142-2022")</f>
        <v/>
      </c>
    </row>
    <row r="154" ht="15" customHeight="1">
      <c r="A154" t="inlineStr">
        <is>
          <t>A 53741-2022</t>
        </is>
      </c>
      <c r="B154" s="1" t="n">
        <v>44880</v>
      </c>
      <c r="C154" s="1" t="n">
        <v>45962</v>
      </c>
      <c r="D154" t="inlineStr">
        <is>
          <t>JÖNKÖPINGS LÄN</t>
        </is>
      </c>
      <c r="E154" t="inlineStr">
        <is>
          <t>VETLANDA</t>
        </is>
      </c>
      <c r="G154" t="n">
        <v>2.3</v>
      </c>
      <c r="H154" t="n">
        <v>0</v>
      </c>
      <c r="I154" t="n">
        <v>0</v>
      </c>
      <c r="J154" t="n">
        <v>1</v>
      </c>
      <c r="K154" t="n">
        <v>0</v>
      </c>
      <c r="L154" t="n">
        <v>0</v>
      </c>
      <c r="M154" t="n">
        <v>0</v>
      </c>
      <c r="N154" t="n">
        <v>0</v>
      </c>
      <c r="O154" t="n">
        <v>1</v>
      </c>
      <c r="P154" t="n">
        <v>0</v>
      </c>
      <c r="Q154" t="n">
        <v>1</v>
      </c>
      <c r="R154" s="2" t="inlineStr">
        <is>
          <t>Sommarfibbla</t>
        </is>
      </c>
      <c r="S154">
        <f>HYPERLINK("https://klasma.github.io/Logging_0685/artfynd/A 53741-2022 artfynd.xlsx", "A 53741-2022")</f>
        <v/>
      </c>
      <c r="T154">
        <f>HYPERLINK("https://klasma.github.io/Logging_0685/kartor/A 53741-2022 karta.png", "A 53741-2022")</f>
        <v/>
      </c>
      <c r="V154">
        <f>HYPERLINK("https://klasma.github.io/Logging_0685/klagomål/A 53741-2022 FSC-klagomål.docx", "A 53741-2022")</f>
        <v/>
      </c>
      <c r="W154">
        <f>HYPERLINK("https://klasma.github.io/Logging_0685/klagomålsmail/A 53741-2022 FSC-klagomål mail.docx", "A 53741-2022")</f>
        <v/>
      </c>
      <c r="X154">
        <f>HYPERLINK("https://klasma.github.io/Logging_0685/tillsyn/A 53741-2022 tillsynsbegäran.docx", "A 53741-2022")</f>
        <v/>
      </c>
      <c r="Y154">
        <f>HYPERLINK("https://klasma.github.io/Logging_0685/tillsynsmail/A 53741-2022 tillsynsbegäran mail.docx", "A 53741-2022")</f>
        <v/>
      </c>
    </row>
    <row r="155" ht="15" customHeight="1">
      <c r="A155" t="inlineStr">
        <is>
          <t>A 45917-2024</t>
        </is>
      </c>
      <c r="B155" s="1" t="n">
        <v>45580.46207175926</v>
      </c>
      <c r="C155" s="1" t="n">
        <v>45962</v>
      </c>
      <c r="D155" t="inlineStr">
        <is>
          <t>JÖNKÖPINGS LÄN</t>
        </is>
      </c>
      <c r="E155" t="inlineStr">
        <is>
          <t>JÖNKÖPING</t>
        </is>
      </c>
      <c r="G155" t="n">
        <v>1</v>
      </c>
      <c r="H155" t="n">
        <v>0</v>
      </c>
      <c r="I155" t="n">
        <v>0</v>
      </c>
      <c r="J155" t="n">
        <v>1</v>
      </c>
      <c r="K155" t="n">
        <v>0</v>
      </c>
      <c r="L155" t="n">
        <v>0</v>
      </c>
      <c r="M155" t="n">
        <v>0</v>
      </c>
      <c r="N155" t="n">
        <v>0</v>
      </c>
      <c r="O155" t="n">
        <v>1</v>
      </c>
      <c r="P155" t="n">
        <v>0</v>
      </c>
      <c r="Q155" t="n">
        <v>1</v>
      </c>
      <c r="R155" s="2" t="inlineStr">
        <is>
          <t>Lunglav</t>
        </is>
      </c>
      <c r="S155">
        <f>HYPERLINK("https://klasma.github.io/Logging_0680/artfynd/A 45917-2024 artfynd.xlsx", "A 45917-2024")</f>
        <v/>
      </c>
      <c r="T155">
        <f>HYPERLINK("https://klasma.github.io/Logging_0680/kartor/A 45917-2024 karta.png", "A 45917-2024")</f>
        <v/>
      </c>
      <c r="V155">
        <f>HYPERLINK("https://klasma.github.io/Logging_0680/klagomål/A 45917-2024 FSC-klagomål.docx", "A 45917-2024")</f>
        <v/>
      </c>
      <c r="W155">
        <f>HYPERLINK("https://klasma.github.io/Logging_0680/klagomålsmail/A 45917-2024 FSC-klagomål mail.docx", "A 45917-2024")</f>
        <v/>
      </c>
      <c r="X155">
        <f>HYPERLINK("https://klasma.github.io/Logging_0680/tillsyn/A 45917-2024 tillsynsbegäran.docx", "A 45917-2024")</f>
        <v/>
      </c>
      <c r="Y155">
        <f>HYPERLINK("https://klasma.github.io/Logging_0680/tillsynsmail/A 45917-2024 tillsynsbegäran mail.docx", "A 45917-2024")</f>
        <v/>
      </c>
    </row>
    <row r="156" ht="15" customHeight="1">
      <c r="A156" t="inlineStr">
        <is>
          <t>A 1065-2025</t>
        </is>
      </c>
      <c r="B156" s="1" t="n">
        <v>45666.58733796296</v>
      </c>
      <c r="C156" s="1" t="n">
        <v>45962</v>
      </c>
      <c r="D156" t="inlineStr">
        <is>
          <t>JÖNKÖPINGS LÄN</t>
        </is>
      </c>
      <c r="E156" t="inlineStr">
        <is>
          <t>EKSJÖ</t>
        </is>
      </c>
      <c r="G156" t="n">
        <v>5.7</v>
      </c>
      <c r="H156" t="n">
        <v>0</v>
      </c>
      <c r="I156" t="n">
        <v>0</v>
      </c>
      <c r="J156" t="n">
        <v>1</v>
      </c>
      <c r="K156" t="n">
        <v>0</v>
      </c>
      <c r="L156" t="n">
        <v>0</v>
      </c>
      <c r="M156" t="n">
        <v>0</v>
      </c>
      <c r="N156" t="n">
        <v>0</v>
      </c>
      <c r="O156" t="n">
        <v>1</v>
      </c>
      <c r="P156" t="n">
        <v>0</v>
      </c>
      <c r="Q156" t="n">
        <v>1</v>
      </c>
      <c r="R156" s="2" t="inlineStr">
        <is>
          <t>Lindvedvivel</t>
        </is>
      </c>
      <c r="S156">
        <f>HYPERLINK("https://klasma.github.io/Logging_0686/artfynd/A 1065-2025 artfynd.xlsx", "A 1065-2025")</f>
        <v/>
      </c>
      <c r="T156">
        <f>HYPERLINK("https://klasma.github.io/Logging_0686/kartor/A 1065-2025 karta.png", "A 1065-2025")</f>
        <v/>
      </c>
      <c r="V156">
        <f>HYPERLINK("https://klasma.github.io/Logging_0686/klagomål/A 1065-2025 FSC-klagomål.docx", "A 1065-2025")</f>
        <v/>
      </c>
      <c r="W156">
        <f>HYPERLINK("https://klasma.github.io/Logging_0686/klagomålsmail/A 1065-2025 FSC-klagomål mail.docx", "A 1065-2025")</f>
        <v/>
      </c>
      <c r="X156">
        <f>HYPERLINK("https://klasma.github.io/Logging_0686/tillsyn/A 1065-2025 tillsynsbegäran.docx", "A 1065-2025")</f>
        <v/>
      </c>
      <c r="Y156">
        <f>HYPERLINK("https://klasma.github.io/Logging_0686/tillsynsmail/A 1065-2025 tillsynsbegäran mail.docx", "A 1065-2025")</f>
        <v/>
      </c>
    </row>
    <row r="157" ht="15" customHeight="1">
      <c r="A157" t="inlineStr">
        <is>
          <t>A 59894-2022</t>
        </is>
      </c>
      <c r="B157" s="1" t="n">
        <v>44908</v>
      </c>
      <c r="C157" s="1" t="n">
        <v>45962</v>
      </c>
      <c r="D157" t="inlineStr">
        <is>
          <t>JÖNKÖPINGS LÄN</t>
        </is>
      </c>
      <c r="E157" t="inlineStr">
        <is>
          <t>VETLANDA</t>
        </is>
      </c>
      <c r="G157" t="n">
        <v>3.8</v>
      </c>
      <c r="H157" t="n">
        <v>0</v>
      </c>
      <c r="I157" t="n">
        <v>0</v>
      </c>
      <c r="J157" t="n">
        <v>1</v>
      </c>
      <c r="K157" t="n">
        <v>0</v>
      </c>
      <c r="L157" t="n">
        <v>0</v>
      </c>
      <c r="M157" t="n">
        <v>0</v>
      </c>
      <c r="N157" t="n">
        <v>0</v>
      </c>
      <c r="O157" t="n">
        <v>1</v>
      </c>
      <c r="P157" t="n">
        <v>0</v>
      </c>
      <c r="Q157" t="n">
        <v>1</v>
      </c>
      <c r="R157" s="2" t="inlineStr">
        <is>
          <t>Backklöver</t>
        </is>
      </c>
      <c r="S157">
        <f>HYPERLINK("https://klasma.github.io/Logging_0685/artfynd/A 59894-2022 artfynd.xlsx", "A 59894-2022")</f>
        <v/>
      </c>
      <c r="T157">
        <f>HYPERLINK("https://klasma.github.io/Logging_0685/kartor/A 59894-2022 karta.png", "A 59894-2022")</f>
        <v/>
      </c>
      <c r="V157">
        <f>HYPERLINK("https://klasma.github.io/Logging_0685/klagomål/A 59894-2022 FSC-klagomål.docx", "A 59894-2022")</f>
        <v/>
      </c>
      <c r="W157">
        <f>HYPERLINK("https://klasma.github.io/Logging_0685/klagomålsmail/A 59894-2022 FSC-klagomål mail.docx", "A 59894-2022")</f>
        <v/>
      </c>
      <c r="X157">
        <f>HYPERLINK("https://klasma.github.io/Logging_0685/tillsyn/A 59894-2022 tillsynsbegäran.docx", "A 59894-2022")</f>
        <v/>
      </c>
      <c r="Y157">
        <f>HYPERLINK("https://klasma.github.io/Logging_0685/tillsynsmail/A 59894-2022 tillsynsbegäran mail.docx", "A 59894-2022")</f>
        <v/>
      </c>
    </row>
    <row r="158" ht="15" customHeight="1">
      <c r="A158" t="inlineStr">
        <is>
          <t>A 69075-2021</t>
        </is>
      </c>
      <c r="B158" s="1" t="n">
        <v>44530</v>
      </c>
      <c r="C158" s="1" t="n">
        <v>45962</v>
      </c>
      <c r="D158" t="inlineStr">
        <is>
          <t>JÖNKÖPINGS LÄN</t>
        </is>
      </c>
      <c r="E158" t="inlineStr">
        <is>
          <t>GISLAVED</t>
        </is>
      </c>
      <c r="G158" t="n">
        <v>2.1</v>
      </c>
      <c r="H158" t="n">
        <v>1</v>
      </c>
      <c r="I158" t="n">
        <v>0</v>
      </c>
      <c r="J158" t="n">
        <v>0</v>
      </c>
      <c r="K158" t="n">
        <v>0</v>
      </c>
      <c r="L158" t="n">
        <v>1</v>
      </c>
      <c r="M158" t="n">
        <v>0</v>
      </c>
      <c r="N158" t="n">
        <v>0</v>
      </c>
      <c r="O158" t="n">
        <v>1</v>
      </c>
      <c r="P158" t="n">
        <v>1</v>
      </c>
      <c r="Q158" t="n">
        <v>1</v>
      </c>
      <c r="R158" s="2" t="inlineStr">
        <is>
          <t>Bredgentiana</t>
        </is>
      </c>
      <c r="S158">
        <f>HYPERLINK("https://klasma.github.io/Logging_0662/artfynd/A 69075-2021 artfynd.xlsx", "A 69075-2021")</f>
        <v/>
      </c>
      <c r="T158">
        <f>HYPERLINK("https://klasma.github.io/Logging_0662/kartor/A 69075-2021 karta.png", "A 69075-2021")</f>
        <v/>
      </c>
      <c r="V158">
        <f>HYPERLINK("https://klasma.github.io/Logging_0662/klagomål/A 69075-2021 FSC-klagomål.docx", "A 69075-2021")</f>
        <v/>
      </c>
      <c r="W158">
        <f>HYPERLINK("https://klasma.github.io/Logging_0662/klagomålsmail/A 69075-2021 FSC-klagomål mail.docx", "A 69075-2021")</f>
        <v/>
      </c>
      <c r="X158">
        <f>HYPERLINK("https://klasma.github.io/Logging_0662/tillsyn/A 69075-2021 tillsynsbegäran.docx", "A 69075-2021")</f>
        <v/>
      </c>
      <c r="Y158">
        <f>HYPERLINK("https://klasma.github.io/Logging_0662/tillsynsmail/A 69075-2021 tillsynsbegäran mail.docx", "A 69075-2021")</f>
        <v/>
      </c>
    </row>
    <row r="159" ht="15" customHeight="1">
      <c r="A159" t="inlineStr">
        <is>
          <t>A 13882-2023</t>
        </is>
      </c>
      <c r="B159" s="1" t="n">
        <v>45007</v>
      </c>
      <c r="C159" s="1" t="n">
        <v>45962</v>
      </c>
      <c r="D159" t="inlineStr">
        <is>
          <t>JÖNKÖPINGS LÄN</t>
        </is>
      </c>
      <c r="E159" t="inlineStr">
        <is>
          <t>MULLSJÖ</t>
        </is>
      </c>
      <c r="G159" t="n">
        <v>2.4</v>
      </c>
      <c r="H159" t="n">
        <v>0</v>
      </c>
      <c r="I159" t="n">
        <v>1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1</v>
      </c>
      <c r="R159" s="2" t="inlineStr">
        <is>
          <t>Västlig hakmossa</t>
        </is>
      </c>
      <c r="S159">
        <f>HYPERLINK("https://klasma.github.io/Logging_0642/artfynd/A 13882-2023 artfynd.xlsx", "A 13882-2023")</f>
        <v/>
      </c>
      <c r="T159">
        <f>HYPERLINK("https://klasma.github.io/Logging_0642/kartor/A 13882-2023 karta.png", "A 13882-2023")</f>
        <v/>
      </c>
      <c r="V159">
        <f>HYPERLINK("https://klasma.github.io/Logging_0642/klagomål/A 13882-2023 FSC-klagomål.docx", "A 13882-2023")</f>
        <v/>
      </c>
      <c r="W159">
        <f>HYPERLINK("https://klasma.github.io/Logging_0642/klagomålsmail/A 13882-2023 FSC-klagomål mail.docx", "A 13882-2023")</f>
        <v/>
      </c>
      <c r="X159">
        <f>HYPERLINK("https://klasma.github.io/Logging_0642/tillsyn/A 13882-2023 tillsynsbegäran.docx", "A 13882-2023")</f>
        <v/>
      </c>
      <c r="Y159">
        <f>HYPERLINK("https://klasma.github.io/Logging_0642/tillsynsmail/A 13882-2023 tillsynsbegäran mail.docx", "A 13882-2023")</f>
        <v/>
      </c>
    </row>
    <row r="160" ht="15" customHeight="1">
      <c r="A160" t="inlineStr">
        <is>
          <t>A 48121-2024</t>
        </is>
      </c>
      <c r="B160" s="1" t="n">
        <v>45589.63901620371</v>
      </c>
      <c r="C160" s="1" t="n">
        <v>45962</v>
      </c>
      <c r="D160" t="inlineStr">
        <is>
          <t>JÖNKÖPINGS LÄN</t>
        </is>
      </c>
      <c r="E160" t="inlineStr">
        <is>
          <t>VETLANDA</t>
        </is>
      </c>
      <c r="G160" t="n">
        <v>1.3</v>
      </c>
      <c r="H160" t="n">
        <v>1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1</v>
      </c>
      <c r="R160" s="2" t="inlineStr">
        <is>
          <t>Blåsippa</t>
        </is>
      </c>
      <c r="S160">
        <f>HYPERLINK("https://klasma.github.io/Logging_0685/artfynd/A 48121-2024 artfynd.xlsx", "A 48121-2024")</f>
        <v/>
      </c>
      <c r="T160">
        <f>HYPERLINK("https://klasma.github.io/Logging_0685/kartor/A 48121-2024 karta.png", "A 48121-2024")</f>
        <v/>
      </c>
      <c r="V160">
        <f>HYPERLINK("https://klasma.github.io/Logging_0685/klagomål/A 48121-2024 FSC-klagomål.docx", "A 48121-2024")</f>
        <v/>
      </c>
      <c r="W160">
        <f>HYPERLINK("https://klasma.github.io/Logging_0685/klagomålsmail/A 48121-2024 FSC-klagomål mail.docx", "A 48121-2024")</f>
        <v/>
      </c>
      <c r="X160">
        <f>HYPERLINK("https://klasma.github.io/Logging_0685/tillsyn/A 48121-2024 tillsynsbegäran.docx", "A 48121-2024")</f>
        <v/>
      </c>
      <c r="Y160">
        <f>HYPERLINK("https://klasma.github.io/Logging_0685/tillsynsmail/A 48121-2024 tillsynsbegäran mail.docx", "A 48121-2024")</f>
        <v/>
      </c>
    </row>
    <row r="161" ht="15" customHeight="1">
      <c r="A161" t="inlineStr">
        <is>
          <t>A 17221-2025</t>
        </is>
      </c>
      <c r="B161" s="1" t="n">
        <v>45756.45313657408</v>
      </c>
      <c r="C161" s="1" t="n">
        <v>45962</v>
      </c>
      <c r="D161" t="inlineStr">
        <is>
          <t>JÖNKÖPINGS LÄN</t>
        </is>
      </c>
      <c r="E161" t="inlineStr">
        <is>
          <t>VÄRNAMO</t>
        </is>
      </c>
      <c r="G161" t="n">
        <v>3.7</v>
      </c>
      <c r="H161" t="n">
        <v>1</v>
      </c>
      <c r="I161" t="n">
        <v>0</v>
      </c>
      <c r="J161" t="n">
        <v>1</v>
      </c>
      <c r="K161" t="n">
        <v>0</v>
      </c>
      <c r="L161" t="n">
        <v>0</v>
      </c>
      <c r="M161" t="n">
        <v>0</v>
      </c>
      <c r="N161" t="n">
        <v>0</v>
      </c>
      <c r="O161" t="n">
        <v>1</v>
      </c>
      <c r="P161" t="n">
        <v>0</v>
      </c>
      <c r="Q161" t="n">
        <v>1</v>
      </c>
      <c r="R161" s="2" t="inlineStr">
        <is>
          <t>Buskskvätta</t>
        </is>
      </c>
      <c r="S161">
        <f>HYPERLINK("https://klasma.github.io/Logging_0683/artfynd/A 17221-2025 artfynd.xlsx", "A 17221-2025")</f>
        <v/>
      </c>
      <c r="T161">
        <f>HYPERLINK("https://klasma.github.io/Logging_0683/kartor/A 17221-2025 karta.png", "A 17221-2025")</f>
        <v/>
      </c>
      <c r="V161">
        <f>HYPERLINK("https://klasma.github.io/Logging_0683/klagomål/A 17221-2025 FSC-klagomål.docx", "A 17221-2025")</f>
        <v/>
      </c>
      <c r="W161">
        <f>HYPERLINK("https://klasma.github.io/Logging_0683/klagomålsmail/A 17221-2025 FSC-klagomål mail.docx", "A 17221-2025")</f>
        <v/>
      </c>
      <c r="X161">
        <f>HYPERLINK("https://klasma.github.io/Logging_0683/tillsyn/A 17221-2025 tillsynsbegäran.docx", "A 17221-2025")</f>
        <v/>
      </c>
      <c r="Y161">
        <f>HYPERLINK("https://klasma.github.io/Logging_0683/tillsynsmail/A 17221-2025 tillsynsbegäran mail.docx", "A 17221-2025")</f>
        <v/>
      </c>
      <c r="Z161">
        <f>HYPERLINK("https://klasma.github.io/Logging_0683/fåglar/A 17221-2025 prioriterade fågelarter.docx", "A 17221-2025")</f>
        <v/>
      </c>
    </row>
    <row r="162" ht="15" customHeight="1">
      <c r="A162" t="inlineStr">
        <is>
          <t>A 53670-2021</t>
        </is>
      </c>
      <c r="B162" s="1" t="n">
        <v>44469</v>
      </c>
      <c r="C162" s="1" t="n">
        <v>45962</v>
      </c>
      <c r="D162" t="inlineStr">
        <is>
          <t>JÖNKÖPINGS LÄN</t>
        </is>
      </c>
      <c r="E162" t="inlineStr">
        <is>
          <t>JÖNKÖPING</t>
        </is>
      </c>
      <c r="G162" t="n">
        <v>4</v>
      </c>
      <c r="H162" t="n">
        <v>1</v>
      </c>
      <c r="I162" t="n">
        <v>0</v>
      </c>
      <c r="J162" t="n">
        <v>0</v>
      </c>
      <c r="K162" t="n">
        <v>1</v>
      </c>
      <c r="L162" t="n">
        <v>0</v>
      </c>
      <c r="M162" t="n">
        <v>0</v>
      </c>
      <c r="N162" t="n">
        <v>0</v>
      </c>
      <c r="O162" t="n">
        <v>1</v>
      </c>
      <c r="P162" t="n">
        <v>1</v>
      </c>
      <c r="Q162" t="n">
        <v>1</v>
      </c>
      <c r="R162" s="2" t="inlineStr">
        <is>
          <t>Knärot</t>
        </is>
      </c>
      <c r="S162">
        <f>HYPERLINK("https://klasma.github.io/Logging_0680/artfynd/A 53670-2021 artfynd.xlsx", "A 53670-2021")</f>
        <v/>
      </c>
      <c r="T162">
        <f>HYPERLINK("https://klasma.github.io/Logging_0680/kartor/A 53670-2021 karta.png", "A 53670-2021")</f>
        <v/>
      </c>
      <c r="U162">
        <f>HYPERLINK("https://klasma.github.io/Logging_0680/knärot/A 53670-2021 karta knärot.png", "A 53670-2021")</f>
        <v/>
      </c>
      <c r="V162">
        <f>HYPERLINK("https://klasma.github.io/Logging_0680/klagomål/A 53670-2021 FSC-klagomål.docx", "A 53670-2021")</f>
        <v/>
      </c>
      <c r="W162">
        <f>HYPERLINK("https://klasma.github.io/Logging_0680/klagomålsmail/A 53670-2021 FSC-klagomål mail.docx", "A 53670-2021")</f>
        <v/>
      </c>
      <c r="X162">
        <f>HYPERLINK("https://klasma.github.io/Logging_0680/tillsyn/A 53670-2021 tillsynsbegäran.docx", "A 53670-2021")</f>
        <v/>
      </c>
      <c r="Y162">
        <f>HYPERLINK("https://klasma.github.io/Logging_0680/tillsynsmail/A 53670-2021 tillsynsbegäran mail.docx", "A 53670-2021")</f>
        <v/>
      </c>
    </row>
    <row r="163" ht="15" customHeight="1">
      <c r="A163" t="inlineStr">
        <is>
          <t>A 18423-2024</t>
        </is>
      </c>
      <c r="B163" s="1" t="n">
        <v>45425.41545138889</v>
      </c>
      <c r="C163" s="1" t="n">
        <v>45962</v>
      </c>
      <c r="D163" t="inlineStr">
        <is>
          <t>JÖNKÖPINGS LÄN</t>
        </is>
      </c>
      <c r="E163" t="inlineStr">
        <is>
          <t>GISLAVED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1</v>
      </c>
      <c r="L163" t="n">
        <v>0</v>
      </c>
      <c r="M163" t="n">
        <v>0</v>
      </c>
      <c r="N163" t="n">
        <v>0</v>
      </c>
      <c r="O163" t="n">
        <v>1</v>
      </c>
      <c r="P163" t="n">
        <v>1</v>
      </c>
      <c r="Q163" t="n">
        <v>1</v>
      </c>
      <c r="R163" s="2" t="inlineStr">
        <is>
          <t>Ljungögontröst</t>
        </is>
      </c>
      <c r="S163">
        <f>HYPERLINK("https://klasma.github.io/Logging_0662/artfynd/A 18423-2024 artfynd.xlsx", "A 18423-2024")</f>
        <v/>
      </c>
      <c r="T163">
        <f>HYPERLINK("https://klasma.github.io/Logging_0662/kartor/A 18423-2024 karta.png", "A 18423-2024")</f>
        <v/>
      </c>
      <c r="V163">
        <f>HYPERLINK("https://klasma.github.io/Logging_0662/klagomål/A 18423-2024 FSC-klagomål.docx", "A 18423-2024")</f>
        <v/>
      </c>
      <c r="W163">
        <f>HYPERLINK("https://klasma.github.io/Logging_0662/klagomålsmail/A 18423-2024 FSC-klagomål mail.docx", "A 18423-2024")</f>
        <v/>
      </c>
      <c r="X163">
        <f>HYPERLINK("https://klasma.github.io/Logging_0662/tillsyn/A 18423-2024 tillsynsbegäran.docx", "A 18423-2024")</f>
        <v/>
      </c>
      <c r="Y163">
        <f>HYPERLINK("https://klasma.github.io/Logging_0662/tillsynsmail/A 18423-2024 tillsynsbegäran mail.docx", "A 18423-2024")</f>
        <v/>
      </c>
    </row>
    <row r="164" ht="15" customHeight="1">
      <c r="A164" t="inlineStr">
        <is>
          <t>A 53585-2022</t>
        </is>
      </c>
      <c r="B164" s="1" t="n">
        <v>44879</v>
      </c>
      <c r="C164" s="1" t="n">
        <v>45962</v>
      </c>
      <c r="D164" t="inlineStr">
        <is>
          <t>JÖNKÖPINGS LÄN</t>
        </is>
      </c>
      <c r="E164" t="inlineStr">
        <is>
          <t>VÄRNAMO</t>
        </is>
      </c>
      <c r="G164" t="n">
        <v>0.8</v>
      </c>
      <c r="H164" t="n">
        <v>0</v>
      </c>
      <c r="I164" t="n">
        <v>0</v>
      </c>
      <c r="J164" t="n">
        <v>1</v>
      </c>
      <c r="K164" t="n">
        <v>0</v>
      </c>
      <c r="L164" t="n">
        <v>0</v>
      </c>
      <c r="M164" t="n">
        <v>0</v>
      </c>
      <c r="N164" t="n">
        <v>0</v>
      </c>
      <c r="O164" t="n">
        <v>1</v>
      </c>
      <c r="P164" t="n">
        <v>0</v>
      </c>
      <c r="Q164" t="n">
        <v>1</v>
      </c>
      <c r="R164" s="2" t="inlineStr">
        <is>
          <t>Ängsstarr</t>
        </is>
      </c>
      <c r="S164">
        <f>HYPERLINK("https://klasma.github.io/Logging_0683/artfynd/A 53585-2022 artfynd.xlsx", "A 53585-2022")</f>
        <v/>
      </c>
      <c r="T164">
        <f>HYPERLINK("https://klasma.github.io/Logging_0683/kartor/A 53585-2022 karta.png", "A 53585-2022")</f>
        <v/>
      </c>
      <c r="V164">
        <f>HYPERLINK("https://klasma.github.io/Logging_0683/klagomål/A 53585-2022 FSC-klagomål.docx", "A 53585-2022")</f>
        <v/>
      </c>
      <c r="W164">
        <f>HYPERLINK("https://klasma.github.io/Logging_0683/klagomålsmail/A 53585-2022 FSC-klagomål mail.docx", "A 53585-2022")</f>
        <v/>
      </c>
      <c r="X164">
        <f>HYPERLINK("https://klasma.github.io/Logging_0683/tillsyn/A 53585-2022 tillsynsbegäran.docx", "A 53585-2022")</f>
        <v/>
      </c>
      <c r="Y164">
        <f>HYPERLINK("https://klasma.github.io/Logging_0683/tillsynsmail/A 53585-2022 tillsynsbegäran mail.docx", "A 53585-2022")</f>
        <v/>
      </c>
    </row>
    <row r="165" ht="15" customHeight="1">
      <c r="A165" t="inlineStr">
        <is>
          <t>A 60892-2024</t>
        </is>
      </c>
      <c r="B165" s="1" t="n">
        <v>45645.23799768519</v>
      </c>
      <c r="C165" s="1" t="n">
        <v>45962</v>
      </c>
      <c r="D165" t="inlineStr">
        <is>
          <t>JÖNKÖPINGS LÄN</t>
        </is>
      </c>
      <c r="E165" t="inlineStr">
        <is>
          <t>NÄSSJÖ</t>
        </is>
      </c>
      <c r="G165" t="n">
        <v>1.4</v>
      </c>
      <c r="H165" t="n">
        <v>0</v>
      </c>
      <c r="I165" t="n">
        <v>0</v>
      </c>
      <c r="J165" t="n">
        <v>0</v>
      </c>
      <c r="K165" t="n">
        <v>0</v>
      </c>
      <c r="L165" t="n">
        <v>1</v>
      </c>
      <c r="M165" t="n">
        <v>0</v>
      </c>
      <c r="N165" t="n">
        <v>0</v>
      </c>
      <c r="O165" t="n">
        <v>1</v>
      </c>
      <c r="P165" t="n">
        <v>1</v>
      </c>
      <c r="Q165" t="n">
        <v>1</v>
      </c>
      <c r="R165" s="2" t="inlineStr">
        <is>
          <t>Ask</t>
        </is>
      </c>
      <c r="S165">
        <f>HYPERLINK("https://klasma.github.io/Logging_0682/artfynd/A 60892-2024 artfynd.xlsx", "A 60892-2024")</f>
        <v/>
      </c>
      <c r="T165">
        <f>HYPERLINK("https://klasma.github.io/Logging_0682/kartor/A 60892-2024 karta.png", "A 60892-2024")</f>
        <v/>
      </c>
      <c r="V165">
        <f>HYPERLINK("https://klasma.github.io/Logging_0682/klagomål/A 60892-2024 FSC-klagomål.docx", "A 60892-2024")</f>
        <v/>
      </c>
      <c r="W165">
        <f>HYPERLINK("https://klasma.github.io/Logging_0682/klagomålsmail/A 60892-2024 FSC-klagomål mail.docx", "A 60892-2024")</f>
        <v/>
      </c>
      <c r="X165">
        <f>HYPERLINK("https://klasma.github.io/Logging_0682/tillsyn/A 60892-2024 tillsynsbegäran.docx", "A 60892-2024")</f>
        <v/>
      </c>
      <c r="Y165">
        <f>HYPERLINK("https://klasma.github.io/Logging_0682/tillsynsmail/A 60892-2024 tillsynsbegäran mail.docx", "A 60892-2024")</f>
        <v/>
      </c>
    </row>
    <row r="166" ht="15" customHeight="1">
      <c r="A166" t="inlineStr">
        <is>
          <t>A 10694-2025</t>
        </is>
      </c>
      <c r="B166" s="1" t="n">
        <v>45722.30744212963</v>
      </c>
      <c r="C166" s="1" t="n">
        <v>45962</v>
      </c>
      <c r="D166" t="inlineStr">
        <is>
          <t>JÖNKÖPINGS LÄN</t>
        </is>
      </c>
      <c r="E166" t="inlineStr">
        <is>
          <t>VETLANDA</t>
        </is>
      </c>
      <c r="G166" t="n">
        <v>2.6</v>
      </c>
      <c r="H166" t="n">
        <v>0</v>
      </c>
      <c r="I166" t="n">
        <v>1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1</v>
      </c>
      <c r="R166" s="2" t="inlineStr">
        <is>
          <t>Dropptaggsvamp</t>
        </is>
      </c>
      <c r="S166">
        <f>HYPERLINK("https://klasma.github.io/Logging_0685/artfynd/A 10694-2025 artfynd.xlsx", "A 10694-2025")</f>
        <v/>
      </c>
      <c r="T166">
        <f>HYPERLINK("https://klasma.github.io/Logging_0685/kartor/A 10694-2025 karta.png", "A 10694-2025")</f>
        <v/>
      </c>
      <c r="V166">
        <f>HYPERLINK("https://klasma.github.io/Logging_0685/klagomål/A 10694-2025 FSC-klagomål.docx", "A 10694-2025")</f>
        <v/>
      </c>
      <c r="W166">
        <f>HYPERLINK("https://klasma.github.io/Logging_0685/klagomålsmail/A 10694-2025 FSC-klagomål mail.docx", "A 10694-2025")</f>
        <v/>
      </c>
      <c r="X166">
        <f>HYPERLINK("https://klasma.github.io/Logging_0685/tillsyn/A 10694-2025 tillsynsbegäran.docx", "A 10694-2025")</f>
        <v/>
      </c>
      <c r="Y166">
        <f>HYPERLINK("https://klasma.github.io/Logging_0685/tillsynsmail/A 10694-2025 tillsynsbegäran mail.docx", "A 10694-2025")</f>
        <v/>
      </c>
    </row>
    <row r="167" ht="15" customHeight="1">
      <c r="A167" t="inlineStr">
        <is>
          <t>A 60263-2023</t>
        </is>
      </c>
      <c r="B167" s="1" t="n">
        <v>45258</v>
      </c>
      <c r="C167" s="1" t="n">
        <v>45962</v>
      </c>
      <c r="D167" t="inlineStr">
        <is>
          <t>JÖNKÖPINGS LÄN</t>
        </is>
      </c>
      <c r="E167" t="inlineStr">
        <is>
          <t>TRANÅS</t>
        </is>
      </c>
      <c r="F167" t="inlineStr">
        <is>
          <t>Kommuner</t>
        </is>
      </c>
      <c r="G167" t="n">
        <v>2.1</v>
      </c>
      <c r="H167" t="n">
        <v>1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1</v>
      </c>
      <c r="R167" s="2" t="inlineStr">
        <is>
          <t>Grönvit nattviol</t>
        </is>
      </c>
      <c r="S167">
        <f>HYPERLINK("https://klasma.github.io/Logging_0687/artfynd/A 60263-2023 artfynd.xlsx", "A 60263-2023")</f>
        <v/>
      </c>
      <c r="T167">
        <f>HYPERLINK("https://klasma.github.io/Logging_0687/kartor/A 60263-2023 karta.png", "A 60263-2023")</f>
        <v/>
      </c>
      <c r="V167">
        <f>HYPERLINK("https://klasma.github.io/Logging_0687/klagomål/A 60263-2023 FSC-klagomål.docx", "A 60263-2023")</f>
        <v/>
      </c>
      <c r="W167">
        <f>HYPERLINK("https://klasma.github.io/Logging_0687/klagomålsmail/A 60263-2023 FSC-klagomål mail.docx", "A 60263-2023")</f>
        <v/>
      </c>
      <c r="X167">
        <f>HYPERLINK("https://klasma.github.io/Logging_0687/tillsyn/A 60263-2023 tillsynsbegäran.docx", "A 60263-2023")</f>
        <v/>
      </c>
      <c r="Y167">
        <f>HYPERLINK("https://klasma.github.io/Logging_0687/tillsynsmail/A 60263-2023 tillsynsbegäran mail.docx", "A 60263-2023")</f>
        <v/>
      </c>
    </row>
    <row r="168" ht="15" customHeight="1">
      <c r="A168" t="inlineStr">
        <is>
          <t>A 6359-2023</t>
        </is>
      </c>
      <c r="B168" s="1" t="n">
        <v>44965</v>
      </c>
      <c r="C168" s="1" t="n">
        <v>45962</v>
      </c>
      <c r="D168" t="inlineStr">
        <is>
          <t>JÖNKÖPINGS LÄN</t>
        </is>
      </c>
      <c r="E168" t="inlineStr">
        <is>
          <t>GISLAVED</t>
        </is>
      </c>
      <c r="F168" t="inlineStr">
        <is>
          <t>Kommuner</t>
        </is>
      </c>
      <c r="G168" t="n">
        <v>2.4</v>
      </c>
      <c r="H168" t="n">
        <v>0</v>
      </c>
      <c r="I168" t="n">
        <v>1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1</v>
      </c>
      <c r="R168" s="2" t="inlineStr">
        <is>
          <t>Safsa</t>
        </is>
      </c>
      <c r="S168">
        <f>HYPERLINK("https://klasma.github.io/Logging_0662/artfynd/A 6359-2023 artfynd.xlsx", "A 6359-2023")</f>
        <v/>
      </c>
      <c r="T168">
        <f>HYPERLINK("https://klasma.github.io/Logging_0662/kartor/A 6359-2023 karta.png", "A 6359-2023")</f>
        <v/>
      </c>
      <c r="V168">
        <f>HYPERLINK("https://klasma.github.io/Logging_0662/klagomål/A 6359-2023 FSC-klagomål.docx", "A 6359-2023")</f>
        <v/>
      </c>
      <c r="W168">
        <f>HYPERLINK("https://klasma.github.io/Logging_0662/klagomålsmail/A 6359-2023 FSC-klagomål mail.docx", "A 6359-2023")</f>
        <v/>
      </c>
      <c r="X168">
        <f>HYPERLINK("https://klasma.github.io/Logging_0662/tillsyn/A 6359-2023 tillsynsbegäran.docx", "A 6359-2023")</f>
        <v/>
      </c>
      <c r="Y168">
        <f>HYPERLINK("https://klasma.github.io/Logging_0662/tillsynsmail/A 6359-2023 tillsynsbegäran mail.docx", "A 6359-2023")</f>
        <v/>
      </c>
    </row>
    <row r="169" ht="15" customHeight="1">
      <c r="A169" t="inlineStr">
        <is>
          <t>A 18327-2024</t>
        </is>
      </c>
      <c r="B169" s="1" t="n">
        <v>45422.55405092592</v>
      </c>
      <c r="C169" s="1" t="n">
        <v>45962</v>
      </c>
      <c r="D169" t="inlineStr">
        <is>
          <t>JÖNKÖPINGS LÄN</t>
        </is>
      </c>
      <c r="E169" t="inlineStr">
        <is>
          <t>EKSJÖ</t>
        </is>
      </c>
      <c r="F169" t="inlineStr">
        <is>
          <t>Sveaskog</t>
        </is>
      </c>
      <c r="G169" t="n">
        <v>2.6</v>
      </c>
      <c r="H169" t="n">
        <v>0</v>
      </c>
      <c r="I169" t="n">
        <v>0</v>
      </c>
      <c r="J169" t="n">
        <v>1</v>
      </c>
      <c r="K169" t="n">
        <v>0</v>
      </c>
      <c r="L169" t="n">
        <v>0</v>
      </c>
      <c r="M169" t="n">
        <v>0</v>
      </c>
      <c r="N169" t="n">
        <v>0</v>
      </c>
      <c r="O169" t="n">
        <v>1</v>
      </c>
      <c r="P169" t="n">
        <v>0</v>
      </c>
      <c r="Q169" t="n">
        <v>1</v>
      </c>
      <c r="R169" s="2" t="inlineStr">
        <is>
          <t>Dvärgbägarlav</t>
        </is>
      </c>
      <c r="S169">
        <f>HYPERLINK("https://klasma.github.io/Logging_0686/artfynd/A 18327-2024 artfynd.xlsx", "A 18327-2024")</f>
        <v/>
      </c>
      <c r="T169">
        <f>HYPERLINK("https://klasma.github.io/Logging_0686/kartor/A 18327-2024 karta.png", "A 18327-2024")</f>
        <v/>
      </c>
      <c r="V169">
        <f>HYPERLINK("https://klasma.github.io/Logging_0686/klagomål/A 18327-2024 FSC-klagomål.docx", "A 18327-2024")</f>
        <v/>
      </c>
      <c r="W169">
        <f>HYPERLINK("https://klasma.github.io/Logging_0686/klagomålsmail/A 18327-2024 FSC-klagomål mail.docx", "A 18327-2024")</f>
        <v/>
      </c>
      <c r="X169">
        <f>HYPERLINK("https://klasma.github.io/Logging_0686/tillsyn/A 18327-2024 tillsynsbegäran.docx", "A 18327-2024")</f>
        <v/>
      </c>
      <c r="Y169">
        <f>HYPERLINK("https://klasma.github.io/Logging_0686/tillsynsmail/A 18327-2024 tillsynsbegäran mail.docx", "A 18327-2024")</f>
        <v/>
      </c>
    </row>
    <row r="170" ht="15" customHeight="1">
      <c r="A170" t="inlineStr">
        <is>
          <t>A 5519-2024</t>
        </is>
      </c>
      <c r="B170" s="1" t="n">
        <v>45334</v>
      </c>
      <c r="C170" s="1" t="n">
        <v>45962</v>
      </c>
      <c r="D170" t="inlineStr">
        <is>
          <t>JÖNKÖPINGS LÄN</t>
        </is>
      </c>
      <c r="E170" t="inlineStr">
        <is>
          <t>EKSJÖ</t>
        </is>
      </c>
      <c r="F170" t="inlineStr">
        <is>
          <t>Kommuner</t>
        </is>
      </c>
      <c r="G170" t="n">
        <v>7.2</v>
      </c>
      <c r="H170" t="n">
        <v>0</v>
      </c>
      <c r="I170" t="n">
        <v>0</v>
      </c>
      <c r="J170" t="n">
        <v>1</v>
      </c>
      <c r="K170" t="n">
        <v>0</v>
      </c>
      <c r="L170" t="n">
        <v>0</v>
      </c>
      <c r="M170" t="n">
        <v>0</v>
      </c>
      <c r="N170" t="n">
        <v>0</v>
      </c>
      <c r="O170" t="n">
        <v>1</v>
      </c>
      <c r="P170" t="n">
        <v>0</v>
      </c>
      <c r="Q170" t="n">
        <v>1</v>
      </c>
      <c r="R170" s="2" t="inlineStr">
        <is>
          <t>Igelkott</t>
        </is>
      </c>
      <c r="S170">
        <f>HYPERLINK("https://klasma.github.io/Logging_0686/artfynd/A 5519-2024 artfynd.xlsx", "A 5519-2024")</f>
        <v/>
      </c>
      <c r="T170">
        <f>HYPERLINK("https://klasma.github.io/Logging_0686/kartor/A 5519-2024 karta.png", "A 5519-2024")</f>
        <v/>
      </c>
      <c r="V170">
        <f>HYPERLINK("https://klasma.github.io/Logging_0686/klagomål/A 5519-2024 FSC-klagomål.docx", "A 5519-2024")</f>
        <v/>
      </c>
      <c r="W170">
        <f>HYPERLINK("https://klasma.github.io/Logging_0686/klagomålsmail/A 5519-2024 FSC-klagomål mail.docx", "A 5519-2024")</f>
        <v/>
      </c>
      <c r="X170">
        <f>HYPERLINK("https://klasma.github.io/Logging_0686/tillsyn/A 5519-2024 tillsynsbegäran.docx", "A 5519-2024")</f>
        <v/>
      </c>
      <c r="Y170">
        <f>HYPERLINK("https://klasma.github.io/Logging_0686/tillsynsmail/A 5519-2024 tillsynsbegäran mail.docx", "A 5519-2024")</f>
        <v/>
      </c>
    </row>
    <row r="171" ht="15" customHeight="1">
      <c r="A171" t="inlineStr">
        <is>
          <t>A 29382-2022</t>
        </is>
      </c>
      <c r="B171" s="1" t="n">
        <v>44753</v>
      </c>
      <c r="C171" s="1" t="n">
        <v>45962</v>
      </c>
      <c r="D171" t="inlineStr">
        <is>
          <t>JÖNKÖPINGS LÄN</t>
        </is>
      </c>
      <c r="E171" t="inlineStr">
        <is>
          <t>TRANÅS</t>
        </is>
      </c>
      <c r="G171" t="n">
        <v>2.4</v>
      </c>
      <c r="H171" t="n">
        <v>0</v>
      </c>
      <c r="I171" t="n">
        <v>0</v>
      </c>
      <c r="J171" t="n">
        <v>0</v>
      </c>
      <c r="K171" t="n">
        <v>0</v>
      </c>
      <c r="L171" t="n">
        <v>1</v>
      </c>
      <c r="M171" t="n">
        <v>0</v>
      </c>
      <c r="N171" t="n">
        <v>0</v>
      </c>
      <c r="O171" t="n">
        <v>1</v>
      </c>
      <c r="P171" t="n">
        <v>1</v>
      </c>
      <c r="Q171" t="n">
        <v>1</v>
      </c>
      <c r="R171" s="2" t="inlineStr">
        <is>
          <t>Ask</t>
        </is>
      </c>
      <c r="S171">
        <f>HYPERLINK("https://klasma.github.io/Logging_0687/artfynd/A 29382-2022 artfynd.xlsx", "A 29382-2022")</f>
        <v/>
      </c>
      <c r="T171">
        <f>HYPERLINK("https://klasma.github.io/Logging_0687/kartor/A 29382-2022 karta.png", "A 29382-2022")</f>
        <v/>
      </c>
      <c r="V171">
        <f>HYPERLINK("https://klasma.github.io/Logging_0687/klagomål/A 29382-2022 FSC-klagomål.docx", "A 29382-2022")</f>
        <v/>
      </c>
      <c r="W171">
        <f>HYPERLINK("https://klasma.github.io/Logging_0687/klagomålsmail/A 29382-2022 FSC-klagomål mail.docx", "A 29382-2022")</f>
        <v/>
      </c>
      <c r="X171">
        <f>HYPERLINK("https://klasma.github.io/Logging_0687/tillsyn/A 29382-2022 tillsynsbegäran.docx", "A 29382-2022")</f>
        <v/>
      </c>
      <c r="Y171">
        <f>HYPERLINK("https://klasma.github.io/Logging_0687/tillsynsmail/A 29382-2022 tillsynsbegäran mail.docx", "A 29382-2022")</f>
        <v/>
      </c>
    </row>
    <row r="172" ht="15" customHeight="1">
      <c r="A172" t="inlineStr">
        <is>
          <t>A 20253-2025</t>
        </is>
      </c>
      <c r="B172" s="1" t="n">
        <v>45772.89230324074</v>
      </c>
      <c r="C172" s="1" t="n">
        <v>45962</v>
      </c>
      <c r="D172" t="inlineStr">
        <is>
          <t>JÖNKÖPINGS LÄN</t>
        </is>
      </c>
      <c r="E172" t="inlineStr">
        <is>
          <t>VÄRNAMO</t>
        </is>
      </c>
      <c r="G172" t="n">
        <v>0.4</v>
      </c>
      <c r="H172" t="n">
        <v>0</v>
      </c>
      <c r="I172" t="n">
        <v>0</v>
      </c>
      <c r="J172" t="n">
        <v>0</v>
      </c>
      <c r="K172" t="n">
        <v>0</v>
      </c>
      <c r="L172" t="n">
        <v>1</v>
      </c>
      <c r="M172" t="n">
        <v>0</v>
      </c>
      <c r="N172" t="n">
        <v>0</v>
      </c>
      <c r="O172" t="n">
        <v>1</v>
      </c>
      <c r="P172" t="n">
        <v>1</v>
      </c>
      <c r="Q172" t="n">
        <v>1</v>
      </c>
      <c r="R172" s="2" t="inlineStr">
        <is>
          <t>Ask</t>
        </is>
      </c>
      <c r="S172">
        <f>HYPERLINK("https://klasma.github.io/Logging_0683/artfynd/A 20253-2025 artfynd.xlsx", "A 20253-2025")</f>
        <v/>
      </c>
      <c r="T172">
        <f>HYPERLINK("https://klasma.github.io/Logging_0683/kartor/A 20253-2025 karta.png", "A 20253-2025")</f>
        <v/>
      </c>
      <c r="V172">
        <f>HYPERLINK("https://klasma.github.io/Logging_0683/klagomål/A 20253-2025 FSC-klagomål.docx", "A 20253-2025")</f>
        <v/>
      </c>
      <c r="W172">
        <f>HYPERLINK("https://klasma.github.io/Logging_0683/klagomålsmail/A 20253-2025 FSC-klagomål mail.docx", "A 20253-2025")</f>
        <v/>
      </c>
      <c r="X172">
        <f>HYPERLINK("https://klasma.github.io/Logging_0683/tillsyn/A 20253-2025 tillsynsbegäran.docx", "A 20253-2025")</f>
        <v/>
      </c>
      <c r="Y172">
        <f>HYPERLINK("https://klasma.github.io/Logging_0683/tillsynsmail/A 20253-2025 tillsynsbegäran mail.docx", "A 20253-2025")</f>
        <v/>
      </c>
    </row>
    <row r="173" ht="15" customHeight="1">
      <c r="A173" t="inlineStr">
        <is>
          <t>A 16797-2024</t>
        </is>
      </c>
      <c r="B173" s="1" t="n">
        <v>45411.44167824074</v>
      </c>
      <c r="C173" s="1" t="n">
        <v>45962</v>
      </c>
      <c r="D173" t="inlineStr">
        <is>
          <t>JÖNKÖPINGS LÄN</t>
        </is>
      </c>
      <c r="E173" t="inlineStr">
        <is>
          <t>EKSJÖ</t>
        </is>
      </c>
      <c r="G173" t="n">
        <v>1.7</v>
      </c>
      <c r="H173" t="n">
        <v>0</v>
      </c>
      <c r="I173" t="n">
        <v>0</v>
      </c>
      <c r="J173" t="n">
        <v>1</v>
      </c>
      <c r="K173" t="n">
        <v>0</v>
      </c>
      <c r="L173" t="n">
        <v>0</v>
      </c>
      <c r="M173" t="n">
        <v>0</v>
      </c>
      <c r="N173" t="n">
        <v>0</v>
      </c>
      <c r="O173" t="n">
        <v>1</v>
      </c>
      <c r="P173" t="n">
        <v>0</v>
      </c>
      <c r="Q173" t="n">
        <v>1</v>
      </c>
      <c r="R173" s="2" t="inlineStr">
        <is>
          <t>Nubbfibbla</t>
        </is>
      </c>
      <c r="S173">
        <f>HYPERLINK("https://klasma.github.io/Logging_0686/artfynd/A 16797-2024 artfynd.xlsx", "A 16797-2024")</f>
        <v/>
      </c>
      <c r="T173">
        <f>HYPERLINK("https://klasma.github.io/Logging_0686/kartor/A 16797-2024 karta.png", "A 16797-2024")</f>
        <v/>
      </c>
      <c r="V173">
        <f>HYPERLINK("https://klasma.github.io/Logging_0686/klagomål/A 16797-2024 FSC-klagomål.docx", "A 16797-2024")</f>
        <v/>
      </c>
      <c r="W173">
        <f>HYPERLINK("https://klasma.github.io/Logging_0686/klagomålsmail/A 16797-2024 FSC-klagomål mail.docx", "A 16797-2024")</f>
        <v/>
      </c>
      <c r="X173">
        <f>HYPERLINK("https://klasma.github.io/Logging_0686/tillsyn/A 16797-2024 tillsynsbegäran.docx", "A 16797-2024")</f>
        <v/>
      </c>
      <c r="Y173">
        <f>HYPERLINK("https://klasma.github.io/Logging_0686/tillsynsmail/A 16797-2024 tillsynsbegäran mail.docx", "A 16797-2024")</f>
        <v/>
      </c>
    </row>
    <row r="174" ht="15" customHeight="1">
      <c r="A174" t="inlineStr">
        <is>
          <t>A 63418-2021</t>
        </is>
      </c>
      <c r="B174" s="1" t="n">
        <v>44508</v>
      </c>
      <c r="C174" s="1" t="n">
        <v>45962</v>
      </c>
      <c r="D174" t="inlineStr">
        <is>
          <t>JÖNKÖPINGS LÄN</t>
        </is>
      </c>
      <c r="E174" t="inlineStr">
        <is>
          <t>VÄRNAMO</t>
        </is>
      </c>
      <c r="G174" t="n">
        <v>8.4</v>
      </c>
      <c r="H174" t="n">
        <v>0</v>
      </c>
      <c r="I174" t="n">
        <v>0</v>
      </c>
      <c r="J174" t="n">
        <v>1</v>
      </c>
      <c r="K174" t="n">
        <v>0</v>
      </c>
      <c r="L174" t="n">
        <v>0</v>
      </c>
      <c r="M174" t="n">
        <v>0</v>
      </c>
      <c r="N174" t="n">
        <v>0</v>
      </c>
      <c r="O174" t="n">
        <v>1</v>
      </c>
      <c r="P174" t="n">
        <v>0</v>
      </c>
      <c r="Q174" t="n">
        <v>1</v>
      </c>
      <c r="R174" s="2" t="inlineStr">
        <is>
          <t>Motaggsvamp</t>
        </is>
      </c>
      <c r="S174">
        <f>HYPERLINK("https://klasma.github.io/Logging_0683/artfynd/A 63418-2021 artfynd.xlsx", "A 63418-2021")</f>
        <v/>
      </c>
      <c r="T174">
        <f>HYPERLINK("https://klasma.github.io/Logging_0683/kartor/A 63418-2021 karta.png", "A 63418-2021")</f>
        <v/>
      </c>
      <c r="V174">
        <f>HYPERLINK("https://klasma.github.io/Logging_0683/klagomål/A 63418-2021 FSC-klagomål.docx", "A 63418-2021")</f>
        <v/>
      </c>
      <c r="W174">
        <f>HYPERLINK("https://klasma.github.io/Logging_0683/klagomålsmail/A 63418-2021 FSC-klagomål mail.docx", "A 63418-2021")</f>
        <v/>
      </c>
      <c r="X174">
        <f>HYPERLINK("https://klasma.github.io/Logging_0683/tillsyn/A 63418-2021 tillsynsbegäran.docx", "A 63418-2021")</f>
        <v/>
      </c>
      <c r="Y174">
        <f>HYPERLINK("https://klasma.github.io/Logging_0683/tillsynsmail/A 63418-2021 tillsynsbegäran mail.docx", "A 63418-2021")</f>
        <v/>
      </c>
    </row>
    <row r="175" ht="15" customHeight="1">
      <c r="A175" t="inlineStr">
        <is>
          <t>A 26784-2022</t>
        </is>
      </c>
      <c r="B175" s="1" t="n">
        <v>44740.37982638889</v>
      </c>
      <c r="C175" s="1" t="n">
        <v>45962</v>
      </c>
      <c r="D175" t="inlineStr">
        <is>
          <t>JÖNKÖPINGS LÄN</t>
        </is>
      </c>
      <c r="E175" t="inlineStr">
        <is>
          <t>ANEBY</t>
        </is>
      </c>
      <c r="G175" t="n">
        <v>1.1</v>
      </c>
      <c r="H175" t="n">
        <v>0</v>
      </c>
      <c r="I175" t="n">
        <v>0</v>
      </c>
      <c r="J175" t="n">
        <v>1</v>
      </c>
      <c r="K175" t="n">
        <v>0</v>
      </c>
      <c r="L175" t="n">
        <v>0</v>
      </c>
      <c r="M175" t="n">
        <v>0</v>
      </c>
      <c r="N175" t="n">
        <v>0</v>
      </c>
      <c r="O175" t="n">
        <v>1</v>
      </c>
      <c r="P175" t="n">
        <v>0</v>
      </c>
      <c r="Q175" t="n">
        <v>1</v>
      </c>
      <c r="R175" s="2" t="inlineStr">
        <is>
          <t>Vårstarr</t>
        </is>
      </c>
      <c r="S175">
        <f>HYPERLINK("https://klasma.github.io/Logging_0604/artfynd/A 26784-2022 artfynd.xlsx", "A 26784-2022")</f>
        <v/>
      </c>
      <c r="T175">
        <f>HYPERLINK("https://klasma.github.io/Logging_0604/kartor/A 26784-2022 karta.png", "A 26784-2022")</f>
        <v/>
      </c>
      <c r="V175">
        <f>HYPERLINK("https://klasma.github.io/Logging_0604/klagomål/A 26784-2022 FSC-klagomål.docx", "A 26784-2022")</f>
        <v/>
      </c>
      <c r="W175">
        <f>HYPERLINK("https://klasma.github.io/Logging_0604/klagomålsmail/A 26784-2022 FSC-klagomål mail.docx", "A 26784-2022")</f>
        <v/>
      </c>
      <c r="X175">
        <f>HYPERLINK("https://klasma.github.io/Logging_0604/tillsyn/A 26784-2022 tillsynsbegäran.docx", "A 26784-2022")</f>
        <v/>
      </c>
      <c r="Y175">
        <f>HYPERLINK("https://klasma.github.io/Logging_0604/tillsynsmail/A 26784-2022 tillsynsbegäran mail.docx", "A 26784-2022")</f>
        <v/>
      </c>
    </row>
    <row r="176" ht="15" customHeight="1">
      <c r="A176" t="inlineStr">
        <is>
          <t>A 278-2024</t>
        </is>
      </c>
      <c r="B176" s="1" t="n">
        <v>45295.3942824074</v>
      </c>
      <c r="C176" s="1" t="n">
        <v>45962</v>
      </c>
      <c r="D176" t="inlineStr">
        <is>
          <t>JÖNKÖPINGS LÄN</t>
        </is>
      </c>
      <c r="E176" t="inlineStr">
        <is>
          <t>JÖNKÖPING</t>
        </is>
      </c>
      <c r="F176" t="inlineStr">
        <is>
          <t>Sveaskog</t>
        </is>
      </c>
      <c r="G176" t="n">
        <v>1.1</v>
      </c>
      <c r="H176" t="n">
        <v>1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1</v>
      </c>
      <c r="R176" s="2" t="inlineStr">
        <is>
          <t>Mattlummer</t>
        </is>
      </c>
      <c r="S176">
        <f>HYPERLINK("https://klasma.github.io/Logging_0680/artfynd/A 278-2024 artfynd.xlsx", "A 278-2024")</f>
        <v/>
      </c>
      <c r="T176">
        <f>HYPERLINK("https://klasma.github.io/Logging_0680/kartor/A 278-2024 karta.png", "A 278-2024")</f>
        <v/>
      </c>
      <c r="V176">
        <f>HYPERLINK("https://klasma.github.io/Logging_0680/klagomål/A 278-2024 FSC-klagomål.docx", "A 278-2024")</f>
        <v/>
      </c>
      <c r="W176">
        <f>HYPERLINK("https://klasma.github.io/Logging_0680/klagomålsmail/A 278-2024 FSC-klagomål mail.docx", "A 278-2024")</f>
        <v/>
      </c>
      <c r="X176">
        <f>HYPERLINK("https://klasma.github.io/Logging_0680/tillsyn/A 278-2024 tillsynsbegäran.docx", "A 278-2024")</f>
        <v/>
      </c>
      <c r="Y176">
        <f>HYPERLINK("https://klasma.github.io/Logging_0680/tillsynsmail/A 278-2024 tillsynsbegäran mail.docx", "A 278-2024")</f>
        <v/>
      </c>
    </row>
    <row r="177" ht="15" customHeight="1">
      <c r="A177" t="inlineStr">
        <is>
          <t>A 51453-2021</t>
        </is>
      </c>
      <c r="B177" s="1" t="n">
        <v>44460</v>
      </c>
      <c r="C177" s="1" t="n">
        <v>45962</v>
      </c>
      <c r="D177" t="inlineStr">
        <is>
          <t>JÖNKÖPINGS LÄN</t>
        </is>
      </c>
      <c r="E177" t="inlineStr">
        <is>
          <t>ANEBY</t>
        </is>
      </c>
      <c r="F177" t="inlineStr">
        <is>
          <t>Övriga Aktiebolag</t>
        </is>
      </c>
      <c r="G177" t="n">
        <v>3.3</v>
      </c>
      <c r="H177" t="n">
        <v>0</v>
      </c>
      <c r="I177" t="n">
        <v>0</v>
      </c>
      <c r="J177" t="n">
        <v>1</v>
      </c>
      <c r="K177" t="n">
        <v>0</v>
      </c>
      <c r="L177" t="n">
        <v>0</v>
      </c>
      <c r="M177" t="n">
        <v>0</v>
      </c>
      <c r="N177" t="n">
        <v>0</v>
      </c>
      <c r="O177" t="n">
        <v>1</v>
      </c>
      <c r="P177" t="n">
        <v>0</v>
      </c>
      <c r="Q177" t="n">
        <v>1</v>
      </c>
      <c r="R177" s="2" t="inlineStr">
        <is>
          <t>Vedtrappmossa</t>
        </is>
      </c>
      <c r="S177">
        <f>HYPERLINK("https://klasma.github.io/Logging_0604/artfynd/A 51453-2021 artfynd.xlsx", "A 51453-2021")</f>
        <v/>
      </c>
      <c r="T177">
        <f>HYPERLINK("https://klasma.github.io/Logging_0604/kartor/A 51453-2021 karta.png", "A 51453-2021")</f>
        <v/>
      </c>
      <c r="V177">
        <f>HYPERLINK("https://klasma.github.io/Logging_0604/klagomål/A 51453-2021 FSC-klagomål.docx", "A 51453-2021")</f>
        <v/>
      </c>
      <c r="W177">
        <f>HYPERLINK("https://klasma.github.io/Logging_0604/klagomålsmail/A 51453-2021 FSC-klagomål mail.docx", "A 51453-2021")</f>
        <v/>
      </c>
      <c r="X177">
        <f>HYPERLINK("https://klasma.github.io/Logging_0604/tillsyn/A 51453-2021 tillsynsbegäran.docx", "A 51453-2021")</f>
        <v/>
      </c>
      <c r="Y177">
        <f>HYPERLINK("https://klasma.github.io/Logging_0604/tillsynsmail/A 51453-2021 tillsynsbegäran mail.docx", "A 51453-2021")</f>
        <v/>
      </c>
    </row>
    <row r="178" ht="15" customHeight="1">
      <c r="A178" t="inlineStr">
        <is>
          <t>A 42637-2024</t>
        </is>
      </c>
      <c r="B178" s="1" t="n">
        <v>45565</v>
      </c>
      <c r="C178" s="1" t="n">
        <v>45962</v>
      </c>
      <c r="D178" t="inlineStr">
        <is>
          <t>JÖNKÖPINGS LÄN</t>
        </is>
      </c>
      <c r="E178" t="inlineStr">
        <is>
          <t>VETLANDA</t>
        </is>
      </c>
      <c r="G178" t="n">
        <v>2</v>
      </c>
      <c r="H178" t="n">
        <v>0</v>
      </c>
      <c r="I178" t="n">
        <v>0</v>
      </c>
      <c r="J178" t="n">
        <v>0</v>
      </c>
      <c r="K178" t="n">
        <v>0</v>
      </c>
      <c r="L178" t="n">
        <v>1</v>
      </c>
      <c r="M178" t="n">
        <v>0</v>
      </c>
      <c r="N178" t="n">
        <v>0</v>
      </c>
      <c r="O178" t="n">
        <v>1</v>
      </c>
      <c r="P178" t="n">
        <v>1</v>
      </c>
      <c r="Q178" t="n">
        <v>1</v>
      </c>
      <c r="R178" s="2" t="inlineStr">
        <is>
          <t>Ask</t>
        </is>
      </c>
      <c r="S178">
        <f>HYPERLINK("https://klasma.github.io/Logging_0685/artfynd/A 42637-2024 artfynd.xlsx", "A 42637-2024")</f>
        <v/>
      </c>
      <c r="T178">
        <f>HYPERLINK("https://klasma.github.io/Logging_0685/kartor/A 42637-2024 karta.png", "A 42637-2024")</f>
        <v/>
      </c>
      <c r="V178">
        <f>HYPERLINK("https://klasma.github.io/Logging_0685/klagomål/A 42637-2024 FSC-klagomål.docx", "A 42637-2024")</f>
        <v/>
      </c>
      <c r="W178">
        <f>HYPERLINK("https://klasma.github.io/Logging_0685/klagomålsmail/A 42637-2024 FSC-klagomål mail.docx", "A 42637-2024")</f>
        <v/>
      </c>
      <c r="X178">
        <f>HYPERLINK("https://klasma.github.io/Logging_0685/tillsyn/A 42637-2024 tillsynsbegäran.docx", "A 42637-2024")</f>
        <v/>
      </c>
      <c r="Y178">
        <f>HYPERLINK("https://klasma.github.io/Logging_0685/tillsynsmail/A 42637-2024 tillsynsbegäran mail.docx", "A 42637-2024")</f>
        <v/>
      </c>
    </row>
    <row r="179" ht="15" customHeight="1">
      <c r="A179" t="inlineStr">
        <is>
          <t>A 45366-2022</t>
        </is>
      </c>
      <c r="B179" s="1" t="n">
        <v>44840</v>
      </c>
      <c r="C179" s="1" t="n">
        <v>45962</v>
      </c>
      <c r="D179" t="inlineStr">
        <is>
          <t>JÖNKÖPINGS LÄN</t>
        </is>
      </c>
      <c r="E179" t="inlineStr">
        <is>
          <t>JÖNKÖPING</t>
        </is>
      </c>
      <c r="G179" t="n">
        <v>3.2</v>
      </c>
      <c r="H179" t="n">
        <v>0</v>
      </c>
      <c r="I179" t="n">
        <v>1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1</v>
      </c>
      <c r="R179" s="2" t="inlineStr">
        <is>
          <t>Mörk husmossa</t>
        </is>
      </c>
      <c r="S179">
        <f>HYPERLINK("https://klasma.github.io/Logging_0680/artfynd/A 45366-2022 artfynd.xlsx", "A 45366-2022")</f>
        <v/>
      </c>
      <c r="T179">
        <f>HYPERLINK("https://klasma.github.io/Logging_0680/kartor/A 45366-2022 karta.png", "A 45366-2022")</f>
        <v/>
      </c>
      <c r="V179">
        <f>HYPERLINK("https://klasma.github.io/Logging_0680/klagomål/A 45366-2022 FSC-klagomål.docx", "A 45366-2022")</f>
        <v/>
      </c>
      <c r="W179">
        <f>HYPERLINK("https://klasma.github.io/Logging_0680/klagomålsmail/A 45366-2022 FSC-klagomål mail.docx", "A 45366-2022")</f>
        <v/>
      </c>
      <c r="X179">
        <f>HYPERLINK("https://klasma.github.io/Logging_0680/tillsyn/A 45366-2022 tillsynsbegäran.docx", "A 45366-2022")</f>
        <v/>
      </c>
      <c r="Y179">
        <f>HYPERLINK("https://klasma.github.io/Logging_0680/tillsynsmail/A 45366-2022 tillsynsbegäran mail.docx", "A 45366-2022")</f>
        <v/>
      </c>
    </row>
    <row r="180" ht="15" customHeight="1">
      <c r="A180" t="inlineStr">
        <is>
          <t>A 15863-2025</t>
        </is>
      </c>
      <c r="B180" s="1" t="n">
        <v>45749.35310185186</v>
      </c>
      <c r="C180" s="1" t="n">
        <v>45962</v>
      </c>
      <c r="D180" t="inlineStr">
        <is>
          <t>JÖNKÖPINGS LÄN</t>
        </is>
      </c>
      <c r="E180" t="inlineStr">
        <is>
          <t>VETLANDA</t>
        </is>
      </c>
      <c r="G180" t="n">
        <v>8.4</v>
      </c>
      <c r="H180" t="n">
        <v>0</v>
      </c>
      <c r="I180" t="n">
        <v>1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1</v>
      </c>
      <c r="R180" s="2" t="inlineStr">
        <is>
          <t>Vätteros</t>
        </is>
      </c>
      <c r="S180">
        <f>HYPERLINK("https://klasma.github.io/Logging_0685/artfynd/A 15863-2025 artfynd.xlsx", "A 15863-2025")</f>
        <v/>
      </c>
      <c r="T180">
        <f>HYPERLINK("https://klasma.github.io/Logging_0685/kartor/A 15863-2025 karta.png", "A 15863-2025")</f>
        <v/>
      </c>
      <c r="V180">
        <f>HYPERLINK("https://klasma.github.io/Logging_0685/klagomål/A 15863-2025 FSC-klagomål.docx", "A 15863-2025")</f>
        <v/>
      </c>
      <c r="W180">
        <f>HYPERLINK("https://klasma.github.io/Logging_0685/klagomålsmail/A 15863-2025 FSC-klagomål mail.docx", "A 15863-2025")</f>
        <v/>
      </c>
      <c r="X180">
        <f>HYPERLINK("https://klasma.github.io/Logging_0685/tillsyn/A 15863-2025 tillsynsbegäran.docx", "A 15863-2025")</f>
        <v/>
      </c>
      <c r="Y180">
        <f>HYPERLINK("https://klasma.github.io/Logging_0685/tillsynsmail/A 15863-2025 tillsynsbegäran mail.docx", "A 15863-2025")</f>
        <v/>
      </c>
    </row>
    <row r="181" ht="15" customHeight="1">
      <c r="A181" t="inlineStr">
        <is>
          <t>A 19078-2025</t>
        </is>
      </c>
      <c r="B181" s="1" t="n">
        <v>45766.47494212963</v>
      </c>
      <c r="C181" s="1" t="n">
        <v>45962</v>
      </c>
      <c r="D181" t="inlineStr">
        <is>
          <t>JÖNKÖPINGS LÄN</t>
        </is>
      </c>
      <c r="E181" t="inlineStr">
        <is>
          <t>VÄRNAMO</t>
        </is>
      </c>
      <c r="G181" t="n">
        <v>6.4</v>
      </c>
      <c r="H181" t="n">
        <v>1</v>
      </c>
      <c r="I181" t="n">
        <v>0</v>
      </c>
      <c r="J181" t="n">
        <v>0</v>
      </c>
      <c r="K181" t="n">
        <v>1</v>
      </c>
      <c r="L181" t="n">
        <v>0</v>
      </c>
      <c r="M181" t="n">
        <v>0</v>
      </c>
      <c r="N181" t="n">
        <v>0</v>
      </c>
      <c r="O181" t="n">
        <v>1</v>
      </c>
      <c r="P181" t="n">
        <v>1</v>
      </c>
      <c r="Q181" t="n">
        <v>1</v>
      </c>
      <c r="R181" s="2" t="inlineStr">
        <is>
          <t>Knärot</t>
        </is>
      </c>
      <c r="S181">
        <f>HYPERLINK("https://klasma.github.io/Logging_0683/artfynd/A 19078-2025 artfynd.xlsx", "A 19078-2025")</f>
        <v/>
      </c>
      <c r="T181">
        <f>HYPERLINK("https://klasma.github.io/Logging_0683/kartor/A 19078-2025 karta.png", "A 19078-2025")</f>
        <v/>
      </c>
      <c r="U181">
        <f>HYPERLINK("https://klasma.github.io/Logging_0683/knärot/A 19078-2025 karta knärot.png", "A 19078-2025")</f>
        <v/>
      </c>
      <c r="V181">
        <f>HYPERLINK("https://klasma.github.io/Logging_0683/klagomål/A 19078-2025 FSC-klagomål.docx", "A 19078-2025")</f>
        <v/>
      </c>
      <c r="W181">
        <f>HYPERLINK("https://klasma.github.io/Logging_0683/klagomålsmail/A 19078-2025 FSC-klagomål mail.docx", "A 19078-2025")</f>
        <v/>
      </c>
      <c r="X181">
        <f>HYPERLINK("https://klasma.github.io/Logging_0683/tillsyn/A 19078-2025 tillsynsbegäran.docx", "A 19078-2025")</f>
        <v/>
      </c>
      <c r="Y181">
        <f>HYPERLINK("https://klasma.github.io/Logging_0683/tillsynsmail/A 19078-2025 tillsynsbegäran mail.docx", "A 19078-2025")</f>
        <v/>
      </c>
    </row>
    <row r="182" ht="15" customHeight="1">
      <c r="A182" t="inlineStr">
        <is>
          <t>A 8483-2023</t>
        </is>
      </c>
      <c r="B182" s="1" t="n">
        <v>44977</v>
      </c>
      <c r="C182" s="1" t="n">
        <v>45962</v>
      </c>
      <c r="D182" t="inlineStr">
        <is>
          <t>JÖNKÖPINGS LÄN</t>
        </is>
      </c>
      <c r="E182" t="inlineStr">
        <is>
          <t>GISLAVED</t>
        </is>
      </c>
      <c r="G182" t="n">
        <v>2.6</v>
      </c>
      <c r="H182" t="n">
        <v>1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1</v>
      </c>
      <c r="R182" s="2" t="inlineStr">
        <is>
          <t>Större vattensalamander</t>
        </is>
      </c>
      <c r="S182">
        <f>HYPERLINK("https://klasma.github.io/Logging_0662/artfynd/A 8483-2023 artfynd.xlsx", "A 8483-2023")</f>
        <v/>
      </c>
      <c r="T182">
        <f>HYPERLINK("https://klasma.github.io/Logging_0662/kartor/A 8483-2023 karta.png", "A 8483-2023")</f>
        <v/>
      </c>
      <c r="V182">
        <f>HYPERLINK("https://klasma.github.io/Logging_0662/klagomål/A 8483-2023 FSC-klagomål.docx", "A 8483-2023")</f>
        <v/>
      </c>
      <c r="W182">
        <f>HYPERLINK("https://klasma.github.io/Logging_0662/klagomålsmail/A 8483-2023 FSC-klagomål mail.docx", "A 8483-2023")</f>
        <v/>
      </c>
      <c r="X182">
        <f>HYPERLINK("https://klasma.github.io/Logging_0662/tillsyn/A 8483-2023 tillsynsbegäran.docx", "A 8483-2023")</f>
        <v/>
      </c>
      <c r="Y182">
        <f>HYPERLINK("https://klasma.github.io/Logging_0662/tillsynsmail/A 8483-2023 tillsynsbegäran mail.docx", "A 8483-2023")</f>
        <v/>
      </c>
    </row>
    <row r="183" ht="15" customHeight="1">
      <c r="A183" t="inlineStr">
        <is>
          <t>A 38355-2023</t>
        </is>
      </c>
      <c r="B183" s="1" t="n">
        <v>45161</v>
      </c>
      <c r="C183" s="1" t="n">
        <v>45962</v>
      </c>
      <c r="D183" t="inlineStr">
        <is>
          <t>JÖNKÖPINGS LÄN</t>
        </is>
      </c>
      <c r="E183" t="inlineStr">
        <is>
          <t>GNOSJÖ</t>
        </is>
      </c>
      <c r="G183" t="n">
        <v>11.4</v>
      </c>
      <c r="H183" t="n">
        <v>1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1</v>
      </c>
      <c r="R183" s="2" t="inlineStr">
        <is>
          <t>Mattlummer</t>
        </is>
      </c>
      <c r="S183">
        <f>HYPERLINK("https://klasma.github.io/Logging_0617/artfynd/A 38355-2023 artfynd.xlsx", "A 38355-2023")</f>
        <v/>
      </c>
      <c r="T183">
        <f>HYPERLINK("https://klasma.github.io/Logging_0617/kartor/A 38355-2023 karta.png", "A 38355-2023")</f>
        <v/>
      </c>
      <c r="V183">
        <f>HYPERLINK("https://klasma.github.io/Logging_0617/klagomål/A 38355-2023 FSC-klagomål.docx", "A 38355-2023")</f>
        <v/>
      </c>
      <c r="W183">
        <f>HYPERLINK("https://klasma.github.io/Logging_0617/klagomålsmail/A 38355-2023 FSC-klagomål mail.docx", "A 38355-2023")</f>
        <v/>
      </c>
      <c r="X183">
        <f>HYPERLINK("https://klasma.github.io/Logging_0617/tillsyn/A 38355-2023 tillsynsbegäran.docx", "A 38355-2023")</f>
        <v/>
      </c>
      <c r="Y183">
        <f>HYPERLINK("https://klasma.github.io/Logging_0617/tillsynsmail/A 38355-2023 tillsynsbegäran mail.docx", "A 38355-2023")</f>
        <v/>
      </c>
    </row>
    <row r="184" ht="15" customHeight="1">
      <c r="A184" t="inlineStr">
        <is>
          <t>A 8198-2024</t>
        </is>
      </c>
      <c r="B184" s="1" t="n">
        <v>45351.68774305555</v>
      </c>
      <c r="C184" s="1" t="n">
        <v>45962</v>
      </c>
      <c r="D184" t="inlineStr">
        <is>
          <t>JÖNKÖPINGS LÄN</t>
        </is>
      </c>
      <c r="E184" t="inlineStr">
        <is>
          <t>SÄVSJÖ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1</v>
      </c>
      <c r="L184" t="n">
        <v>0</v>
      </c>
      <c r="M184" t="n">
        <v>0</v>
      </c>
      <c r="N184" t="n">
        <v>0</v>
      </c>
      <c r="O184" t="n">
        <v>1</v>
      </c>
      <c r="P184" t="n">
        <v>1</v>
      </c>
      <c r="Q184" t="n">
        <v>1</v>
      </c>
      <c r="R184" s="2" t="inlineStr">
        <is>
          <t>Småfruktigt blågryn</t>
        </is>
      </c>
      <c r="S184">
        <f>HYPERLINK("https://klasma.github.io/Logging_0684/artfynd/A 8198-2024 artfynd.xlsx", "A 8198-2024")</f>
        <v/>
      </c>
      <c r="T184">
        <f>HYPERLINK("https://klasma.github.io/Logging_0684/kartor/A 8198-2024 karta.png", "A 8198-2024")</f>
        <v/>
      </c>
      <c r="V184">
        <f>HYPERLINK("https://klasma.github.io/Logging_0684/klagomål/A 8198-2024 FSC-klagomål.docx", "A 8198-2024")</f>
        <v/>
      </c>
      <c r="W184">
        <f>HYPERLINK("https://klasma.github.io/Logging_0684/klagomålsmail/A 8198-2024 FSC-klagomål mail.docx", "A 8198-2024")</f>
        <v/>
      </c>
      <c r="X184">
        <f>HYPERLINK("https://klasma.github.io/Logging_0684/tillsyn/A 8198-2024 tillsynsbegäran.docx", "A 8198-2024")</f>
        <v/>
      </c>
      <c r="Y184">
        <f>HYPERLINK("https://klasma.github.io/Logging_0684/tillsynsmail/A 8198-2024 tillsynsbegäran mail.docx", "A 8198-2024")</f>
        <v/>
      </c>
    </row>
    <row r="185" ht="15" customHeight="1">
      <c r="A185" t="inlineStr">
        <is>
          <t>A 43573-2024</t>
        </is>
      </c>
      <c r="B185" s="1" t="n">
        <v>45569.41550925926</v>
      </c>
      <c r="C185" s="1" t="n">
        <v>45962</v>
      </c>
      <c r="D185" t="inlineStr">
        <is>
          <t>JÖNKÖPINGS LÄN</t>
        </is>
      </c>
      <c r="E185" t="inlineStr">
        <is>
          <t>JÖNKÖPING</t>
        </is>
      </c>
      <c r="G185" t="n">
        <v>0.8</v>
      </c>
      <c r="H185" t="n">
        <v>1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1</v>
      </c>
      <c r="R185" s="2" t="inlineStr">
        <is>
          <t>Större vattensalamander</t>
        </is>
      </c>
      <c r="S185">
        <f>HYPERLINK("https://klasma.github.io/Logging_0680/artfynd/A 43573-2024 artfynd.xlsx", "A 43573-2024")</f>
        <v/>
      </c>
      <c r="T185">
        <f>HYPERLINK("https://klasma.github.io/Logging_0680/kartor/A 43573-2024 karta.png", "A 43573-2024")</f>
        <v/>
      </c>
      <c r="V185">
        <f>HYPERLINK("https://klasma.github.io/Logging_0680/klagomål/A 43573-2024 FSC-klagomål.docx", "A 43573-2024")</f>
        <v/>
      </c>
      <c r="W185">
        <f>HYPERLINK("https://klasma.github.io/Logging_0680/klagomålsmail/A 43573-2024 FSC-klagomål mail.docx", "A 43573-2024")</f>
        <v/>
      </c>
      <c r="X185">
        <f>HYPERLINK("https://klasma.github.io/Logging_0680/tillsyn/A 43573-2024 tillsynsbegäran.docx", "A 43573-2024")</f>
        <v/>
      </c>
      <c r="Y185">
        <f>HYPERLINK("https://klasma.github.io/Logging_0680/tillsynsmail/A 43573-2024 tillsynsbegäran mail.docx", "A 43573-2024")</f>
        <v/>
      </c>
    </row>
    <row r="186" ht="15" customHeight="1">
      <c r="A186" t="inlineStr">
        <is>
          <t>A 412-2022</t>
        </is>
      </c>
      <c r="B186" s="1" t="n">
        <v>44565</v>
      </c>
      <c r="C186" s="1" t="n">
        <v>45962</v>
      </c>
      <c r="D186" t="inlineStr">
        <is>
          <t>JÖNKÖPINGS LÄN</t>
        </is>
      </c>
      <c r="E186" t="inlineStr">
        <is>
          <t>ANEBY</t>
        </is>
      </c>
      <c r="G186" t="n">
        <v>6.7</v>
      </c>
      <c r="H186" t="n">
        <v>1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1</v>
      </c>
      <c r="R186" s="2" t="inlineStr">
        <is>
          <t>Fläcknycklar</t>
        </is>
      </c>
      <c r="S186">
        <f>HYPERLINK("https://klasma.github.io/Logging_0604/artfynd/A 412-2022 artfynd.xlsx", "A 412-2022")</f>
        <v/>
      </c>
      <c r="T186">
        <f>HYPERLINK("https://klasma.github.io/Logging_0604/kartor/A 412-2022 karta.png", "A 412-2022")</f>
        <v/>
      </c>
      <c r="V186">
        <f>HYPERLINK("https://klasma.github.io/Logging_0604/klagomål/A 412-2022 FSC-klagomål.docx", "A 412-2022")</f>
        <v/>
      </c>
      <c r="W186">
        <f>HYPERLINK("https://klasma.github.io/Logging_0604/klagomålsmail/A 412-2022 FSC-klagomål mail.docx", "A 412-2022")</f>
        <v/>
      </c>
      <c r="X186">
        <f>HYPERLINK("https://klasma.github.io/Logging_0604/tillsyn/A 412-2022 tillsynsbegäran.docx", "A 412-2022")</f>
        <v/>
      </c>
      <c r="Y186">
        <f>HYPERLINK("https://klasma.github.io/Logging_0604/tillsynsmail/A 412-2022 tillsynsbegäran mail.docx", "A 412-2022")</f>
        <v/>
      </c>
    </row>
    <row r="187" ht="15" customHeight="1">
      <c r="A187" t="inlineStr">
        <is>
          <t>A 44439-2023</t>
        </is>
      </c>
      <c r="B187" s="1" t="n">
        <v>45183</v>
      </c>
      <c r="C187" s="1" t="n">
        <v>45962</v>
      </c>
      <c r="D187" t="inlineStr">
        <is>
          <t>JÖNKÖPINGS LÄN</t>
        </is>
      </c>
      <c r="E187" t="inlineStr">
        <is>
          <t>HABO</t>
        </is>
      </c>
      <c r="F187" t="inlineStr">
        <is>
          <t>Allmännings- och besparingsskogar</t>
        </is>
      </c>
      <c r="G187" t="n">
        <v>5.3</v>
      </c>
      <c r="H187" t="n">
        <v>0</v>
      </c>
      <c r="I187" t="n">
        <v>0</v>
      </c>
      <c r="J187" t="n">
        <v>1</v>
      </c>
      <c r="K187" t="n">
        <v>0</v>
      </c>
      <c r="L187" t="n">
        <v>0</v>
      </c>
      <c r="M187" t="n">
        <v>0</v>
      </c>
      <c r="N187" t="n">
        <v>0</v>
      </c>
      <c r="O187" t="n">
        <v>1</v>
      </c>
      <c r="P187" t="n">
        <v>0</v>
      </c>
      <c r="Q187" t="n">
        <v>1</v>
      </c>
      <c r="R187" s="2" t="inlineStr">
        <is>
          <t>Motaggsvamp</t>
        </is>
      </c>
      <c r="S187">
        <f>HYPERLINK("https://klasma.github.io/Logging_0643/artfynd/A 44439-2023 artfynd.xlsx", "A 44439-2023")</f>
        <v/>
      </c>
      <c r="T187">
        <f>HYPERLINK("https://klasma.github.io/Logging_0643/kartor/A 44439-2023 karta.png", "A 44439-2023")</f>
        <v/>
      </c>
      <c r="V187">
        <f>HYPERLINK("https://klasma.github.io/Logging_0643/klagomål/A 44439-2023 FSC-klagomål.docx", "A 44439-2023")</f>
        <v/>
      </c>
      <c r="W187">
        <f>HYPERLINK("https://klasma.github.io/Logging_0643/klagomålsmail/A 44439-2023 FSC-klagomål mail.docx", "A 44439-2023")</f>
        <v/>
      </c>
      <c r="X187">
        <f>HYPERLINK("https://klasma.github.io/Logging_0643/tillsyn/A 44439-2023 tillsynsbegäran.docx", "A 44439-2023")</f>
        <v/>
      </c>
      <c r="Y187">
        <f>HYPERLINK("https://klasma.github.io/Logging_0643/tillsynsmail/A 44439-2023 tillsynsbegäran mail.docx", "A 44439-2023")</f>
        <v/>
      </c>
    </row>
    <row r="188" ht="15" customHeight="1">
      <c r="A188" t="inlineStr">
        <is>
          <t>A 61446-2022</t>
        </is>
      </c>
      <c r="B188" s="1" t="n">
        <v>44916.39701388889</v>
      </c>
      <c r="C188" s="1" t="n">
        <v>45962</v>
      </c>
      <c r="D188" t="inlineStr">
        <is>
          <t>JÖNKÖPINGS LÄN</t>
        </is>
      </c>
      <c r="E188" t="inlineStr">
        <is>
          <t>VETLANDA</t>
        </is>
      </c>
      <c r="G188" t="n">
        <v>8.199999999999999</v>
      </c>
      <c r="H188" t="n">
        <v>0</v>
      </c>
      <c r="I188" t="n">
        <v>0</v>
      </c>
      <c r="J188" t="n">
        <v>0</v>
      </c>
      <c r="K188" t="n">
        <v>1</v>
      </c>
      <c r="L188" t="n">
        <v>0</v>
      </c>
      <c r="M188" t="n">
        <v>0</v>
      </c>
      <c r="N188" t="n">
        <v>0</v>
      </c>
      <c r="O188" t="n">
        <v>1</v>
      </c>
      <c r="P188" t="n">
        <v>1</v>
      </c>
      <c r="Q188" t="n">
        <v>1</v>
      </c>
      <c r="R188" s="2" t="inlineStr">
        <is>
          <t>Krokfibbla</t>
        </is>
      </c>
      <c r="S188">
        <f>HYPERLINK("https://klasma.github.io/Logging_0685/artfynd/A 61446-2022 artfynd.xlsx", "A 61446-2022")</f>
        <v/>
      </c>
      <c r="T188">
        <f>HYPERLINK("https://klasma.github.io/Logging_0685/kartor/A 61446-2022 karta.png", "A 61446-2022")</f>
        <v/>
      </c>
      <c r="V188">
        <f>HYPERLINK("https://klasma.github.io/Logging_0685/klagomål/A 61446-2022 FSC-klagomål.docx", "A 61446-2022")</f>
        <v/>
      </c>
      <c r="W188">
        <f>HYPERLINK("https://klasma.github.io/Logging_0685/klagomålsmail/A 61446-2022 FSC-klagomål mail.docx", "A 61446-2022")</f>
        <v/>
      </c>
      <c r="X188">
        <f>HYPERLINK("https://klasma.github.io/Logging_0685/tillsyn/A 61446-2022 tillsynsbegäran.docx", "A 61446-2022")</f>
        <v/>
      </c>
      <c r="Y188">
        <f>HYPERLINK("https://klasma.github.io/Logging_0685/tillsynsmail/A 61446-2022 tillsynsbegäran mail.docx", "A 61446-2022")</f>
        <v/>
      </c>
    </row>
    <row r="189" ht="15" customHeight="1">
      <c r="A189" t="inlineStr">
        <is>
          <t>A 38072-2021</t>
        </is>
      </c>
      <c r="B189" s="1" t="n">
        <v>44404.71972222222</v>
      </c>
      <c r="C189" s="1" t="n">
        <v>45962</v>
      </c>
      <c r="D189" t="inlineStr">
        <is>
          <t>JÖNKÖPINGS LÄN</t>
        </is>
      </c>
      <c r="E189" t="inlineStr">
        <is>
          <t>JÖNKÖPING</t>
        </is>
      </c>
      <c r="G189" t="n">
        <v>2</v>
      </c>
      <c r="H189" t="n">
        <v>0</v>
      </c>
      <c r="I189" t="n">
        <v>0</v>
      </c>
      <c r="J189" t="n">
        <v>0</v>
      </c>
      <c r="K189" t="n">
        <v>1</v>
      </c>
      <c r="L189" t="n">
        <v>0</v>
      </c>
      <c r="M189" t="n">
        <v>0</v>
      </c>
      <c r="N189" t="n">
        <v>0</v>
      </c>
      <c r="O189" t="n">
        <v>1</v>
      </c>
      <c r="P189" t="n">
        <v>1</v>
      </c>
      <c r="Q189" t="n">
        <v>1</v>
      </c>
      <c r="R189" s="2" t="inlineStr">
        <is>
          <t>Slåttergubbe</t>
        </is>
      </c>
      <c r="S189">
        <f>HYPERLINK("https://klasma.github.io/Logging_0680/artfynd/A 38072-2021 artfynd.xlsx", "A 38072-2021")</f>
        <v/>
      </c>
      <c r="T189">
        <f>HYPERLINK("https://klasma.github.io/Logging_0680/kartor/A 38072-2021 karta.png", "A 38072-2021")</f>
        <v/>
      </c>
      <c r="V189">
        <f>HYPERLINK("https://klasma.github.io/Logging_0680/klagomål/A 38072-2021 FSC-klagomål.docx", "A 38072-2021")</f>
        <v/>
      </c>
      <c r="W189">
        <f>HYPERLINK("https://klasma.github.io/Logging_0680/klagomålsmail/A 38072-2021 FSC-klagomål mail.docx", "A 38072-2021")</f>
        <v/>
      </c>
      <c r="X189">
        <f>HYPERLINK("https://klasma.github.io/Logging_0680/tillsyn/A 38072-2021 tillsynsbegäran.docx", "A 38072-2021")</f>
        <v/>
      </c>
      <c r="Y189">
        <f>HYPERLINK("https://klasma.github.io/Logging_0680/tillsynsmail/A 38072-2021 tillsynsbegäran mail.docx", "A 38072-2021")</f>
        <v/>
      </c>
    </row>
    <row r="190" ht="15" customHeight="1">
      <c r="A190" t="inlineStr">
        <is>
          <t>A 35136-2024</t>
        </is>
      </c>
      <c r="B190" s="1" t="n">
        <v>45530.34611111111</v>
      </c>
      <c r="C190" s="1" t="n">
        <v>45962</v>
      </c>
      <c r="D190" t="inlineStr">
        <is>
          <t>JÖNKÖPINGS LÄN</t>
        </is>
      </c>
      <c r="E190" t="inlineStr">
        <is>
          <t>SÄVSJÖ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1</v>
      </c>
      <c r="M190" t="n">
        <v>0</v>
      </c>
      <c r="N190" t="n">
        <v>0</v>
      </c>
      <c r="O190" t="n">
        <v>1</v>
      </c>
      <c r="P190" t="n">
        <v>1</v>
      </c>
      <c r="Q190" t="n">
        <v>1</v>
      </c>
      <c r="R190" s="2" t="inlineStr">
        <is>
          <t>Ask</t>
        </is>
      </c>
      <c r="S190">
        <f>HYPERLINK("https://klasma.github.io/Logging_0684/artfynd/A 35136-2024 artfynd.xlsx", "A 35136-2024")</f>
        <v/>
      </c>
      <c r="T190">
        <f>HYPERLINK("https://klasma.github.io/Logging_0684/kartor/A 35136-2024 karta.png", "A 35136-2024")</f>
        <v/>
      </c>
      <c r="V190">
        <f>HYPERLINK("https://klasma.github.io/Logging_0684/klagomål/A 35136-2024 FSC-klagomål.docx", "A 35136-2024")</f>
        <v/>
      </c>
      <c r="W190">
        <f>HYPERLINK("https://klasma.github.io/Logging_0684/klagomålsmail/A 35136-2024 FSC-klagomål mail.docx", "A 35136-2024")</f>
        <v/>
      </c>
      <c r="X190">
        <f>HYPERLINK("https://klasma.github.io/Logging_0684/tillsyn/A 35136-2024 tillsynsbegäran.docx", "A 35136-2024")</f>
        <v/>
      </c>
      <c r="Y190">
        <f>HYPERLINK("https://klasma.github.io/Logging_0684/tillsynsmail/A 35136-2024 tillsynsbegäran mail.docx", "A 35136-2024")</f>
        <v/>
      </c>
    </row>
    <row r="191" ht="15" customHeight="1">
      <c r="A191" t="inlineStr">
        <is>
          <t>A 38728-2024</t>
        </is>
      </c>
      <c r="B191" s="1" t="n">
        <v>45547.40465277778</v>
      </c>
      <c r="C191" s="1" t="n">
        <v>45962</v>
      </c>
      <c r="D191" t="inlineStr">
        <is>
          <t>JÖNKÖPINGS LÄN</t>
        </is>
      </c>
      <c r="E191" t="inlineStr">
        <is>
          <t>ANEBY</t>
        </is>
      </c>
      <c r="G191" t="n">
        <v>5.5</v>
      </c>
      <c r="H191" t="n">
        <v>1</v>
      </c>
      <c r="I191" t="n">
        <v>0</v>
      </c>
      <c r="J191" t="n">
        <v>1</v>
      </c>
      <c r="K191" t="n">
        <v>0</v>
      </c>
      <c r="L191" t="n">
        <v>0</v>
      </c>
      <c r="M191" t="n">
        <v>0</v>
      </c>
      <c r="N191" t="n">
        <v>0</v>
      </c>
      <c r="O191" t="n">
        <v>1</v>
      </c>
      <c r="P191" t="n">
        <v>0</v>
      </c>
      <c r="Q191" t="n">
        <v>1</v>
      </c>
      <c r="R191" s="2" t="inlineStr">
        <is>
          <t>Talltita</t>
        </is>
      </c>
      <c r="S191">
        <f>HYPERLINK("https://klasma.github.io/Logging_0604/artfynd/A 38728-2024 artfynd.xlsx", "A 38728-2024")</f>
        <v/>
      </c>
      <c r="T191">
        <f>HYPERLINK("https://klasma.github.io/Logging_0604/kartor/A 38728-2024 karta.png", "A 38728-2024")</f>
        <v/>
      </c>
      <c r="V191">
        <f>HYPERLINK("https://klasma.github.io/Logging_0604/klagomål/A 38728-2024 FSC-klagomål.docx", "A 38728-2024")</f>
        <v/>
      </c>
      <c r="W191">
        <f>HYPERLINK("https://klasma.github.io/Logging_0604/klagomålsmail/A 38728-2024 FSC-klagomål mail.docx", "A 38728-2024")</f>
        <v/>
      </c>
      <c r="X191">
        <f>HYPERLINK("https://klasma.github.io/Logging_0604/tillsyn/A 38728-2024 tillsynsbegäran.docx", "A 38728-2024")</f>
        <v/>
      </c>
      <c r="Y191">
        <f>HYPERLINK("https://klasma.github.io/Logging_0604/tillsynsmail/A 38728-2024 tillsynsbegäran mail.docx", "A 38728-2024")</f>
        <v/>
      </c>
      <c r="Z191">
        <f>HYPERLINK("https://klasma.github.io/Logging_0604/fåglar/A 38728-2024 prioriterade fågelarter.docx", "A 38728-2024")</f>
        <v/>
      </c>
    </row>
    <row r="192" ht="15" customHeight="1">
      <c r="A192" t="inlineStr">
        <is>
          <t>A 41059-2024</t>
        </is>
      </c>
      <c r="B192" s="1" t="n">
        <v>45558</v>
      </c>
      <c r="C192" s="1" t="n">
        <v>45962</v>
      </c>
      <c r="D192" t="inlineStr">
        <is>
          <t>JÖNKÖPINGS LÄN</t>
        </is>
      </c>
      <c r="E192" t="inlineStr">
        <is>
          <t>GISLAVED</t>
        </is>
      </c>
      <c r="G192" t="n">
        <v>5.4</v>
      </c>
      <c r="H192" t="n">
        <v>1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1</v>
      </c>
      <c r="R192" s="2" t="inlineStr">
        <is>
          <t>Kungsfågel</t>
        </is>
      </c>
      <c r="S192">
        <f>HYPERLINK("https://klasma.github.io/Logging_0662/artfynd/A 41059-2024 artfynd.xlsx", "A 41059-2024")</f>
        <v/>
      </c>
      <c r="T192">
        <f>HYPERLINK("https://klasma.github.io/Logging_0662/kartor/A 41059-2024 karta.png", "A 41059-2024")</f>
        <v/>
      </c>
      <c r="V192">
        <f>HYPERLINK("https://klasma.github.io/Logging_0662/klagomål/A 41059-2024 FSC-klagomål.docx", "A 41059-2024")</f>
        <v/>
      </c>
      <c r="W192">
        <f>HYPERLINK("https://klasma.github.io/Logging_0662/klagomålsmail/A 41059-2024 FSC-klagomål mail.docx", "A 41059-2024")</f>
        <v/>
      </c>
      <c r="X192">
        <f>HYPERLINK("https://klasma.github.io/Logging_0662/tillsyn/A 41059-2024 tillsynsbegäran.docx", "A 41059-2024")</f>
        <v/>
      </c>
      <c r="Y192">
        <f>HYPERLINK("https://klasma.github.io/Logging_0662/tillsynsmail/A 41059-2024 tillsynsbegäran mail.docx", "A 41059-2024")</f>
        <v/>
      </c>
      <c r="Z192">
        <f>HYPERLINK("https://klasma.github.io/Logging_0662/fåglar/A 41059-2024 prioriterade fågelarter.docx", "A 41059-2024")</f>
        <v/>
      </c>
    </row>
    <row r="193" ht="15" customHeight="1">
      <c r="A193" t="inlineStr">
        <is>
          <t>A 20822-2024</t>
        </is>
      </c>
      <c r="B193" s="1" t="n">
        <v>45439</v>
      </c>
      <c r="C193" s="1" t="n">
        <v>45962</v>
      </c>
      <c r="D193" t="inlineStr">
        <is>
          <t>JÖNKÖPINGS LÄN</t>
        </is>
      </c>
      <c r="E193" t="inlineStr">
        <is>
          <t>TRANÅS</t>
        </is>
      </c>
      <c r="G193" t="n">
        <v>4.7</v>
      </c>
      <c r="H193" t="n">
        <v>0</v>
      </c>
      <c r="I193" t="n">
        <v>1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1</v>
      </c>
      <c r="R193" s="2" t="inlineStr">
        <is>
          <t>Blomkålssvamp</t>
        </is>
      </c>
      <c r="S193">
        <f>HYPERLINK("https://klasma.github.io/Logging_0687/artfynd/A 20822-2024 artfynd.xlsx", "A 20822-2024")</f>
        <v/>
      </c>
      <c r="T193">
        <f>HYPERLINK("https://klasma.github.io/Logging_0687/kartor/A 20822-2024 karta.png", "A 20822-2024")</f>
        <v/>
      </c>
      <c r="V193">
        <f>HYPERLINK("https://klasma.github.io/Logging_0687/klagomål/A 20822-2024 FSC-klagomål.docx", "A 20822-2024")</f>
        <v/>
      </c>
      <c r="W193">
        <f>HYPERLINK("https://klasma.github.io/Logging_0687/klagomålsmail/A 20822-2024 FSC-klagomål mail.docx", "A 20822-2024")</f>
        <v/>
      </c>
      <c r="X193">
        <f>HYPERLINK("https://klasma.github.io/Logging_0687/tillsyn/A 20822-2024 tillsynsbegäran.docx", "A 20822-2024")</f>
        <v/>
      </c>
      <c r="Y193">
        <f>HYPERLINK("https://klasma.github.io/Logging_0687/tillsynsmail/A 20822-2024 tillsynsbegäran mail.docx", "A 20822-2024")</f>
        <v/>
      </c>
    </row>
    <row r="194" ht="15" customHeight="1">
      <c r="A194" t="inlineStr">
        <is>
          <t>A 53298-2022</t>
        </is>
      </c>
      <c r="B194" s="1" t="n">
        <v>44877</v>
      </c>
      <c r="C194" s="1" t="n">
        <v>45962</v>
      </c>
      <c r="D194" t="inlineStr">
        <is>
          <t>JÖNKÖPINGS LÄN</t>
        </is>
      </c>
      <c r="E194" t="inlineStr">
        <is>
          <t>HABO</t>
        </is>
      </c>
      <c r="G194" t="n">
        <v>2.5</v>
      </c>
      <c r="H194" t="n">
        <v>0</v>
      </c>
      <c r="I194" t="n">
        <v>1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1</v>
      </c>
      <c r="R194" s="2" t="inlineStr">
        <is>
          <t>Skarp dropptaggsvamp</t>
        </is>
      </c>
      <c r="S194">
        <f>HYPERLINK("https://klasma.github.io/Logging_0643/artfynd/A 53298-2022 artfynd.xlsx", "A 53298-2022")</f>
        <v/>
      </c>
      <c r="T194">
        <f>HYPERLINK("https://klasma.github.io/Logging_0643/kartor/A 53298-2022 karta.png", "A 53298-2022")</f>
        <v/>
      </c>
      <c r="V194">
        <f>HYPERLINK("https://klasma.github.io/Logging_0643/klagomål/A 53298-2022 FSC-klagomål.docx", "A 53298-2022")</f>
        <v/>
      </c>
      <c r="W194">
        <f>HYPERLINK("https://klasma.github.io/Logging_0643/klagomålsmail/A 53298-2022 FSC-klagomål mail.docx", "A 53298-2022")</f>
        <v/>
      </c>
      <c r="X194">
        <f>HYPERLINK("https://klasma.github.io/Logging_0643/tillsyn/A 53298-2022 tillsynsbegäran.docx", "A 53298-2022")</f>
        <v/>
      </c>
      <c r="Y194">
        <f>HYPERLINK("https://klasma.github.io/Logging_0643/tillsynsmail/A 53298-2022 tillsynsbegäran mail.docx", "A 53298-2022")</f>
        <v/>
      </c>
    </row>
    <row r="195" ht="15" customHeight="1">
      <c r="A195" t="inlineStr">
        <is>
          <t>A 28452-2022</t>
        </is>
      </c>
      <c r="B195" s="1" t="n">
        <v>44747</v>
      </c>
      <c r="C195" s="1" t="n">
        <v>45962</v>
      </c>
      <c r="D195" t="inlineStr">
        <is>
          <t>JÖNKÖPINGS LÄN</t>
        </is>
      </c>
      <c r="E195" t="inlineStr">
        <is>
          <t>ANEBY</t>
        </is>
      </c>
      <c r="G195" t="n">
        <v>1.2</v>
      </c>
      <c r="H195" t="n">
        <v>0</v>
      </c>
      <c r="I195" t="n">
        <v>0</v>
      </c>
      <c r="J195" t="n">
        <v>1</v>
      </c>
      <c r="K195" t="n">
        <v>0</v>
      </c>
      <c r="L195" t="n">
        <v>0</v>
      </c>
      <c r="M195" t="n">
        <v>0</v>
      </c>
      <c r="N195" t="n">
        <v>0</v>
      </c>
      <c r="O195" t="n">
        <v>1</v>
      </c>
      <c r="P195" t="n">
        <v>0</v>
      </c>
      <c r="Q195" t="n">
        <v>1</v>
      </c>
      <c r="R195" s="2" t="inlineStr">
        <is>
          <t>Odontocerum albicorne</t>
        </is>
      </c>
      <c r="S195">
        <f>HYPERLINK("https://klasma.github.io/Logging_0604/artfynd/A 28452-2022 artfynd.xlsx", "A 28452-2022")</f>
        <v/>
      </c>
      <c r="T195">
        <f>HYPERLINK("https://klasma.github.io/Logging_0604/kartor/A 28452-2022 karta.png", "A 28452-2022")</f>
        <v/>
      </c>
      <c r="V195">
        <f>HYPERLINK("https://klasma.github.io/Logging_0604/klagomål/A 28452-2022 FSC-klagomål.docx", "A 28452-2022")</f>
        <v/>
      </c>
      <c r="W195">
        <f>HYPERLINK("https://klasma.github.io/Logging_0604/klagomålsmail/A 28452-2022 FSC-klagomål mail.docx", "A 28452-2022")</f>
        <v/>
      </c>
      <c r="X195">
        <f>HYPERLINK("https://klasma.github.io/Logging_0604/tillsyn/A 28452-2022 tillsynsbegäran.docx", "A 28452-2022")</f>
        <v/>
      </c>
      <c r="Y195">
        <f>HYPERLINK("https://klasma.github.io/Logging_0604/tillsynsmail/A 28452-2022 tillsynsbegäran mail.docx", "A 28452-2022")</f>
        <v/>
      </c>
    </row>
    <row r="196" ht="15" customHeight="1">
      <c r="A196" t="inlineStr">
        <is>
          <t>A 40417-2024</t>
        </is>
      </c>
      <c r="B196" s="1" t="n">
        <v>45555.45984953704</v>
      </c>
      <c r="C196" s="1" t="n">
        <v>45962</v>
      </c>
      <c r="D196" t="inlineStr">
        <is>
          <t>JÖNKÖPINGS LÄN</t>
        </is>
      </c>
      <c r="E196" t="inlineStr">
        <is>
          <t>VETLANDA</t>
        </is>
      </c>
      <c r="G196" t="n">
        <v>2.8</v>
      </c>
      <c r="H196" t="n">
        <v>0</v>
      </c>
      <c r="I196" t="n">
        <v>1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1</v>
      </c>
      <c r="R196" s="2" t="inlineStr">
        <is>
          <t>Tibast</t>
        </is>
      </c>
      <c r="S196">
        <f>HYPERLINK("https://klasma.github.io/Logging_0685/artfynd/A 40417-2024 artfynd.xlsx", "A 40417-2024")</f>
        <v/>
      </c>
      <c r="T196">
        <f>HYPERLINK("https://klasma.github.io/Logging_0685/kartor/A 40417-2024 karta.png", "A 40417-2024")</f>
        <v/>
      </c>
      <c r="V196">
        <f>HYPERLINK("https://klasma.github.io/Logging_0685/klagomål/A 40417-2024 FSC-klagomål.docx", "A 40417-2024")</f>
        <v/>
      </c>
      <c r="W196">
        <f>HYPERLINK("https://klasma.github.io/Logging_0685/klagomålsmail/A 40417-2024 FSC-klagomål mail.docx", "A 40417-2024")</f>
        <v/>
      </c>
      <c r="X196">
        <f>HYPERLINK("https://klasma.github.io/Logging_0685/tillsyn/A 40417-2024 tillsynsbegäran.docx", "A 40417-2024")</f>
        <v/>
      </c>
      <c r="Y196">
        <f>HYPERLINK("https://klasma.github.io/Logging_0685/tillsynsmail/A 40417-2024 tillsynsbegäran mail.docx", "A 40417-2024")</f>
        <v/>
      </c>
    </row>
    <row r="197" ht="15" customHeight="1">
      <c r="A197" t="inlineStr">
        <is>
          <t>A 43356-2023</t>
        </is>
      </c>
      <c r="B197" s="1" t="n">
        <v>45183</v>
      </c>
      <c r="C197" s="1" t="n">
        <v>45962</v>
      </c>
      <c r="D197" t="inlineStr">
        <is>
          <t>JÖNKÖPINGS LÄN</t>
        </is>
      </c>
      <c r="E197" t="inlineStr">
        <is>
          <t>EKSJÖ</t>
        </is>
      </c>
      <c r="G197" t="n">
        <v>1.4</v>
      </c>
      <c r="H197" t="n">
        <v>0</v>
      </c>
      <c r="I197" t="n">
        <v>0</v>
      </c>
      <c r="J197" t="n">
        <v>0</v>
      </c>
      <c r="K197" t="n">
        <v>0</v>
      </c>
      <c r="L197" t="n">
        <v>1</v>
      </c>
      <c r="M197" t="n">
        <v>0</v>
      </c>
      <c r="N197" t="n">
        <v>0</v>
      </c>
      <c r="O197" t="n">
        <v>1</v>
      </c>
      <c r="P197" t="n">
        <v>1</v>
      </c>
      <c r="Q197" t="n">
        <v>1</v>
      </c>
      <c r="R197" s="2" t="inlineStr">
        <is>
          <t>Ask</t>
        </is>
      </c>
      <c r="S197">
        <f>HYPERLINK("https://klasma.github.io/Logging_0686/artfynd/A 43356-2023 artfynd.xlsx", "A 43356-2023")</f>
        <v/>
      </c>
      <c r="T197">
        <f>HYPERLINK("https://klasma.github.io/Logging_0686/kartor/A 43356-2023 karta.png", "A 43356-2023")</f>
        <v/>
      </c>
      <c r="V197">
        <f>HYPERLINK("https://klasma.github.io/Logging_0686/klagomål/A 43356-2023 FSC-klagomål.docx", "A 43356-2023")</f>
        <v/>
      </c>
      <c r="W197">
        <f>HYPERLINK("https://klasma.github.io/Logging_0686/klagomålsmail/A 43356-2023 FSC-klagomål mail.docx", "A 43356-2023")</f>
        <v/>
      </c>
      <c r="X197">
        <f>HYPERLINK("https://klasma.github.io/Logging_0686/tillsyn/A 43356-2023 tillsynsbegäran.docx", "A 43356-2023")</f>
        <v/>
      </c>
      <c r="Y197">
        <f>HYPERLINK("https://klasma.github.io/Logging_0686/tillsynsmail/A 43356-2023 tillsynsbegäran mail.docx", "A 43356-2023")</f>
        <v/>
      </c>
    </row>
    <row r="198" ht="15" customHeight="1">
      <c r="A198" t="inlineStr">
        <is>
          <t>A 9986-2023</t>
        </is>
      </c>
      <c r="B198" s="1" t="n">
        <v>44979</v>
      </c>
      <c r="C198" s="1" t="n">
        <v>45962</v>
      </c>
      <c r="D198" t="inlineStr">
        <is>
          <t>JÖNKÖPINGS LÄN</t>
        </is>
      </c>
      <c r="E198" t="inlineStr">
        <is>
          <t>VÄRNAMO</t>
        </is>
      </c>
      <c r="G198" t="n">
        <v>4.1</v>
      </c>
      <c r="H198" t="n">
        <v>1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1</v>
      </c>
      <c r="R198" s="2" t="inlineStr">
        <is>
          <t>Hasselmus</t>
        </is>
      </c>
      <c r="S198">
        <f>HYPERLINK("https://klasma.github.io/Logging_0683/artfynd/A 9986-2023 artfynd.xlsx", "A 9986-2023")</f>
        <v/>
      </c>
      <c r="T198">
        <f>HYPERLINK("https://klasma.github.io/Logging_0683/kartor/A 9986-2023 karta.png", "A 9986-2023")</f>
        <v/>
      </c>
      <c r="V198">
        <f>HYPERLINK("https://klasma.github.io/Logging_0683/klagomål/A 9986-2023 FSC-klagomål.docx", "A 9986-2023")</f>
        <v/>
      </c>
      <c r="W198">
        <f>HYPERLINK("https://klasma.github.io/Logging_0683/klagomålsmail/A 9986-2023 FSC-klagomål mail.docx", "A 9986-2023")</f>
        <v/>
      </c>
      <c r="X198">
        <f>HYPERLINK("https://klasma.github.io/Logging_0683/tillsyn/A 9986-2023 tillsynsbegäran.docx", "A 9986-2023")</f>
        <v/>
      </c>
      <c r="Y198">
        <f>HYPERLINK("https://klasma.github.io/Logging_0683/tillsynsmail/A 9986-2023 tillsynsbegäran mail.docx", "A 9986-2023")</f>
        <v/>
      </c>
    </row>
    <row r="199" ht="15" customHeight="1">
      <c r="A199" t="inlineStr">
        <is>
          <t>A 40075-2023</t>
        </is>
      </c>
      <c r="B199" s="1" t="n">
        <v>45168</v>
      </c>
      <c r="C199" s="1" t="n">
        <v>45962</v>
      </c>
      <c r="D199" t="inlineStr">
        <is>
          <t>JÖNKÖPINGS LÄN</t>
        </is>
      </c>
      <c r="E199" t="inlineStr">
        <is>
          <t>SÄVSJÖ</t>
        </is>
      </c>
      <c r="G199" t="n">
        <v>1.5</v>
      </c>
      <c r="H199" t="n">
        <v>0</v>
      </c>
      <c r="I199" t="n">
        <v>0</v>
      </c>
      <c r="J199" t="n">
        <v>1</v>
      </c>
      <c r="K199" t="n">
        <v>0</v>
      </c>
      <c r="L199" t="n">
        <v>0</v>
      </c>
      <c r="M199" t="n">
        <v>0</v>
      </c>
      <c r="N199" t="n">
        <v>0</v>
      </c>
      <c r="O199" t="n">
        <v>1</v>
      </c>
      <c r="P199" t="n">
        <v>0</v>
      </c>
      <c r="Q199" t="n">
        <v>1</v>
      </c>
      <c r="R199" s="2" t="inlineStr">
        <is>
          <t>Solvända</t>
        </is>
      </c>
      <c r="S199">
        <f>HYPERLINK("https://klasma.github.io/Logging_0684/artfynd/A 40075-2023 artfynd.xlsx", "A 40075-2023")</f>
        <v/>
      </c>
      <c r="T199">
        <f>HYPERLINK("https://klasma.github.io/Logging_0684/kartor/A 40075-2023 karta.png", "A 40075-2023")</f>
        <v/>
      </c>
      <c r="V199">
        <f>HYPERLINK("https://klasma.github.io/Logging_0684/klagomål/A 40075-2023 FSC-klagomål.docx", "A 40075-2023")</f>
        <v/>
      </c>
      <c r="W199">
        <f>HYPERLINK("https://klasma.github.io/Logging_0684/klagomålsmail/A 40075-2023 FSC-klagomål mail.docx", "A 40075-2023")</f>
        <v/>
      </c>
      <c r="X199">
        <f>HYPERLINK("https://klasma.github.io/Logging_0684/tillsyn/A 40075-2023 tillsynsbegäran.docx", "A 40075-2023")</f>
        <v/>
      </c>
      <c r="Y199">
        <f>HYPERLINK("https://klasma.github.io/Logging_0684/tillsynsmail/A 40075-2023 tillsynsbegäran mail.docx", "A 40075-2023")</f>
        <v/>
      </c>
    </row>
    <row r="200" ht="15" customHeight="1">
      <c r="A200" t="inlineStr">
        <is>
          <t>A 17874-2024</t>
        </is>
      </c>
      <c r="B200" s="1" t="n">
        <v>45419.45423611111</v>
      </c>
      <c r="C200" s="1" t="n">
        <v>45962</v>
      </c>
      <c r="D200" t="inlineStr">
        <is>
          <t>JÖNKÖPINGS LÄN</t>
        </is>
      </c>
      <c r="E200" t="inlineStr">
        <is>
          <t>VETLANDA</t>
        </is>
      </c>
      <c r="G200" t="n">
        <v>3.8</v>
      </c>
      <c r="H200" t="n">
        <v>0</v>
      </c>
      <c r="I200" t="n">
        <v>1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1</v>
      </c>
      <c r="R200" s="2" t="inlineStr">
        <is>
          <t>Dvärghäxört</t>
        </is>
      </c>
      <c r="S200">
        <f>HYPERLINK("https://klasma.github.io/Logging_0685/artfynd/A 17874-2024 artfynd.xlsx", "A 17874-2024")</f>
        <v/>
      </c>
      <c r="T200">
        <f>HYPERLINK("https://klasma.github.io/Logging_0685/kartor/A 17874-2024 karta.png", "A 17874-2024")</f>
        <v/>
      </c>
      <c r="V200">
        <f>HYPERLINK("https://klasma.github.io/Logging_0685/klagomål/A 17874-2024 FSC-klagomål.docx", "A 17874-2024")</f>
        <v/>
      </c>
      <c r="W200">
        <f>HYPERLINK("https://klasma.github.io/Logging_0685/klagomålsmail/A 17874-2024 FSC-klagomål mail.docx", "A 17874-2024")</f>
        <v/>
      </c>
      <c r="X200">
        <f>HYPERLINK("https://klasma.github.io/Logging_0685/tillsyn/A 17874-2024 tillsynsbegäran.docx", "A 17874-2024")</f>
        <v/>
      </c>
      <c r="Y200">
        <f>HYPERLINK("https://klasma.github.io/Logging_0685/tillsynsmail/A 17874-2024 tillsynsbegäran mail.docx", "A 17874-2024")</f>
        <v/>
      </c>
    </row>
    <row r="201" ht="15" customHeight="1">
      <c r="A201" t="inlineStr">
        <is>
          <t>A 8677-2024</t>
        </is>
      </c>
      <c r="B201" s="1" t="n">
        <v>45352</v>
      </c>
      <c r="C201" s="1" t="n">
        <v>45962</v>
      </c>
      <c r="D201" t="inlineStr">
        <is>
          <t>JÖNKÖPINGS LÄN</t>
        </is>
      </c>
      <c r="E201" t="inlineStr">
        <is>
          <t>VETLANDA</t>
        </is>
      </c>
      <c r="G201" t="n">
        <v>2</v>
      </c>
      <c r="H201" t="n">
        <v>0</v>
      </c>
      <c r="I201" t="n">
        <v>0</v>
      </c>
      <c r="J201" t="n">
        <v>0</v>
      </c>
      <c r="K201" t="n">
        <v>0</v>
      </c>
      <c r="L201" t="n">
        <v>1</v>
      </c>
      <c r="M201" t="n">
        <v>0</v>
      </c>
      <c r="N201" t="n">
        <v>0</v>
      </c>
      <c r="O201" t="n">
        <v>1</v>
      </c>
      <c r="P201" t="n">
        <v>1</v>
      </c>
      <c r="Q201" t="n">
        <v>1</v>
      </c>
      <c r="R201" s="2" t="inlineStr">
        <is>
          <t>Ask</t>
        </is>
      </c>
      <c r="S201">
        <f>HYPERLINK("https://klasma.github.io/Logging_0685/artfynd/A 8677-2024 artfynd.xlsx", "A 8677-2024")</f>
        <v/>
      </c>
      <c r="T201">
        <f>HYPERLINK("https://klasma.github.io/Logging_0685/kartor/A 8677-2024 karta.png", "A 8677-2024")</f>
        <v/>
      </c>
      <c r="V201">
        <f>HYPERLINK("https://klasma.github.io/Logging_0685/klagomål/A 8677-2024 FSC-klagomål.docx", "A 8677-2024")</f>
        <v/>
      </c>
      <c r="W201">
        <f>HYPERLINK("https://klasma.github.io/Logging_0685/klagomålsmail/A 8677-2024 FSC-klagomål mail.docx", "A 8677-2024")</f>
        <v/>
      </c>
      <c r="X201">
        <f>HYPERLINK("https://klasma.github.io/Logging_0685/tillsyn/A 8677-2024 tillsynsbegäran.docx", "A 8677-2024")</f>
        <v/>
      </c>
      <c r="Y201">
        <f>HYPERLINK("https://klasma.github.io/Logging_0685/tillsynsmail/A 8677-2024 tillsynsbegäran mail.docx", "A 8677-2024")</f>
        <v/>
      </c>
    </row>
    <row r="202" ht="15" customHeight="1">
      <c r="A202" t="inlineStr">
        <is>
          <t>A 60658-2020</t>
        </is>
      </c>
      <c r="B202" s="1" t="n">
        <v>44153</v>
      </c>
      <c r="C202" s="1" t="n">
        <v>45962</v>
      </c>
      <c r="D202" t="inlineStr">
        <is>
          <t>JÖNKÖPINGS LÄN</t>
        </is>
      </c>
      <c r="E202" t="inlineStr">
        <is>
          <t>TRANÅS</t>
        </is>
      </c>
      <c r="G202" t="n">
        <v>2.1</v>
      </c>
      <c r="H202" t="n">
        <v>0</v>
      </c>
      <c r="I202" t="n">
        <v>1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1</v>
      </c>
      <c r="R202" s="2" t="inlineStr">
        <is>
          <t>Tibast</t>
        </is>
      </c>
      <c r="S202">
        <f>HYPERLINK("https://klasma.github.io/Logging_0687/artfynd/A 60658-2020 artfynd.xlsx", "A 60658-2020")</f>
        <v/>
      </c>
      <c r="T202">
        <f>HYPERLINK("https://klasma.github.io/Logging_0687/kartor/A 60658-2020 karta.png", "A 60658-2020")</f>
        <v/>
      </c>
      <c r="V202">
        <f>HYPERLINK("https://klasma.github.io/Logging_0687/klagomål/A 60658-2020 FSC-klagomål.docx", "A 60658-2020")</f>
        <v/>
      </c>
      <c r="W202">
        <f>HYPERLINK("https://klasma.github.io/Logging_0687/klagomålsmail/A 60658-2020 FSC-klagomål mail.docx", "A 60658-2020")</f>
        <v/>
      </c>
      <c r="X202">
        <f>HYPERLINK("https://klasma.github.io/Logging_0687/tillsyn/A 60658-2020 tillsynsbegäran.docx", "A 60658-2020")</f>
        <v/>
      </c>
      <c r="Y202">
        <f>HYPERLINK("https://klasma.github.io/Logging_0687/tillsynsmail/A 60658-2020 tillsynsbegäran mail.docx", "A 60658-2020")</f>
        <v/>
      </c>
    </row>
    <row r="203" ht="15" customHeight="1">
      <c r="A203" t="inlineStr">
        <is>
          <t>A 44654-2023</t>
        </is>
      </c>
      <c r="B203" s="1" t="n">
        <v>45189</v>
      </c>
      <c r="C203" s="1" t="n">
        <v>45962</v>
      </c>
      <c r="D203" t="inlineStr">
        <is>
          <t>JÖNKÖPINGS LÄN</t>
        </is>
      </c>
      <c r="E203" t="inlineStr">
        <is>
          <t>MULLSJÖ</t>
        </is>
      </c>
      <c r="F203" t="inlineStr">
        <is>
          <t>Kommuner</t>
        </is>
      </c>
      <c r="G203" t="n">
        <v>4.7</v>
      </c>
      <c r="H203" t="n">
        <v>0</v>
      </c>
      <c r="I203" t="n">
        <v>0</v>
      </c>
      <c r="J203" t="n">
        <v>1</v>
      </c>
      <c r="K203" t="n">
        <v>0</v>
      </c>
      <c r="L203" t="n">
        <v>0</v>
      </c>
      <c r="M203" t="n">
        <v>0</v>
      </c>
      <c r="N203" t="n">
        <v>0</v>
      </c>
      <c r="O203" t="n">
        <v>1</v>
      </c>
      <c r="P203" t="n">
        <v>0</v>
      </c>
      <c r="Q203" t="n">
        <v>1</v>
      </c>
      <c r="R203" s="2" t="inlineStr">
        <is>
          <t>Igelkott</t>
        </is>
      </c>
      <c r="S203">
        <f>HYPERLINK("https://klasma.github.io/Logging_0642/artfynd/A 44654-2023 artfynd.xlsx", "A 44654-2023")</f>
        <v/>
      </c>
      <c r="T203">
        <f>HYPERLINK("https://klasma.github.io/Logging_0642/kartor/A 44654-2023 karta.png", "A 44654-2023")</f>
        <v/>
      </c>
      <c r="V203">
        <f>HYPERLINK("https://klasma.github.io/Logging_0642/klagomål/A 44654-2023 FSC-klagomål.docx", "A 44654-2023")</f>
        <v/>
      </c>
      <c r="W203">
        <f>HYPERLINK("https://klasma.github.io/Logging_0642/klagomålsmail/A 44654-2023 FSC-klagomål mail.docx", "A 44654-2023")</f>
        <v/>
      </c>
      <c r="X203">
        <f>HYPERLINK("https://klasma.github.io/Logging_0642/tillsyn/A 44654-2023 tillsynsbegäran.docx", "A 44654-2023")</f>
        <v/>
      </c>
      <c r="Y203">
        <f>HYPERLINK("https://klasma.github.io/Logging_0642/tillsynsmail/A 44654-2023 tillsynsbegäran mail.docx", "A 44654-2023")</f>
        <v/>
      </c>
    </row>
    <row r="204" ht="15" customHeight="1">
      <c r="A204" t="inlineStr">
        <is>
          <t>A 23335-2025</t>
        </is>
      </c>
      <c r="B204" s="1" t="n">
        <v>45791.6516550926</v>
      </c>
      <c r="C204" s="1" t="n">
        <v>45962</v>
      </c>
      <c r="D204" t="inlineStr">
        <is>
          <t>JÖNKÖPINGS LÄN</t>
        </is>
      </c>
      <c r="E204" t="inlineStr">
        <is>
          <t>VETLANDA</t>
        </is>
      </c>
      <c r="G204" t="n">
        <v>0.5</v>
      </c>
      <c r="H204" t="n">
        <v>1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1</v>
      </c>
      <c r="R204" s="2" t="inlineStr">
        <is>
          <t>Kopparödla</t>
        </is>
      </c>
      <c r="S204">
        <f>HYPERLINK("https://klasma.github.io/Logging_0685/artfynd/A 23335-2025 artfynd.xlsx", "A 23335-2025")</f>
        <v/>
      </c>
      <c r="T204">
        <f>HYPERLINK("https://klasma.github.io/Logging_0685/kartor/A 23335-2025 karta.png", "A 23335-2025")</f>
        <v/>
      </c>
      <c r="V204">
        <f>HYPERLINK("https://klasma.github.io/Logging_0685/klagomål/A 23335-2025 FSC-klagomål.docx", "A 23335-2025")</f>
        <v/>
      </c>
      <c r="W204">
        <f>HYPERLINK("https://klasma.github.io/Logging_0685/klagomålsmail/A 23335-2025 FSC-klagomål mail.docx", "A 23335-2025")</f>
        <v/>
      </c>
      <c r="X204">
        <f>HYPERLINK("https://klasma.github.io/Logging_0685/tillsyn/A 23335-2025 tillsynsbegäran.docx", "A 23335-2025")</f>
        <v/>
      </c>
      <c r="Y204">
        <f>HYPERLINK("https://klasma.github.io/Logging_0685/tillsynsmail/A 23335-2025 tillsynsbegäran mail.docx", "A 23335-2025")</f>
        <v/>
      </c>
    </row>
    <row r="205" ht="15" customHeight="1">
      <c r="A205" t="inlineStr">
        <is>
          <t>A 48033-2023</t>
        </is>
      </c>
      <c r="B205" s="1" t="n">
        <v>45204</v>
      </c>
      <c r="C205" s="1" t="n">
        <v>45962</v>
      </c>
      <c r="D205" t="inlineStr">
        <is>
          <t>JÖNKÖPINGS LÄN</t>
        </is>
      </c>
      <c r="E205" t="inlineStr">
        <is>
          <t>EKSJÖ</t>
        </is>
      </c>
      <c r="F205" t="inlineStr">
        <is>
          <t>Sveaskog</t>
        </is>
      </c>
      <c r="G205" t="n">
        <v>2</v>
      </c>
      <c r="H205" t="n">
        <v>0</v>
      </c>
      <c r="I205" t="n">
        <v>0</v>
      </c>
      <c r="J205" t="n">
        <v>0</v>
      </c>
      <c r="K205" t="n">
        <v>0</v>
      </c>
      <c r="L205" t="n">
        <v>1</v>
      </c>
      <c r="M205" t="n">
        <v>0</v>
      </c>
      <c r="N205" t="n">
        <v>0</v>
      </c>
      <c r="O205" t="n">
        <v>1</v>
      </c>
      <c r="P205" t="n">
        <v>1</v>
      </c>
      <c r="Q205" t="n">
        <v>1</v>
      </c>
      <c r="R205" s="2" t="inlineStr">
        <is>
          <t>Ask</t>
        </is>
      </c>
      <c r="S205">
        <f>HYPERLINK("https://klasma.github.io/Logging_0686/artfynd/A 48033-2023 artfynd.xlsx", "A 48033-2023")</f>
        <v/>
      </c>
      <c r="T205">
        <f>HYPERLINK("https://klasma.github.io/Logging_0686/kartor/A 48033-2023 karta.png", "A 48033-2023")</f>
        <v/>
      </c>
      <c r="V205">
        <f>HYPERLINK("https://klasma.github.io/Logging_0686/klagomål/A 48033-2023 FSC-klagomål.docx", "A 48033-2023")</f>
        <v/>
      </c>
      <c r="W205">
        <f>HYPERLINK("https://klasma.github.io/Logging_0686/klagomålsmail/A 48033-2023 FSC-klagomål mail.docx", "A 48033-2023")</f>
        <v/>
      </c>
      <c r="X205">
        <f>HYPERLINK("https://klasma.github.io/Logging_0686/tillsyn/A 48033-2023 tillsynsbegäran.docx", "A 48033-2023")</f>
        <v/>
      </c>
      <c r="Y205">
        <f>HYPERLINK("https://klasma.github.io/Logging_0686/tillsynsmail/A 48033-2023 tillsynsbegäran mail.docx", "A 48033-2023")</f>
        <v/>
      </c>
    </row>
    <row r="206" ht="15" customHeight="1">
      <c r="A206" t="inlineStr">
        <is>
          <t>A 34909-2024</t>
        </is>
      </c>
      <c r="B206" s="1" t="n">
        <v>45527.42421296296</v>
      </c>
      <c r="C206" s="1" t="n">
        <v>45962</v>
      </c>
      <c r="D206" t="inlineStr">
        <is>
          <t>JÖNKÖPINGS LÄN</t>
        </is>
      </c>
      <c r="E206" t="inlineStr">
        <is>
          <t>NÄSSJÖ</t>
        </is>
      </c>
      <c r="G206" t="n">
        <v>5.8</v>
      </c>
      <c r="H206" t="n">
        <v>0</v>
      </c>
      <c r="I206" t="n">
        <v>0</v>
      </c>
      <c r="J206" t="n">
        <v>0</v>
      </c>
      <c r="K206" t="n">
        <v>0</v>
      </c>
      <c r="L206" t="n">
        <v>1</v>
      </c>
      <c r="M206" t="n">
        <v>0</v>
      </c>
      <c r="N206" t="n">
        <v>0</v>
      </c>
      <c r="O206" t="n">
        <v>1</v>
      </c>
      <c r="P206" t="n">
        <v>1</v>
      </c>
      <c r="Q206" t="n">
        <v>1</v>
      </c>
      <c r="R206" s="2" t="inlineStr">
        <is>
          <t>Ask</t>
        </is>
      </c>
      <c r="S206">
        <f>HYPERLINK("https://klasma.github.io/Logging_0682/artfynd/A 34909-2024 artfynd.xlsx", "A 34909-2024")</f>
        <v/>
      </c>
      <c r="T206">
        <f>HYPERLINK("https://klasma.github.io/Logging_0682/kartor/A 34909-2024 karta.png", "A 34909-2024")</f>
        <v/>
      </c>
      <c r="V206">
        <f>HYPERLINK("https://klasma.github.io/Logging_0682/klagomål/A 34909-2024 FSC-klagomål.docx", "A 34909-2024")</f>
        <v/>
      </c>
      <c r="W206">
        <f>HYPERLINK("https://klasma.github.io/Logging_0682/klagomålsmail/A 34909-2024 FSC-klagomål mail.docx", "A 34909-2024")</f>
        <v/>
      </c>
      <c r="X206">
        <f>HYPERLINK("https://klasma.github.io/Logging_0682/tillsyn/A 34909-2024 tillsynsbegäran.docx", "A 34909-2024")</f>
        <v/>
      </c>
      <c r="Y206">
        <f>HYPERLINK("https://klasma.github.io/Logging_0682/tillsynsmail/A 34909-2024 tillsynsbegäran mail.docx", "A 34909-2024")</f>
        <v/>
      </c>
    </row>
    <row r="207" ht="15" customHeight="1">
      <c r="A207" t="inlineStr">
        <is>
          <t>A 25653-2024</t>
        </is>
      </c>
      <c r="B207" s="1" t="n">
        <v>45463.6832175926</v>
      </c>
      <c r="C207" s="1" t="n">
        <v>45962</v>
      </c>
      <c r="D207" t="inlineStr">
        <is>
          <t>JÖNKÖPINGS LÄN</t>
        </is>
      </c>
      <c r="E207" t="inlineStr">
        <is>
          <t>VAGGERYD</t>
        </is>
      </c>
      <c r="G207" t="n">
        <v>13.3</v>
      </c>
      <c r="H207" t="n">
        <v>0</v>
      </c>
      <c r="I207" t="n">
        <v>1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1</v>
      </c>
      <c r="R207" s="2" t="inlineStr">
        <is>
          <t>Blåmossa</t>
        </is>
      </c>
      <c r="S207">
        <f>HYPERLINK("https://klasma.github.io/Logging_0665/artfynd/A 25653-2024 artfynd.xlsx", "A 25653-2024")</f>
        <v/>
      </c>
      <c r="T207">
        <f>HYPERLINK("https://klasma.github.io/Logging_0665/kartor/A 25653-2024 karta.png", "A 25653-2024")</f>
        <v/>
      </c>
      <c r="V207">
        <f>HYPERLINK("https://klasma.github.io/Logging_0665/klagomål/A 25653-2024 FSC-klagomål.docx", "A 25653-2024")</f>
        <v/>
      </c>
      <c r="W207">
        <f>HYPERLINK("https://klasma.github.io/Logging_0665/klagomålsmail/A 25653-2024 FSC-klagomål mail.docx", "A 25653-2024")</f>
        <v/>
      </c>
      <c r="X207">
        <f>HYPERLINK("https://klasma.github.io/Logging_0665/tillsyn/A 25653-2024 tillsynsbegäran.docx", "A 25653-2024")</f>
        <v/>
      </c>
      <c r="Y207">
        <f>HYPERLINK("https://klasma.github.io/Logging_0665/tillsynsmail/A 25653-2024 tillsynsbegäran mail.docx", "A 25653-2024")</f>
        <v/>
      </c>
    </row>
    <row r="208" ht="15" customHeight="1">
      <c r="A208" t="inlineStr">
        <is>
          <t>A 58644-2024</t>
        </is>
      </c>
      <c r="B208" s="1" t="n">
        <v>45635.58991898148</v>
      </c>
      <c r="C208" s="1" t="n">
        <v>45962</v>
      </c>
      <c r="D208" t="inlineStr">
        <is>
          <t>JÖNKÖPINGS LÄN</t>
        </is>
      </c>
      <c r="E208" t="inlineStr">
        <is>
          <t>HABO</t>
        </is>
      </c>
      <c r="G208" t="n">
        <v>4.5</v>
      </c>
      <c r="H208" t="n">
        <v>0</v>
      </c>
      <c r="I208" t="n">
        <v>1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1</v>
      </c>
      <c r="R208" s="2" t="inlineStr">
        <is>
          <t>Dropptaggsvamp</t>
        </is>
      </c>
      <c r="S208">
        <f>HYPERLINK("https://klasma.github.io/Logging_0643/artfynd/A 58644-2024 artfynd.xlsx", "A 58644-2024")</f>
        <v/>
      </c>
      <c r="T208">
        <f>HYPERLINK("https://klasma.github.io/Logging_0643/kartor/A 58644-2024 karta.png", "A 58644-2024")</f>
        <v/>
      </c>
      <c r="V208">
        <f>HYPERLINK("https://klasma.github.io/Logging_0643/klagomål/A 58644-2024 FSC-klagomål.docx", "A 58644-2024")</f>
        <v/>
      </c>
      <c r="W208">
        <f>HYPERLINK("https://klasma.github.io/Logging_0643/klagomålsmail/A 58644-2024 FSC-klagomål mail.docx", "A 58644-2024")</f>
        <v/>
      </c>
      <c r="X208">
        <f>HYPERLINK("https://klasma.github.io/Logging_0643/tillsyn/A 58644-2024 tillsynsbegäran.docx", "A 58644-2024")</f>
        <v/>
      </c>
      <c r="Y208">
        <f>HYPERLINK("https://klasma.github.io/Logging_0643/tillsynsmail/A 58644-2024 tillsynsbegäran mail.docx", "A 58644-2024")</f>
        <v/>
      </c>
    </row>
    <row r="209" ht="15" customHeight="1">
      <c r="A209" t="inlineStr">
        <is>
          <t>A 23598-2025</t>
        </is>
      </c>
      <c r="B209" s="1" t="n">
        <v>45792.64822916667</v>
      </c>
      <c r="C209" s="1" t="n">
        <v>45962</v>
      </c>
      <c r="D209" t="inlineStr">
        <is>
          <t>JÖNKÖPINGS LÄN</t>
        </is>
      </c>
      <c r="E209" t="inlineStr">
        <is>
          <t>ANEBY</t>
        </is>
      </c>
      <c r="G209" t="n">
        <v>1.9</v>
      </c>
      <c r="H209" t="n">
        <v>0</v>
      </c>
      <c r="I209" t="n">
        <v>1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1</v>
      </c>
      <c r="R209" s="2" t="inlineStr">
        <is>
          <t>Björksplintborre</t>
        </is>
      </c>
      <c r="S209">
        <f>HYPERLINK("https://klasma.github.io/Logging_0604/artfynd/A 23598-2025 artfynd.xlsx", "A 23598-2025")</f>
        <v/>
      </c>
      <c r="T209">
        <f>HYPERLINK("https://klasma.github.io/Logging_0604/kartor/A 23598-2025 karta.png", "A 23598-2025")</f>
        <v/>
      </c>
      <c r="V209">
        <f>HYPERLINK("https://klasma.github.io/Logging_0604/klagomål/A 23598-2025 FSC-klagomål.docx", "A 23598-2025")</f>
        <v/>
      </c>
      <c r="W209">
        <f>HYPERLINK("https://klasma.github.io/Logging_0604/klagomålsmail/A 23598-2025 FSC-klagomål mail.docx", "A 23598-2025")</f>
        <v/>
      </c>
      <c r="X209">
        <f>HYPERLINK("https://klasma.github.io/Logging_0604/tillsyn/A 23598-2025 tillsynsbegäran.docx", "A 23598-2025")</f>
        <v/>
      </c>
      <c r="Y209">
        <f>HYPERLINK("https://klasma.github.io/Logging_0604/tillsynsmail/A 23598-2025 tillsynsbegäran mail.docx", "A 23598-2025")</f>
        <v/>
      </c>
    </row>
    <row r="210" ht="15" customHeight="1">
      <c r="A210" t="inlineStr">
        <is>
          <t>A 38338-2023</t>
        </is>
      </c>
      <c r="B210" s="1" t="n">
        <v>45161</v>
      </c>
      <c r="C210" s="1" t="n">
        <v>45962</v>
      </c>
      <c r="D210" t="inlineStr">
        <is>
          <t>JÖNKÖPINGS LÄN</t>
        </is>
      </c>
      <c r="E210" t="inlineStr">
        <is>
          <t>ANEBY</t>
        </is>
      </c>
      <c r="G210" t="n">
        <v>1.4</v>
      </c>
      <c r="H210" t="n">
        <v>1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1</v>
      </c>
      <c r="R210" s="2" t="inlineStr">
        <is>
          <t>Grönvit nattviol</t>
        </is>
      </c>
      <c r="S210">
        <f>HYPERLINK("https://klasma.github.io/Logging_0604/artfynd/A 38338-2023 artfynd.xlsx", "A 38338-2023")</f>
        <v/>
      </c>
      <c r="T210">
        <f>HYPERLINK("https://klasma.github.io/Logging_0604/kartor/A 38338-2023 karta.png", "A 38338-2023")</f>
        <v/>
      </c>
      <c r="V210">
        <f>HYPERLINK("https://klasma.github.io/Logging_0604/klagomål/A 38338-2023 FSC-klagomål.docx", "A 38338-2023")</f>
        <v/>
      </c>
      <c r="W210">
        <f>HYPERLINK("https://klasma.github.io/Logging_0604/klagomålsmail/A 38338-2023 FSC-klagomål mail.docx", "A 38338-2023")</f>
        <v/>
      </c>
      <c r="X210">
        <f>HYPERLINK("https://klasma.github.io/Logging_0604/tillsyn/A 38338-2023 tillsynsbegäran.docx", "A 38338-2023")</f>
        <v/>
      </c>
      <c r="Y210">
        <f>HYPERLINK("https://klasma.github.io/Logging_0604/tillsynsmail/A 38338-2023 tillsynsbegäran mail.docx", "A 38338-2023")</f>
        <v/>
      </c>
    </row>
    <row r="211" ht="15" customHeight="1">
      <c r="A211" t="inlineStr">
        <is>
          <t>A 17100-2025</t>
        </is>
      </c>
      <c r="B211" s="1" t="n">
        <v>45755.66</v>
      </c>
      <c r="C211" s="1" t="n">
        <v>45962</v>
      </c>
      <c r="D211" t="inlineStr">
        <is>
          <t>JÖNKÖPINGS LÄN</t>
        </is>
      </c>
      <c r="E211" t="inlineStr">
        <is>
          <t>VETLANDA</t>
        </is>
      </c>
      <c r="G211" t="n">
        <v>1</v>
      </c>
      <c r="H211" t="n">
        <v>0</v>
      </c>
      <c r="I211" t="n">
        <v>0</v>
      </c>
      <c r="J211" t="n">
        <v>1</v>
      </c>
      <c r="K211" t="n">
        <v>0</v>
      </c>
      <c r="L211" t="n">
        <v>0</v>
      </c>
      <c r="M211" t="n">
        <v>0</v>
      </c>
      <c r="N211" t="n">
        <v>0</v>
      </c>
      <c r="O211" t="n">
        <v>1</v>
      </c>
      <c r="P211" t="n">
        <v>0</v>
      </c>
      <c r="Q211" t="n">
        <v>1</v>
      </c>
      <c r="R211" s="2" t="inlineStr">
        <is>
          <t>Åkerkulla</t>
        </is>
      </c>
      <c r="S211">
        <f>HYPERLINK("https://klasma.github.io/Logging_0685/artfynd/A 17100-2025 artfynd.xlsx", "A 17100-2025")</f>
        <v/>
      </c>
      <c r="T211">
        <f>HYPERLINK("https://klasma.github.io/Logging_0685/kartor/A 17100-2025 karta.png", "A 17100-2025")</f>
        <v/>
      </c>
      <c r="V211">
        <f>HYPERLINK("https://klasma.github.io/Logging_0685/klagomål/A 17100-2025 FSC-klagomål.docx", "A 17100-2025")</f>
        <v/>
      </c>
      <c r="W211">
        <f>HYPERLINK("https://klasma.github.io/Logging_0685/klagomålsmail/A 17100-2025 FSC-klagomål mail.docx", "A 17100-2025")</f>
        <v/>
      </c>
      <c r="X211">
        <f>HYPERLINK("https://klasma.github.io/Logging_0685/tillsyn/A 17100-2025 tillsynsbegäran.docx", "A 17100-2025")</f>
        <v/>
      </c>
      <c r="Y211">
        <f>HYPERLINK("https://klasma.github.io/Logging_0685/tillsynsmail/A 17100-2025 tillsynsbegäran mail.docx", "A 17100-2025")</f>
        <v/>
      </c>
    </row>
    <row r="212" ht="15" customHeight="1">
      <c r="A212" t="inlineStr">
        <is>
          <t>A 21591-2025</t>
        </is>
      </c>
      <c r="B212" s="1" t="n">
        <v>45783</v>
      </c>
      <c r="C212" s="1" t="n">
        <v>45962</v>
      </c>
      <c r="D212" t="inlineStr">
        <is>
          <t>JÖNKÖPINGS LÄN</t>
        </is>
      </c>
      <c r="E212" t="inlineStr">
        <is>
          <t>JÖNKÖPING</t>
        </is>
      </c>
      <c r="G212" t="n">
        <v>4.6</v>
      </c>
      <c r="H212" t="n">
        <v>1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1</v>
      </c>
      <c r="R212" s="2" t="inlineStr">
        <is>
          <t>Nattviol</t>
        </is>
      </c>
      <c r="S212">
        <f>HYPERLINK("https://klasma.github.io/Logging_0680/artfynd/A 21591-2025 artfynd.xlsx", "A 21591-2025")</f>
        <v/>
      </c>
      <c r="T212">
        <f>HYPERLINK("https://klasma.github.io/Logging_0680/kartor/A 21591-2025 karta.png", "A 21591-2025")</f>
        <v/>
      </c>
      <c r="V212">
        <f>HYPERLINK("https://klasma.github.io/Logging_0680/klagomål/A 21591-2025 FSC-klagomål.docx", "A 21591-2025")</f>
        <v/>
      </c>
      <c r="W212">
        <f>HYPERLINK("https://klasma.github.io/Logging_0680/klagomålsmail/A 21591-2025 FSC-klagomål mail.docx", "A 21591-2025")</f>
        <v/>
      </c>
      <c r="X212">
        <f>HYPERLINK("https://klasma.github.io/Logging_0680/tillsyn/A 21591-2025 tillsynsbegäran.docx", "A 21591-2025")</f>
        <v/>
      </c>
      <c r="Y212">
        <f>HYPERLINK("https://klasma.github.io/Logging_0680/tillsynsmail/A 21591-2025 tillsynsbegäran mail.docx", "A 21591-2025")</f>
        <v/>
      </c>
    </row>
    <row r="213" ht="15" customHeight="1">
      <c r="A213" t="inlineStr">
        <is>
          <t>A 1244-2024</t>
        </is>
      </c>
      <c r="B213" s="1" t="n">
        <v>45302</v>
      </c>
      <c r="C213" s="1" t="n">
        <v>45962</v>
      </c>
      <c r="D213" t="inlineStr">
        <is>
          <t>JÖNKÖPINGS LÄN</t>
        </is>
      </c>
      <c r="E213" t="inlineStr">
        <is>
          <t>JÖNKÖPING</t>
        </is>
      </c>
      <c r="G213" t="n">
        <v>1.4</v>
      </c>
      <c r="H213" t="n">
        <v>0</v>
      </c>
      <c r="I213" t="n">
        <v>0</v>
      </c>
      <c r="J213" t="n">
        <v>1</v>
      </c>
      <c r="K213" t="n">
        <v>0</v>
      </c>
      <c r="L213" t="n">
        <v>0</v>
      </c>
      <c r="M213" t="n">
        <v>0</v>
      </c>
      <c r="N213" t="n">
        <v>0</v>
      </c>
      <c r="O213" t="n">
        <v>1</v>
      </c>
      <c r="P213" t="n">
        <v>0</v>
      </c>
      <c r="Q213" t="n">
        <v>1</v>
      </c>
      <c r="R213" s="2" t="inlineStr">
        <is>
          <t>Stickelfrö</t>
        </is>
      </c>
      <c r="S213">
        <f>HYPERLINK("https://klasma.github.io/Logging_0680/artfynd/A 1244-2024 artfynd.xlsx", "A 1244-2024")</f>
        <v/>
      </c>
      <c r="T213">
        <f>HYPERLINK("https://klasma.github.io/Logging_0680/kartor/A 1244-2024 karta.png", "A 1244-2024")</f>
        <v/>
      </c>
      <c r="V213">
        <f>HYPERLINK("https://klasma.github.io/Logging_0680/klagomål/A 1244-2024 FSC-klagomål.docx", "A 1244-2024")</f>
        <v/>
      </c>
      <c r="W213">
        <f>HYPERLINK("https://klasma.github.io/Logging_0680/klagomålsmail/A 1244-2024 FSC-klagomål mail.docx", "A 1244-2024")</f>
        <v/>
      </c>
      <c r="X213">
        <f>HYPERLINK("https://klasma.github.io/Logging_0680/tillsyn/A 1244-2024 tillsynsbegäran.docx", "A 1244-2024")</f>
        <v/>
      </c>
      <c r="Y213">
        <f>HYPERLINK("https://klasma.github.io/Logging_0680/tillsynsmail/A 1244-2024 tillsynsbegäran mail.docx", "A 1244-2024")</f>
        <v/>
      </c>
    </row>
    <row r="214" ht="15" customHeight="1">
      <c r="A214" t="inlineStr">
        <is>
          <t>A 1512-2021</t>
        </is>
      </c>
      <c r="B214" s="1" t="n">
        <v>44209</v>
      </c>
      <c r="C214" s="1" t="n">
        <v>45962</v>
      </c>
      <c r="D214" t="inlineStr">
        <is>
          <t>JÖNKÖPINGS LÄN</t>
        </is>
      </c>
      <c r="E214" t="inlineStr">
        <is>
          <t>NÄSSJÖ</t>
        </is>
      </c>
      <c r="F214" t="inlineStr">
        <is>
          <t>Sveaskog</t>
        </is>
      </c>
      <c r="G214" t="n">
        <v>2.5</v>
      </c>
      <c r="H214" t="n">
        <v>0</v>
      </c>
      <c r="I214" t="n">
        <v>0</v>
      </c>
      <c r="J214" t="n">
        <v>1</v>
      </c>
      <c r="K214" t="n">
        <v>0</v>
      </c>
      <c r="L214" t="n">
        <v>0</v>
      </c>
      <c r="M214" t="n">
        <v>0</v>
      </c>
      <c r="N214" t="n">
        <v>0</v>
      </c>
      <c r="O214" t="n">
        <v>1</v>
      </c>
      <c r="P214" t="n">
        <v>0</v>
      </c>
      <c r="Q214" t="n">
        <v>1</v>
      </c>
      <c r="R214" s="2" t="inlineStr">
        <is>
          <t>Månlåsbräken</t>
        </is>
      </c>
      <c r="S214">
        <f>HYPERLINK("https://klasma.github.io/Logging_0682/artfynd/A 1512-2021 artfynd.xlsx", "A 1512-2021")</f>
        <v/>
      </c>
      <c r="T214">
        <f>HYPERLINK("https://klasma.github.io/Logging_0682/kartor/A 1512-2021 karta.png", "A 1512-2021")</f>
        <v/>
      </c>
      <c r="V214">
        <f>HYPERLINK("https://klasma.github.io/Logging_0682/klagomål/A 1512-2021 FSC-klagomål.docx", "A 1512-2021")</f>
        <v/>
      </c>
      <c r="W214">
        <f>HYPERLINK("https://klasma.github.io/Logging_0682/klagomålsmail/A 1512-2021 FSC-klagomål mail.docx", "A 1512-2021")</f>
        <v/>
      </c>
      <c r="X214">
        <f>HYPERLINK("https://klasma.github.io/Logging_0682/tillsyn/A 1512-2021 tillsynsbegäran.docx", "A 1512-2021")</f>
        <v/>
      </c>
      <c r="Y214">
        <f>HYPERLINK("https://klasma.github.io/Logging_0682/tillsynsmail/A 1512-2021 tillsynsbegäran mail.docx", "A 1512-2021")</f>
        <v/>
      </c>
    </row>
    <row r="215" ht="15" customHeight="1">
      <c r="A215" t="inlineStr">
        <is>
          <t>A 10046-2025</t>
        </is>
      </c>
      <c r="B215" s="1" t="n">
        <v>45719</v>
      </c>
      <c r="C215" s="1" t="n">
        <v>45962</v>
      </c>
      <c r="D215" t="inlineStr">
        <is>
          <t>JÖNKÖPINGS LÄN</t>
        </is>
      </c>
      <c r="E215" t="inlineStr">
        <is>
          <t>SÄVSJÖ</t>
        </is>
      </c>
      <c r="G215" t="n">
        <v>8.6</v>
      </c>
      <c r="H215" t="n">
        <v>1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1</v>
      </c>
      <c r="R215" s="2" t="inlineStr">
        <is>
          <t>Blåsippa</t>
        </is>
      </c>
      <c r="S215">
        <f>HYPERLINK("https://klasma.github.io/Logging_0684/artfynd/A 10046-2025 artfynd.xlsx", "A 10046-2025")</f>
        <v/>
      </c>
      <c r="T215">
        <f>HYPERLINK("https://klasma.github.io/Logging_0684/kartor/A 10046-2025 karta.png", "A 10046-2025")</f>
        <v/>
      </c>
      <c r="V215">
        <f>HYPERLINK("https://klasma.github.io/Logging_0684/klagomål/A 10046-2025 FSC-klagomål.docx", "A 10046-2025")</f>
        <v/>
      </c>
      <c r="W215">
        <f>HYPERLINK("https://klasma.github.io/Logging_0684/klagomålsmail/A 10046-2025 FSC-klagomål mail.docx", "A 10046-2025")</f>
        <v/>
      </c>
      <c r="X215">
        <f>HYPERLINK("https://klasma.github.io/Logging_0684/tillsyn/A 10046-2025 tillsynsbegäran.docx", "A 10046-2025")</f>
        <v/>
      </c>
      <c r="Y215">
        <f>HYPERLINK("https://klasma.github.io/Logging_0684/tillsynsmail/A 10046-2025 tillsynsbegäran mail.docx", "A 10046-2025")</f>
        <v/>
      </c>
    </row>
    <row r="216" ht="15" customHeight="1">
      <c r="A216" t="inlineStr">
        <is>
          <t>A 45507-2024</t>
        </is>
      </c>
      <c r="B216" s="1" t="n">
        <v>45578</v>
      </c>
      <c r="C216" s="1" t="n">
        <v>45962</v>
      </c>
      <c r="D216" t="inlineStr">
        <is>
          <t>JÖNKÖPINGS LÄN</t>
        </is>
      </c>
      <c r="E216" t="inlineStr">
        <is>
          <t>MULLSJÖ</t>
        </is>
      </c>
      <c r="G216" t="n">
        <v>1.7</v>
      </c>
      <c r="H216" t="n">
        <v>1</v>
      </c>
      <c r="I216" t="n">
        <v>0</v>
      </c>
      <c r="J216" t="n">
        <v>0</v>
      </c>
      <c r="K216" t="n">
        <v>1</v>
      </c>
      <c r="L216" t="n">
        <v>0</v>
      </c>
      <c r="M216" t="n">
        <v>0</v>
      </c>
      <c r="N216" t="n">
        <v>0</v>
      </c>
      <c r="O216" t="n">
        <v>1</v>
      </c>
      <c r="P216" t="n">
        <v>1</v>
      </c>
      <c r="Q216" t="n">
        <v>1</v>
      </c>
      <c r="R216" s="2" t="inlineStr">
        <is>
          <t>Knärot</t>
        </is>
      </c>
      <c r="S216">
        <f>HYPERLINK("https://klasma.github.io/Logging_0642/artfynd/A 45507-2024 artfynd.xlsx", "A 45507-2024")</f>
        <v/>
      </c>
      <c r="T216">
        <f>HYPERLINK("https://klasma.github.io/Logging_0642/kartor/A 45507-2024 karta.png", "A 45507-2024")</f>
        <v/>
      </c>
      <c r="U216">
        <f>HYPERLINK("https://klasma.github.io/Logging_0642/knärot/A 45507-2024 karta knärot.png", "A 45507-2024")</f>
        <v/>
      </c>
      <c r="V216">
        <f>HYPERLINK("https://klasma.github.io/Logging_0642/klagomål/A 45507-2024 FSC-klagomål.docx", "A 45507-2024")</f>
        <v/>
      </c>
      <c r="W216">
        <f>HYPERLINK("https://klasma.github.io/Logging_0642/klagomålsmail/A 45507-2024 FSC-klagomål mail.docx", "A 45507-2024")</f>
        <v/>
      </c>
      <c r="X216">
        <f>HYPERLINK("https://klasma.github.io/Logging_0642/tillsyn/A 45507-2024 tillsynsbegäran.docx", "A 45507-2024")</f>
        <v/>
      </c>
      <c r="Y216">
        <f>HYPERLINK("https://klasma.github.io/Logging_0642/tillsynsmail/A 45507-2024 tillsynsbegäran mail.docx", "A 45507-2024")</f>
        <v/>
      </c>
    </row>
    <row r="217" ht="15" customHeight="1">
      <c r="A217" t="inlineStr">
        <is>
          <t>A 59808-2024</t>
        </is>
      </c>
      <c r="B217" s="1" t="n">
        <v>45639.60362268519</v>
      </c>
      <c r="C217" s="1" t="n">
        <v>45962</v>
      </c>
      <c r="D217" t="inlineStr">
        <is>
          <t>JÖNKÖPINGS LÄN</t>
        </is>
      </c>
      <c r="E217" t="inlineStr">
        <is>
          <t>VAGGERYD</t>
        </is>
      </c>
      <c r="F217" t="inlineStr">
        <is>
          <t>Sveaskog</t>
        </is>
      </c>
      <c r="G217" t="n">
        <v>1.6</v>
      </c>
      <c r="H217" t="n">
        <v>1</v>
      </c>
      <c r="I217" t="n">
        <v>0</v>
      </c>
      <c r="J217" t="n">
        <v>1</v>
      </c>
      <c r="K217" t="n">
        <v>0</v>
      </c>
      <c r="L217" t="n">
        <v>0</v>
      </c>
      <c r="M217" t="n">
        <v>0</v>
      </c>
      <c r="N217" t="n">
        <v>0</v>
      </c>
      <c r="O217" t="n">
        <v>1</v>
      </c>
      <c r="P217" t="n">
        <v>0</v>
      </c>
      <c r="Q217" t="n">
        <v>1</v>
      </c>
      <c r="R217" s="2" t="inlineStr">
        <is>
          <t>Strandlummer</t>
        </is>
      </c>
      <c r="S217">
        <f>HYPERLINK("https://klasma.github.io/Logging_0665/artfynd/A 59808-2024 artfynd.xlsx", "A 59808-2024")</f>
        <v/>
      </c>
      <c r="T217">
        <f>HYPERLINK("https://klasma.github.io/Logging_0665/kartor/A 59808-2024 karta.png", "A 59808-2024")</f>
        <v/>
      </c>
      <c r="V217">
        <f>HYPERLINK("https://klasma.github.io/Logging_0665/klagomål/A 59808-2024 FSC-klagomål.docx", "A 59808-2024")</f>
        <v/>
      </c>
      <c r="W217">
        <f>HYPERLINK("https://klasma.github.io/Logging_0665/klagomålsmail/A 59808-2024 FSC-klagomål mail.docx", "A 59808-2024")</f>
        <v/>
      </c>
      <c r="X217">
        <f>HYPERLINK("https://klasma.github.io/Logging_0665/tillsyn/A 59808-2024 tillsynsbegäran.docx", "A 59808-2024")</f>
        <v/>
      </c>
      <c r="Y217">
        <f>HYPERLINK("https://klasma.github.io/Logging_0665/tillsynsmail/A 59808-2024 tillsynsbegäran mail.docx", "A 59808-2024")</f>
        <v/>
      </c>
    </row>
    <row r="218" ht="15" customHeight="1">
      <c r="A218" t="inlineStr">
        <is>
          <t>A 14713-2025</t>
        </is>
      </c>
      <c r="B218" s="1" t="n">
        <v>45742.61011574074</v>
      </c>
      <c r="C218" s="1" t="n">
        <v>45962</v>
      </c>
      <c r="D218" t="inlineStr">
        <is>
          <t>JÖNKÖPINGS LÄN</t>
        </is>
      </c>
      <c r="E218" t="inlineStr">
        <is>
          <t>HABO</t>
        </is>
      </c>
      <c r="G218" t="n">
        <v>5</v>
      </c>
      <c r="H218" t="n">
        <v>1</v>
      </c>
      <c r="I218" t="n">
        <v>0</v>
      </c>
      <c r="J218" t="n">
        <v>0</v>
      </c>
      <c r="K218" t="n">
        <v>1</v>
      </c>
      <c r="L218" t="n">
        <v>0</v>
      </c>
      <c r="M218" t="n">
        <v>0</v>
      </c>
      <c r="N218" t="n">
        <v>0</v>
      </c>
      <c r="O218" t="n">
        <v>1</v>
      </c>
      <c r="P218" t="n">
        <v>1</v>
      </c>
      <c r="Q218" t="n">
        <v>1</v>
      </c>
      <c r="R218" s="2" t="inlineStr">
        <is>
          <t>Mellanlummer</t>
        </is>
      </c>
      <c r="S218">
        <f>HYPERLINK("https://klasma.github.io/Logging_0643/artfynd/A 14713-2025 artfynd.xlsx", "A 14713-2025")</f>
        <v/>
      </c>
      <c r="T218">
        <f>HYPERLINK("https://klasma.github.io/Logging_0643/kartor/A 14713-2025 karta.png", "A 14713-2025")</f>
        <v/>
      </c>
      <c r="V218">
        <f>HYPERLINK("https://klasma.github.io/Logging_0643/klagomål/A 14713-2025 FSC-klagomål.docx", "A 14713-2025")</f>
        <v/>
      </c>
      <c r="W218">
        <f>HYPERLINK("https://klasma.github.io/Logging_0643/klagomålsmail/A 14713-2025 FSC-klagomål mail.docx", "A 14713-2025")</f>
        <v/>
      </c>
      <c r="X218">
        <f>HYPERLINK("https://klasma.github.io/Logging_0643/tillsyn/A 14713-2025 tillsynsbegäran.docx", "A 14713-2025")</f>
        <v/>
      </c>
      <c r="Y218">
        <f>HYPERLINK("https://klasma.github.io/Logging_0643/tillsynsmail/A 14713-2025 tillsynsbegäran mail.docx", "A 14713-2025")</f>
        <v/>
      </c>
    </row>
    <row r="219" ht="15" customHeight="1">
      <c r="A219" t="inlineStr">
        <is>
          <t>A 14704-2025</t>
        </is>
      </c>
      <c r="B219" s="1" t="n">
        <v>45742.60506944444</v>
      </c>
      <c r="C219" s="1" t="n">
        <v>45962</v>
      </c>
      <c r="D219" t="inlineStr">
        <is>
          <t>JÖNKÖPINGS LÄN</t>
        </is>
      </c>
      <c r="E219" t="inlineStr">
        <is>
          <t>HABO</t>
        </is>
      </c>
      <c r="G219" t="n">
        <v>14</v>
      </c>
      <c r="H219" t="n">
        <v>0</v>
      </c>
      <c r="I219" t="n">
        <v>1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1</v>
      </c>
      <c r="R219" s="2" t="inlineStr">
        <is>
          <t>Dropptaggsvamp</t>
        </is>
      </c>
      <c r="S219">
        <f>HYPERLINK("https://klasma.github.io/Logging_0643/artfynd/A 14704-2025 artfynd.xlsx", "A 14704-2025")</f>
        <v/>
      </c>
      <c r="T219">
        <f>HYPERLINK("https://klasma.github.io/Logging_0643/kartor/A 14704-2025 karta.png", "A 14704-2025")</f>
        <v/>
      </c>
      <c r="V219">
        <f>HYPERLINK("https://klasma.github.io/Logging_0643/klagomål/A 14704-2025 FSC-klagomål.docx", "A 14704-2025")</f>
        <v/>
      </c>
      <c r="W219">
        <f>HYPERLINK("https://klasma.github.io/Logging_0643/klagomålsmail/A 14704-2025 FSC-klagomål mail.docx", "A 14704-2025")</f>
        <v/>
      </c>
      <c r="X219">
        <f>HYPERLINK("https://klasma.github.io/Logging_0643/tillsyn/A 14704-2025 tillsynsbegäran.docx", "A 14704-2025")</f>
        <v/>
      </c>
      <c r="Y219">
        <f>HYPERLINK("https://klasma.github.io/Logging_0643/tillsynsmail/A 14704-2025 tillsynsbegäran mail.docx", "A 14704-2025")</f>
        <v/>
      </c>
    </row>
    <row r="220" ht="15" customHeight="1">
      <c r="A220" t="inlineStr">
        <is>
          <t>A 10775-2025</t>
        </is>
      </c>
      <c r="B220" s="1" t="n">
        <v>45722</v>
      </c>
      <c r="C220" s="1" t="n">
        <v>45962</v>
      </c>
      <c r="D220" t="inlineStr">
        <is>
          <t>JÖNKÖPINGS LÄN</t>
        </is>
      </c>
      <c r="E220" t="inlineStr">
        <is>
          <t>SÄVSJÖ</t>
        </is>
      </c>
      <c r="G220" t="n">
        <v>10.1</v>
      </c>
      <c r="H220" t="n">
        <v>0</v>
      </c>
      <c r="I220" t="n">
        <v>0</v>
      </c>
      <c r="J220" t="n">
        <v>1</v>
      </c>
      <c r="K220" t="n">
        <v>0</v>
      </c>
      <c r="L220" t="n">
        <v>0</v>
      </c>
      <c r="M220" t="n">
        <v>0</v>
      </c>
      <c r="N220" t="n">
        <v>0</v>
      </c>
      <c r="O220" t="n">
        <v>1</v>
      </c>
      <c r="P220" t="n">
        <v>0</v>
      </c>
      <c r="Q220" t="n">
        <v>1</v>
      </c>
      <c r="R220" s="2" t="inlineStr">
        <is>
          <t>Solvända</t>
        </is>
      </c>
      <c r="S220">
        <f>HYPERLINK("https://klasma.github.io/Logging_0684/artfynd/A 10775-2025 artfynd.xlsx", "A 10775-2025")</f>
        <v/>
      </c>
      <c r="T220">
        <f>HYPERLINK("https://klasma.github.io/Logging_0684/kartor/A 10775-2025 karta.png", "A 10775-2025")</f>
        <v/>
      </c>
      <c r="V220">
        <f>HYPERLINK("https://klasma.github.io/Logging_0684/klagomål/A 10775-2025 FSC-klagomål.docx", "A 10775-2025")</f>
        <v/>
      </c>
      <c r="W220">
        <f>HYPERLINK("https://klasma.github.io/Logging_0684/klagomålsmail/A 10775-2025 FSC-klagomål mail.docx", "A 10775-2025")</f>
        <v/>
      </c>
      <c r="X220">
        <f>HYPERLINK("https://klasma.github.io/Logging_0684/tillsyn/A 10775-2025 tillsynsbegäran.docx", "A 10775-2025")</f>
        <v/>
      </c>
      <c r="Y220">
        <f>HYPERLINK("https://klasma.github.io/Logging_0684/tillsynsmail/A 10775-2025 tillsynsbegäran mail.docx", "A 10775-2025")</f>
        <v/>
      </c>
    </row>
    <row r="221" ht="15" customHeight="1">
      <c r="A221" t="inlineStr">
        <is>
          <t>A 49866-2024</t>
        </is>
      </c>
      <c r="B221" s="1" t="n">
        <v>45597.48165509259</v>
      </c>
      <c r="C221" s="1" t="n">
        <v>45962</v>
      </c>
      <c r="D221" t="inlineStr">
        <is>
          <t>JÖNKÖPINGS LÄN</t>
        </is>
      </c>
      <c r="E221" t="inlineStr">
        <is>
          <t>HABO</t>
        </is>
      </c>
      <c r="F221" t="inlineStr">
        <is>
          <t>Sveaskog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1</v>
      </c>
      <c r="M221" t="n">
        <v>0</v>
      </c>
      <c r="N221" t="n">
        <v>0</v>
      </c>
      <c r="O221" t="n">
        <v>1</v>
      </c>
      <c r="P221" t="n">
        <v>1</v>
      </c>
      <c r="Q221" t="n">
        <v>1</v>
      </c>
      <c r="R221" s="2" t="inlineStr">
        <is>
          <t>Ask</t>
        </is>
      </c>
      <c r="S221">
        <f>HYPERLINK("https://klasma.github.io/Logging_0643/artfynd/A 49866-2024 artfynd.xlsx", "A 49866-2024")</f>
        <v/>
      </c>
      <c r="T221">
        <f>HYPERLINK("https://klasma.github.io/Logging_0643/kartor/A 49866-2024 karta.png", "A 49866-2024")</f>
        <v/>
      </c>
      <c r="V221">
        <f>HYPERLINK("https://klasma.github.io/Logging_0643/klagomål/A 49866-2024 FSC-klagomål.docx", "A 49866-2024")</f>
        <v/>
      </c>
      <c r="W221">
        <f>HYPERLINK("https://klasma.github.io/Logging_0643/klagomålsmail/A 49866-2024 FSC-klagomål mail.docx", "A 49866-2024")</f>
        <v/>
      </c>
      <c r="X221">
        <f>HYPERLINK("https://klasma.github.io/Logging_0643/tillsyn/A 49866-2024 tillsynsbegäran.docx", "A 49866-2024")</f>
        <v/>
      </c>
      <c r="Y221">
        <f>HYPERLINK("https://klasma.github.io/Logging_0643/tillsynsmail/A 49866-2024 tillsynsbegäran mail.docx", "A 49866-2024")</f>
        <v/>
      </c>
    </row>
    <row r="222" ht="15" customHeight="1">
      <c r="A222" t="inlineStr">
        <is>
          <t>A 14221-2025</t>
        </is>
      </c>
      <c r="B222" s="1" t="n">
        <v>45740.58743055556</v>
      </c>
      <c r="C222" s="1" t="n">
        <v>45962</v>
      </c>
      <c r="D222" t="inlineStr">
        <is>
          <t>JÖNKÖPINGS LÄN</t>
        </is>
      </c>
      <c r="E222" t="inlineStr">
        <is>
          <t>JÖNKÖPING</t>
        </is>
      </c>
      <c r="G222" t="n">
        <v>8.699999999999999</v>
      </c>
      <c r="H222" t="n">
        <v>1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1</v>
      </c>
      <c r="R222" s="2" t="inlineStr">
        <is>
          <t>Gaffelglim</t>
        </is>
      </c>
      <c r="S222">
        <f>HYPERLINK("https://klasma.github.io/Logging_0680/artfynd/A 14221-2025 artfynd.xlsx", "A 14221-2025")</f>
        <v/>
      </c>
      <c r="T222">
        <f>HYPERLINK("https://klasma.github.io/Logging_0680/kartor/A 14221-2025 karta.png", "A 14221-2025")</f>
        <v/>
      </c>
      <c r="V222">
        <f>HYPERLINK("https://klasma.github.io/Logging_0680/klagomål/A 14221-2025 FSC-klagomål.docx", "A 14221-2025")</f>
        <v/>
      </c>
      <c r="W222">
        <f>HYPERLINK("https://klasma.github.io/Logging_0680/klagomålsmail/A 14221-2025 FSC-klagomål mail.docx", "A 14221-2025")</f>
        <v/>
      </c>
      <c r="X222">
        <f>HYPERLINK("https://klasma.github.io/Logging_0680/tillsyn/A 14221-2025 tillsynsbegäran.docx", "A 14221-2025")</f>
        <v/>
      </c>
      <c r="Y222">
        <f>HYPERLINK("https://klasma.github.io/Logging_0680/tillsynsmail/A 14221-2025 tillsynsbegäran mail.docx", "A 14221-2025")</f>
        <v/>
      </c>
    </row>
    <row r="223" ht="15" customHeight="1">
      <c r="A223" t="inlineStr">
        <is>
          <t>A 24945-2023</t>
        </is>
      </c>
      <c r="B223" s="1" t="n">
        <v>45085</v>
      </c>
      <c r="C223" s="1" t="n">
        <v>45962</v>
      </c>
      <c r="D223" t="inlineStr">
        <is>
          <t>JÖNKÖPINGS LÄN</t>
        </is>
      </c>
      <c r="E223" t="inlineStr">
        <is>
          <t>VETLANDA</t>
        </is>
      </c>
      <c r="G223" t="n">
        <v>0.5</v>
      </c>
      <c r="H223" t="n">
        <v>0</v>
      </c>
      <c r="I223" t="n">
        <v>1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1</v>
      </c>
      <c r="R223" s="2" t="inlineStr">
        <is>
          <t>Skarp dropptaggsvamp</t>
        </is>
      </c>
      <c r="S223">
        <f>HYPERLINK("https://klasma.github.io/Logging_0685/artfynd/A 24945-2023 artfynd.xlsx", "A 24945-2023")</f>
        <v/>
      </c>
      <c r="T223">
        <f>HYPERLINK("https://klasma.github.io/Logging_0685/kartor/A 24945-2023 karta.png", "A 24945-2023")</f>
        <v/>
      </c>
      <c r="V223">
        <f>HYPERLINK("https://klasma.github.io/Logging_0685/klagomål/A 24945-2023 FSC-klagomål.docx", "A 24945-2023")</f>
        <v/>
      </c>
      <c r="W223">
        <f>HYPERLINK("https://klasma.github.io/Logging_0685/klagomålsmail/A 24945-2023 FSC-klagomål mail.docx", "A 24945-2023")</f>
        <v/>
      </c>
      <c r="X223">
        <f>HYPERLINK("https://klasma.github.io/Logging_0685/tillsyn/A 24945-2023 tillsynsbegäran.docx", "A 24945-2023")</f>
        <v/>
      </c>
      <c r="Y223">
        <f>HYPERLINK("https://klasma.github.io/Logging_0685/tillsynsmail/A 24945-2023 tillsynsbegäran mail.docx", "A 24945-2023")</f>
        <v/>
      </c>
    </row>
    <row r="224" ht="15" customHeight="1">
      <c r="A224" t="inlineStr">
        <is>
          <t>A 11902-2025</t>
        </is>
      </c>
      <c r="B224" s="1" t="n">
        <v>45728.47916666666</v>
      </c>
      <c r="C224" s="1" t="n">
        <v>45962</v>
      </c>
      <c r="D224" t="inlineStr">
        <is>
          <t>JÖNKÖPINGS LÄN</t>
        </is>
      </c>
      <c r="E224" t="inlineStr">
        <is>
          <t>GISLAVED</t>
        </is>
      </c>
      <c r="F224" t="inlineStr">
        <is>
          <t>Sveaskog</t>
        </is>
      </c>
      <c r="G224" t="n">
        <v>1.6</v>
      </c>
      <c r="H224" t="n">
        <v>0</v>
      </c>
      <c r="I224" t="n">
        <v>0</v>
      </c>
      <c r="J224" t="n">
        <v>1</v>
      </c>
      <c r="K224" t="n">
        <v>0</v>
      </c>
      <c r="L224" t="n">
        <v>0</v>
      </c>
      <c r="M224" t="n">
        <v>0</v>
      </c>
      <c r="N224" t="n">
        <v>0</v>
      </c>
      <c r="O224" t="n">
        <v>1</v>
      </c>
      <c r="P224" t="n">
        <v>0</v>
      </c>
      <c r="Q224" t="n">
        <v>1</v>
      </c>
      <c r="R224" s="2" t="inlineStr">
        <is>
          <t>Borsttåg</t>
        </is>
      </c>
      <c r="S224">
        <f>HYPERLINK("https://klasma.github.io/Logging_0662/artfynd/A 11902-2025 artfynd.xlsx", "A 11902-2025")</f>
        <v/>
      </c>
      <c r="T224">
        <f>HYPERLINK("https://klasma.github.io/Logging_0662/kartor/A 11902-2025 karta.png", "A 11902-2025")</f>
        <v/>
      </c>
      <c r="V224">
        <f>HYPERLINK("https://klasma.github.io/Logging_0662/klagomål/A 11902-2025 FSC-klagomål.docx", "A 11902-2025")</f>
        <v/>
      </c>
      <c r="W224">
        <f>HYPERLINK("https://klasma.github.io/Logging_0662/klagomålsmail/A 11902-2025 FSC-klagomål mail.docx", "A 11902-2025")</f>
        <v/>
      </c>
      <c r="X224">
        <f>HYPERLINK("https://klasma.github.io/Logging_0662/tillsyn/A 11902-2025 tillsynsbegäran.docx", "A 11902-2025")</f>
        <v/>
      </c>
      <c r="Y224">
        <f>HYPERLINK("https://klasma.github.io/Logging_0662/tillsynsmail/A 11902-2025 tillsynsbegäran mail.docx", "A 11902-2025")</f>
        <v/>
      </c>
    </row>
    <row r="225" ht="15" customHeight="1">
      <c r="A225" t="inlineStr">
        <is>
          <t>A 35548-2022</t>
        </is>
      </c>
      <c r="B225" s="1" t="n">
        <v>44799</v>
      </c>
      <c r="C225" s="1" t="n">
        <v>45962</v>
      </c>
      <c r="D225" t="inlineStr">
        <is>
          <t>JÖNKÖPINGS LÄN</t>
        </is>
      </c>
      <c r="E225" t="inlineStr">
        <is>
          <t>EKSJÖ</t>
        </is>
      </c>
      <c r="G225" t="n">
        <v>6.2</v>
      </c>
      <c r="H225" t="n">
        <v>0</v>
      </c>
      <c r="I225" t="n">
        <v>0</v>
      </c>
      <c r="J225" t="n">
        <v>0</v>
      </c>
      <c r="K225" t="n">
        <v>1</v>
      </c>
      <c r="L225" t="n">
        <v>0</v>
      </c>
      <c r="M225" t="n">
        <v>0</v>
      </c>
      <c r="N225" t="n">
        <v>0</v>
      </c>
      <c r="O225" t="n">
        <v>1</v>
      </c>
      <c r="P225" t="n">
        <v>1</v>
      </c>
      <c r="Q225" t="n">
        <v>1</v>
      </c>
      <c r="R225" s="2" t="inlineStr">
        <is>
          <t>Bandnate</t>
        </is>
      </c>
      <c r="S225">
        <f>HYPERLINK("https://klasma.github.io/Logging_0686/artfynd/A 35548-2022 artfynd.xlsx", "A 35548-2022")</f>
        <v/>
      </c>
      <c r="T225">
        <f>HYPERLINK("https://klasma.github.io/Logging_0686/kartor/A 35548-2022 karta.png", "A 35548-2022")</f>
        <v/>
      </c>
      <c r="V225">
        <f>HYPERLINK("https://klasma.github.io/Logging_0686/klagomål/A 35548-2022 FSC-klagomål.docx", "A 35548-2022")</f>
        <v/>
      </c>
      <c r="W225">
        <f>HYPERLINK("https://klasma.github.io/Logging_0686/klagomålsmail/A 35548-2022 FSC-klagomål mail.docx", "A 35548-2022")</f>
        <v/>
      </c>
      <c r="X225">
        <f>HYPERLINK("https://klasma.github.io/Logging_0686/tillsyn/A 35548-2022 tillsynsbegäran.docx", "A 35548-2022")</f>
        <v/>
      </c>
      <c r="Y225">
        <f>HYPERLINK("https://klasma.github.io/Logging_0686/tillsynsmail/A 35548-2022 tillsynsbegäran mail.docx", "A 35548-2022")</f>
        <v/>
      </c>
    </row>
    <row r="226" ht="15" customHeight="1">
      <c r="A226" t="inlineStr">
        <is>
          <t>A 16508-2024</t>
        </is>
      </c>
      <c r="B226" s="1" t="n">
        <v>45408.38405092592</v>
      </c>
      <c r="C226" s="1" t="n">
        <v>45962</v>
      </c>
      <c r="D226" t="inlineStr">
        <is>
          <t>JÖNKÖPINGS LÄN</t>
        </is>
      </c>
      <c r="E226" t="inlineStr">
        <is>
          <t>VETLANDA</t>
        </is>
      </c>
      <c r="G226" t="n">
        <v>4.4</v>
      </c>
      <c r="H226" t="n">
        <v>0</v>
      </c>
      <c r="I226" t="n">
        <v>1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1</v>
      </c>
      <c r="R226" s="2" t="inlineStr">
        <is>
          <t>Tibast</t>
        </is>
      </c>
      <c r="S226">
        <f>HYPERLINK("https://klasma.github.io/Logging_0685/artfynd/A 16508-2024 artfynd.xlsx", "A 16508-2024")</f>
        <v/>
      </c>
      <c r="T226">
        <f>HYPERLINK("https://klasma.github.io/Logging_0685/kartor/A 16508-2024 karta.png", "A 16508-2024")</f>
        <v/>
      </c>
      <c r="V226">
        <f>HYPERLINK("https://klasma.github.io/Logging_0685/klagomål/A 16508-2024 FSC-klagomål.docx", "A 16508-2024")</f>
        <v/>
      </c>
      <c r="W226">
        <f>HYPERLINK("https://klasma.github.io/Logging_0685/klagomålsmail/A 16508-2024 FSC-klagomål mail.docx", "A 16508-2024")</f>
        <v/>
      </c>
      <c r="X226">
        <f>HYPERLINK("https://klasma.github.io/Logging_0685/tillsyn/A 16508-2024 tillsynsbegäran.docx", "A 16508-2024")</f>
        <v/>
      </c>
      <c r="Y226">
        <f>HYPERLINK("https://klasma.github.io/Logging_0685/tillsynsmail/A 16508-2024 tillsynsbegäran mail.docx", "A 16508-2024")</f>
        <v/>
      </c>
    </row>
    <row r="227" ht="15" customHeight="1">
      <c r="A227" t="inlineStr">
        <is>
          <t>A 11357-2025</t>
        </is>
      </c>
      <c r="B227" s="1" t="n">
        <v>45726.52925925926</v>
      </c>
      <c r="C227" s="1" t="n">
        <v>45962</v>
      </c>
      <c r="D227" t="inlineStr">
        <is>
          <t>JÖNKÖPINGS LÄN</t>
        </is>
      </c>
      <c r="E227" t="inlineStr">
        <is>
          <t>JÖNKÖPING</t>
        </is>
      </c>
      <c r="G227" t="n">
        <v>1.4</v>
      </c>
      <c r="H227" t="n">
        <v>0</v>
      </c>
      <c r="I227" t="n">
        <v>0</v>
      </c>
      <c r="J227" t="n">
        <v>1</v>
      </c>
      <c r="K227" t="n">
        <v>0</v>
      </c>
      <c r="L227" t="n">
        <v>0</v>
      </c>
      <c r="M227" t="n">
        <v>0</v>
      </c>
      <c r="N227" t="n">
        <v>0</v>
      </c>
      <c r="O227" t="n">
        <v>1</v>
      </c>
      <c r="P227" t="n">
        <v>0</v>
      </c>
      <c r="Q227" t="n">
        <v>1</v>
      </c>
      <c r="R227" s="2" t="inlineStr">
        <is>
          <t>Igelkott</t>
        </is>
      </c>
      <c r="S227">
        <f>HYPERLINK("https://klasma.github.io/Logging_0680/artfynd/A 11357-2025 artfynd.xlsx", "A 11357-2025")</f>
        <v/>
      </c>
      <c r="T227">
        <f>HYPERLINK("https://klasma.github.io/Logging_0680/kartor/A 11357-2025 karta.png", "A 11357-2025")</f>
        <v/>
      </c>
      <c r="V227">
        <f>HYPERLINK("https://klasma.github.io/Logging_0680/klagomål/A 11357-2025 FSC-klagomål.docx", "A 11357-2025")</f>
        <v/>
      </c>
      <c r="W227">
        <f>HYPERLINK("https://klasma.github.io/Logging_0680/klagomålsmail/A 11357-2025 FSC-klagomål mail.docx", "A 11357-2025")</f>
        <v/>
      </c>
      <c r="X227">
        <f>HYPERLINK("https://klasma.github.io/Logging_0680/tillsyn/A 11357-2025 tillsynsbegäran.docx", "A 11357-2025")</f>
        <v/>
      </c>
      <c r="Y227">
        <f>HYPERLINK("https://klasma.github.io/Logging_0680/tillsynsmail/A 11357-2025 tillsynsbegäran mail.docx", "A 11357-2025")</f>
        <v/>
      </c>
    </row>
    <row r="228" ht="15" customHeight="1">
      <c r="A228" t="inlineStr">
        <is>
          <t>A 12437-2023</t>
        </is>
      </c>
      <c r="B228" s="1" t="n">
        <v>44998</v>
      </c>
      <c r="C228" s="1" t="n">
        <v>45962</v>
      </c>
      <c r="D228" t="inlineStr">
        <is>
          <t>JÖNKÖPINGS LÄN</t>
        </is>
      </c>
      <c r="E228" t="inlineStr">
        <is>
          <t>TRANÅS</t>
        </is>
      </c>
      <c r="G228" t="n">
        <v>10.5</v>
      </c>
      <c r="H228" t="n">
        <v>0</v>
      </c>
      <c r="I228" t="n">
        <v>1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1</v>
      </c>
      <c r="R228" s="2" t="inlineStr">
        <is>
          <t>Skogsbräsma</t>
        </is>
      </c>
      <c r="S228">
        <f>HYPERLINK("https://klasma.github.io/Logging_0687/artfynd/A 12437-2023 artfynd.xlsx", "A 12437-2023")</f>
        <v/>
      </c>
      <c r="T228">
        <f>HYPERLINK("https://klasma.github.io/Logging_0687/kartor/A 12437-2023 karta.png", "A 12437-2023")</f>
        <v/>
      </c>
      <c r="V228">
        <f>HYPERLINK("https://klasma.github.io/Logging_0687/klagomål/A 12437-2023 FSC-klagomål.docx", "A 12437-2023")</f>
        <v/>
      </c>
      <c r="W228">
        <f>HYPERLINK("https://klasma.github.io/Logging_0687/klagomålsmail/A 12437-2023 FSC-klagomål mail.docx", "A 12437-2023")</f>
        <v/>
      </c>
      <c r="X228">
        <f>HYPERLINK("https://klasma.github.io/Logging_0687/tillsyn/A 12437-2023 tillsynsbegäran.docx", "A 12437-2023")</f>
        <v/>
      </c>
      <c r="Y228">
        <f>HYPERLINK("https://klasma.github.io/Logging_0687/tillsynsmail/A 12437-2023 tillsynsbegäran mail.docx", "A 12437-2023")</f>
        <v/>
      </c>
    </row>
    <row r="229" ht="15" customHeight="1">
      <c r="A229" t="inlineStr">
        <is>
          <t>A 52417-2023</t>
        </is>
      </c>
      <c r="B229" s="1" t="n">
        <v>45225</v>
      </c>
      <c r="C229" s="1" t="n">
        <v>45962</v>
      </c>
      <c r="D229" t="inlineStr">
        <is>
          <t>JÖNKÖPINGS LÄN</t>
        </is>
      </c>
      <c r="E229" t="inlineStr">
        <is>
          <t>HABO</t>
        </is>
      </c>
      <c r="G229" t="n">
        <v>9.800000000000001</v>
      </c>
      <c r="H229" t="n">
        <v>1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1</v>
      </c>
      <c r="R229" s="2" t="inlineStr">
        <is>
          <t>Grönvit nattviol</t>
        </is>
      </c>
      <c r="S229">
        <f>HYPERLINK("https://klasma.github.io/Logging_0643/artfynd/A 52417-2023 artfynd.xlsx", "A 52417-2023")</f>
        <v/>
      </c>
      <c r="T229">
        <f>HYPERLINK("https://klasma.github.io/Logging_0643/kartor/A 52417-2023 karta.png", "A 52417-2023")</f>
        <v/>
      </c>
      <c r="V229">
        <f>HYPERLINK("https://klasma.github.io/Logging_0643/klagomål/A 52417-2023 FSC-klagomål.docx", "A 52417-2023")</f>
        <v/>
      </c>
      <c r="W229">
        <f>HYPERLINK("https://klasma.github.io/Logging_0643/klagomålsmail/A 52417-2023 FSC-klagomål mail.docx", "A 52417-2023")</f>
        <v/>
      </c>
      <c r="X229">
        <f>HYPERLINK("https://klasma.github.io/Logging_0643/tillsyn/A 52417-2023 tillsynsbegäran.docx", "A 52417-2023")</f>
        <v/>
      </c>
      <c r="Y229">
        <f>HYPERLINK("https://klasma.github.io/Logging_0643/tillsynsmail/A 52417-2023 tillsynsbegäran mail.docx", "A 52417-2023")</f>
        <v/>
      </c>
    </row>
    <row r="230" ht="15" customHeight="1">
      <c r="A230" t="inlineStr">
        <is>
          <t>A 47492-2024</t>
        </is>
      </c>
      <c r="B230" s="1" t="n">
        <v>45587</v>
      </c>
      <c r="C230" s="1" t="n">
        <v>45962</v>
      </c>
      <c r="D230" t="inlineStr">
        <is>
          <t>JÖNKÖPINGS LÄN</t>
        </is>
      </c>
      <c r="E230" t="inlineStr">
        <is>
          <t>JÖNKÖPING</t>
        </is>
      </c>
      <c r="G230" t="n">
        <v>4.7</v>
      </c>
      <c r="H230" t="n">
        <v>0</v>
      </c>
      <c r="I230" t="n">
        <v>0</v>
      </c>
      <c r="J230" t="n">
        <v>0</v>
      </c>
      <c r="K230" t="n">
        <v>0</v>
      </c>
      <c r="L230" t="n">
        <v>1</v>
      </c>
      <c r="M230" t="n">
        <v>0</v>
      </c>
      <c r="N230" t="n">
        <v>0</v>
      </c>
      <c r="O230" t="n">
        <v>1</v>
      </c>
      <c r="P230" t="n">
        <v>1</v>
      </c>
      <c r="Q230" t="n">
        <v>1</v>
      </c>
      <c r="R230" s="2" t="inlineStr">
        <is>
          <t>Ask</t>
        </is>
      </c>
      <c r="S230">
        <f>HYPERLINK("https://klasma.github.io/Logging_0680/artfynd/A 47492-2024 artfynd.xlsx", "A 47492-2024")</f>
        <v/>
      </c>
      <c r="T230">
        <f>HYPERLINK("https://klasma.github.io/Logging_0680/kartor/A 47492-2024 karta.png", "A 47492-2024")</f>
        <v/>
      </c>
      <c r="V230">
        <f>HYPERLINK("https://klasma.github.io/Logging_0680/klagomål/A 47492-2024 FSC-klagomål.docx", "A 47492-2024")</f>
        <v/>
      </c>
      <c r="W230">
        <f>HYPERLINK("https://klasma.github.io/Logging_0680/klagomålsmail/A 47492-2024 FSC-klagomål mail.docx", "A 47492-2024")</f>
        <v/>
      </c>
      <c r="X230">
        <f>HYPERLINK("https://klasma.github.io/Logging_0680/tillsyn/A 47492-2024 tillsynsbegäran.docx", "A 47492-2024")</f>
        <v/>
      </c>
      <c r="Y230">
        <f>HYPERLINK("https://klasma.github.io/Logging_0680/tillsynsmail/A 47492-2024 tillsynsbegäran mail.docx", "A 47492-2024")</f>
        <v/>
      </c>
    </row>
    <row r="231" ht="15" customHeight="1">
      <c r="A231" t="inlineStr">
        <is>
          <t>A 44455-2022</t>
        </is>
      </c>
      <c r="B231" s="1" t="n">
        <v>44839</v>
      </c>
      <c r="C231" s="1" t="n">
        <v>45962</v>
      </c>
      <c r="D231" t="inlineStr">
        <is>
          <t>JÖNKÖPINGS LÄN</t>
        </is>
      </c>
      <c r="E231" t="inlineStr">
        <is>
          <t>NÄSSJÖ</t>
        </is>
      </c>
      <c r="G231" t="n">
        <v>5.3</v>
      </c>
      <c r="H231" t="n">
        <v>1</v>
      </c>
      <c r="I231" t="n">
        <v>0</v>
      </c>
      <c r="J231" t="n">
        <v>0</v>
      </c>
      <c r="K231" t="n">
        <v>1</v>
      </c>
      <c r="L231" t="n">
        <v>0</v>
      </c>
      <c r="M231" t="n">
        <v>0</v>
      </c>
      <c r="N231" t="n">
        <v>0</v>
      </c>
      <c r="O231" t="n">
        <v>1</v>
      </c>
      <c r="P231" t="n">
        <v>1</v>
      </c>
      <c r="Q231" t="n">
        <v>1</v>
      </c>
      <c r="R231" s="2" t="inlineStr">
        <is>
          <t>Knärot</t>
        </is>
      </c>
      <c r="S231">
        <f>HYPERLINK("https://klasma.github.io/Logging_0682/artfynd/A 44455-2022 artfynd.xlsx", "A 44455-2022")</f>
        <v/>
      </c>
      <c r="T231">
        <f>HYPERLINK("https://klasma.github.io/Logging_0682/kartor/A 44455-2022 karta.png", "A 44455-2022")</f>
        <v/>
      </c>
      <c r="U231">
        <f>HYPERLINK("https://klasma.github.io/Logging_0682/knärot/A 44455-2022 karta knärot.png", "A 44455-2022")</f>
        <v/>
      </c>
      <c r="V231">
        <f>HYPERLINK("https://klasma.github.io/Logging_0682/klagomål/A 44455-2022 FSC-klagomål.docx", "A 44455-2022")</f>
        <v/>
      </c>
      <c r="W231">
        <f>HYPERLINK("https://klasma.github.io/Logging_0682/klagomålsmail/A 44455-2022 FSC-klagomål mail.docx", "A 44455-2022")</f>
        <v/>
      </c>
      <c r="X231">
        <f>HYPERLINK("https://klasma.github.io/Logging_0682/tillsyn/A 44455-2022 tillsynsbegäran.docx", "A 44455-2022")</f>
        <v/>
      </c>
      <c r="Y231">
        <f>HYPERLINK("https://klasma.github.io/Logging_0682/tillsynsmail/A 44455-2022 tillsynsbegäran mail.docx", "A 44455-2022")</f>
        <v/>
      </c>
    </row>
    <row r="232" ht="15" customHeight="1">
      <c r="A232" t="inlineStr">
        <is>
          <t>A 26520-2025</t>
        </is>
      </c>
      <c r="B232" s="1" t="n">
        <v>45807.56219907408</v>
      </c>
      <c r="C232" s="1" t="n">
        <v>45962</v>
      </c>
      <c r="D232" t="inlineStr">
        <is>
          <t>JÖNKÖPINGS LÄN</t>
        </is>
      </c>
      <c r="E232" t="inlineStr">
        <is>
          <t>HABO</t>
        </is>
      </c>
      <c r="G232" t="n">
        <v>1.1</v>
      </c>
      <c r="H232" t="n">
        <v>0</v>
      </c>
      <c r="I232" t="n">
        <v>1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1</v>
      </c>
      <c r="R232" s="2" t="inlineStr">
        <is>
          <t>Dunmossa</t>
        </is>
      </c>
      <c r="S232">
        <f>HYPERLINK("https://klasma.github.io/Logging_0643/artfynd/A 26520-2025 artfynd.xlsx", "A 26520-2025")</f>
        <v/>
      </c>
      <c r="T232">
        <f>HYPERLINK("https://klasma.github.io/Logging_0643/kartor/A 26520-2025 karta.png", "A 26520-2025")</f>
        <v/>
      </c>
      <c r="V232">
        <f>HYPERLINK("https://klasma.github.io/Logging_0643/klagomål/A 26520-2025 FSC-klagomål.docx", "A 26520-2025")</f>
        <v/>
      </c>
      <c r="W232">
        <f>HYPERLINK("https://klasma.github.io/Logging_0643/klagomålsmail/A 26520-2025 FSC-klagomål mail.docx", "A 26520-2025")</f>
        <v/>
      </c>
      <c r="X232">
        <f>HYPERLINK("https://klasma.github.io/Logging_0643/tillsyn/A 26520-2025 tillsynsbegäran.docx", "A 26520-2025")</f>
        <v/>
      </c>
      <c r="Y232">
        <f>HYPERLINK("https://klasma.github.io/Logging_0643/tillsynsmail/A 26520-2025 tillsynsbegäran mail.docx", "A 26520-2025")</f>
        <v/>
      </c>
    </row>
    <row r="233" ht="15" customHeight="1">
      <c r="A233" t="inlineStr">
        <is>
          <t>A 39857-2022</t>
        </is>
      </c>
      <c r="B233" s="1" t="n">
        <v>44819</v>
      </c>
      <c r="C233" s="1" t="n">
        <v>45962</v>
      </c>
      <c r="D233" t="inlineStr">
        <is>
          <t>JÖNKÖPINGS LÄN</t>
        </is>
      </c>
      <c r="E233" t="inlineStr">
        <is>
          <t>VETLANDA</t>
        </is>
      </c>
      <c r="G233" t="n">
        <v>11.8</v>
      </c>
      <c r="H233" t="n">
        <v>0</v>
      </c>
      <c r="I233" t="n">
        <v>1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1</v>
      </c>
      <c r="R233" s="2" t="inlineStr">
        <is>
          <t>Grönpyrola</t>
        </is>
      </c>
      <c r="S233">
        <f>HYPERLINK("https://klasma.github.io/Logging_0685/artfynd/A 39857-2022 artfynd.xlsx", "A 39857-2022")</f>
        <v/>
      </c>
      <c r="T233">
        <f>HYPERLINK("https://klasma.github.io/Logging_0685/kartor/A 39857-2022 karta.png", "A 39857-2022")</f>
        <v/>
      </c>
      <c r="V233">
        <f>HYPERLINK("https://klasma.github.io/Logging_0685/klagomål/A 39857-2022 FSC-klagomål.docx", "A 39857-2022")</f>
        <v/>
      </c>
      <c r="W233">
        <f>HYPERLINK("https://klasma.github.io/Logging_0685/klagomålsmail/A 39857-2022 FSC-klagomål mail.docx", "A 39857-2022")</f>
        <v/>
      </c>
      <c r="X233">
        <f>HYPERLINK("https://klasma.github.io/Logging_0685/tillsyn/A 39857-2022 tillsynsbegäran.docx", "A 39857-2022")</f>
        <v/>
      </c>
      <c r="Y233">
        <f>HYPERLINK("https://klasma.github.io/Logging_0685/tillsynsmail/A 39857-2022 tillsynsbegäran mail.docx", "A 39857-2022")</f>
        <v/>
      </c>
    </row>
    <row r="234" ht="15" customHeight="1">
      <c r="A234" t="inlineStr">
        <is>
          <t>A 56147-2023</t>
        </is>
      </c>
      <c r="B234" s="1" t="n">
        <v>45240</v>
      </c>
      <c r="C234" s="1" t="n">
        <v>45962</v>
      </c>
      <c r="D234" t="inlineStr">
        <is>
          <t>JÖNKÖPINGS LÄN</t>
        </is>
      </c>
      <c r="E234" t="inlineStr">
        <is>
          <t>VETLANDA</t>
        </is>
      </c>
      <c r="G234" t="n">
        <v>1.2</v>
      </c>
      <c r="H234" t="n">
        <v>0</v>
      </c>
      <c r="I234" t="n">
        <v>1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1</v>
      </c>
      <c r="R234" s="2" t="inlineStr">
        <is>
          <t>Gräsull</t>
        </is>
      </c>
      <c r="S234">
        <f>HYPERLINK("https://klasma.github.io/Logging_0685/artfynd/A 56147-2023 artfynd.xlsx", "A 56147-2023")</f>
        <v/>
      </c>
      <c r="T234">
        <f>HYPERLINK("https://klasma.github.io/Logging_0685/kartor/A 56147-2023 karta.png", "A 56147-2023")</f>
        <v/>
      </c>
      <c r="V234">
        <f>HYPERLINK("https://klasma.github.io/Logging_0685/klagomål/A 56147-2023 FSC-klagomål.docx", "A 56147-2023")</f>
        <v/>
      </c>
      <c r="W234">
        <f>HYPERLINK("https://klasma.github.io/Logging_0685/klagomålsmail/A 56147-2023 FSC-klagomål mail.docx", "A 56147-2023")</f>
        <v/>
      </c>
      <c r="X234">
        <f>HYPERLINK("https://klasma.github.io/Logging_0685/tillsyn/A 56147-2023 tillsynsbegäran.docx", "A 56147-2023")</f>
        <v/>
      </c>
      <c r="Y234">
        <f>HYPERLINK("https://klasma.github.io/Logging_0685/tillsynsmail/A 56147-2023 tillsynsbegäran mail.docx", "A 56147-2023")</f>
        <v/>
      </c>
    </row>
    <row r="235" ht="15" customHeight="1">
      <c r="A235" t="inlineStr">
        <is>
          <t>A 254-2023</t>
        </is>
      </c>
      <c r="B235" s="1" t="n">
        <v>44928</v>
      </c>
      <c r="C235" s="1" t="n">
        <v>45962</v>
      </c>
      <c r="D235" t="inlineStr">
        <is>
          <t>JÖNKÖPINGS LÄN</t>
        </is>
      </c>
      <c r="E235" t="inlineStr">
        <is>
          <t>NÄSSJÖ</t>
        </is>
      </c>
      <c r="G235" t="n">
        <v>7.7</v>
      </c>
      <c r="H235" t="n">
        <v>1</v>
      </c>
      <c r="I235" t="n">
        <v>0</v>
      </c>
      <c r="J235" t="n">
        <v>1</v>
      </c>
      <c r="K235" t="n">
        <v>0</v>
      </c>
      <c r="L235" t="n">
        <v>0</v>
      </c>
      <c r="M235" t="n">
        <v>0</v>
      </c>
      <c r="N235" t="n">
        <v>0</v>
      </c>
      <c r="O235" t="n">
        <v>1</v>
      </c>
      <c r="P235" t="n">
        <v>0</v>
      </c>
      <c r="Q235" t="n">
        <v>1</v>
      </c>
      <c r="R235" s="2" t="inlineStr">
        <is>
          <t>Gulsparv</t>
        </is>
      </c>
      <c r="S235">
        <f>HYPERLINK("https://klasma.github.io/Logging_0682/artfynd/A 254-2023 artfynd.xlsx", "A 254-2023")</f>
        <v/>
      </c>
      <c r="T235">
        <f>HYPERLINK("https://klasma.github.io/Logging_0682/kartor/A 254-2023 karta.png", "A 254-2023")</f>
        <v/>
      </c>
      <c r="V235">
        <f>HYPERLINK("https://klasma.github.io/Logging_0682/klagomål/A 254-2023 FSC-klagomål.docx", "A 254-2023")</f>
        <v/>
      </c>
      <c r="W235">
        <f>HYPERLINK("https://klasma.github.io/Logging_0682/klagomålsmail/A 254-2023 FSC-klagomål mail.docx", "A 254-2023")</f>
        <v/>
      </c>
      <c r="X235">
        <f>HYPERLINK("https://klasma.github.io/Logging_0682/tillsyn/A 254-2023 tillsynsbegäran.docx", "A 254-2023")</f>
        <v/>
      </c>
      <c r="Y235">
        <f>HYPERLINK("https://klasma.github.io/Logging_0682/tillsynsmail/A 254-2023 tillsynsbegäran mail.docx", "A 254-2023")</f>
        <v/>
      </c>
      <c r="Z235">
        <f>HYPERLINK("https://klasma.github.io/Logging_0682/fåglar/A 254-2023 prioriterade fågelarter.docx", "A 254-2023")</f>
        <v/>
      </c>
    </row>
    <row r="236" ht="15" customHeight="1">
      <c r="A236" t="inlineStr">
        <is>
          <t>A 32245-2021</t>
        </is>
      </c>
      <c r="B236" s="1" t="n">
        <v>44371</v>
      </c>
      <c r="C236" s="1" t="n">
        <v>45962</v>
      </c>
      <c r="D236" t="inlineStr">
        <is>
          <t>JÖNKÖPINGS LÄN</t>
        </is>
      </c>
      <c r="E236" t="inlineStr">
        <is>
          <t>NÄSSJÖ</t>
        </is>
      </c>
      <c r="F236" t="inlineStr">
        <is>
          <t>Kommuner</t>
        </is>
      </c>
      <c r="G236" t="n">
        <v>5.2</v>
      </c>
      <c r="H236" t="n">
        <v>0</v>
      </c>
      <c r="I236" t="n">
        <v>1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1</v>
      </c>
      <c r="R236" s="2" t="inlineStr">
        <is>
          <t>Svart trolldruva</t>
        </is>
      </c>
      <c r="S236">
        <f>HYPERLINK("https://klasma.github.io/Logging_0682/artfynd/A 32245-2021 artfynd.xlsx", "A 32245-2021")</f>
        <v/>
      </c>
      <c r="T236">
        <f>HYPERLINK("https://klasma.github.io/Logging_0682/kartor/A 32245-2021 karta.png", "A 32245-2021")</f>
        <v/>
      </c>
      <c r="V236">
        <f>HYPERLINK("https://klasma.github.io/Logging_0682/klagomål/A 32245-2021 FSC-klagomål.docx", "A 32245-2021")</f>
        <v/>
      </c>
      <c r="W236">
        <f>HYPERLINK("https://klasma.github.io/Logging_0682/klagomålsmail/A 32245-2021 FSC-klagomål mail.docx", "A 32245-2021")</f>
        <v/>
      </c>
      <c r="X236">
        <f>HYPERLINK("https://klasma.github.io/Logging_0682/tillsyn/A 32245-2021 tillsynsbegäran.docx", "A 32245-2021")</f>
        <v/>
      </c>
      <c r="Y236">
        <f>HYPERLINK("https://klasma.github.io/Logging_0682/tillsynsmail/A 32245-2021 tillsynsbegäran mail.docx", "A 32245-2021")</f>
        <v/>
      </c>
    </row>
    <row r="237" ht="15" customHeight="1">
      <c r="A237" t="inlineStr">
        <is>
          <t>A 30362-2022</t>
        </is>
      </c>
      <c r="B237" s="1" t="n">
        <v>44760</v>
      </c>
      <c r="C237" s="1" t="n">
        <v>45962</v>
      </c>
      <c r="D237" t="inlineStr">
        <is>
          <t>JÖNKÖPINGS LÄN</t>
        </is>
      </c>
      <c r="E237" t="inlineStr">
        <is>
          <t>GISLAVED</t>
        </is>
      </c>
      <c r="G237" t="n">
        <v>3.1</v>
      </c>
      <c r="H237" t="n">
        <v>1</v>
      </c>
      <c r="I237" t="n">
        <v>0</v>
      </c>
      <c r="J237" t="n">
        <v>0</v>
      </c>
      <c r="K237" t="n">
        <v>1</v>
      </c>
      <c r="L237" t="n">
        <v>0</v>
      </c>
      <c r="M237" t="n">
        <v>0</v>
      </c>
      <c r="N237" t="n">
        <v>0</v>
      </c>
      <c r="O237" t="n">
        <v>1</v>
      </c>
      <c r="P237" t="n">
        <v>1</v>
      </c>
      <c r="Q237" t="n">
        <v>1</v>
      </c>
      <c r="R237" s="2" t="inlineStr">
        <is>
          <t>Knärot</t>
        </is>
      </c>
      <c r="S237">
        <f>HYPERLINK("https://klasma.github.io/Logging_0662/artfynd/A 30362-2022 artfynd.xlsx", "A 30362-2022")</f>
        <v/>
      </c>
      <c r="T237">
        <f>HYPERLINK("https://klasma.github.io/Logging_0662/kartor/A 30362-2022 karta.png", "A 30362-2022")</f>
        <v/>
      </c>
      <c r="U237">
        <f>HYPERLINK("https://klasma.github.io/Logging_0662/knärot/A 30362-2022 karta knärot.png", "A 30362-2022")</f>
        <v/>
      </c>
      <c r="V237">
        <f>HYPERLINK("https://klasma.github.io/Logging_0662/klagomål/A 30362-2022 FSC-klagomål.docx", "A 30362-2022")</f>
        <v/>
      </c>
      <c r="W237">
        <f>HYPERLINK("https://klasma.github.io/Logging_0662/klagomålsmail/A 30362-2022 FSC-klagomål mail.docx", "A 30362-2022")</f>
        <v/>
      </c>
      <c r="X237">
        <f>HYPERLINK("https://klasma.github.io/Logging_0662/tillsyn/A 30362-2022 tillsynsbegäran.docx", "A 30362-2022")</f>
        <v/>
      </c>
      <c r="Y237">
        <f>HYPERLINK("https://klasma.github.io/Logging_0662/tillsynsmail/A 30362-2022 tillsynsbegäran mail.docx", "A 30362-2022")</f>
        <v/>
      </c>
    </row>
    <row r="238" ht="15" customHeight="1">
      <c r="A238" t="inlineStr">
        <is>
          <t>A 40543-2023</t>
        </is>
      </c>
      <c r="B238" s="1" t="n">
        <v>45170</v>
      </c>
      <c r="C238" s="1" t="n">
        <v>45962</v>
      </c>
      <c r="D238" t="inlineStr">
        <is>
          <t>JÖNKÖPINGS LÄN</t>
        </is>
      </c>
      <c r="E238" t="inlineStr">
        <is>
          <t>SÄVSJÖ</t>
        </is>
      </c>
      <c r="G238" t="n">
        <v>2.8</v>
      </c>
      <c r="H238" t="n">
        <v>0</v>
      </c>
      <c r="I238" t="n">
        <v>0</v>
      </c>
      <c r="J238" t="n">
        <v>1</v>
      </c>
      <c r="K238" t="n">
        <v>0</v>
      </c>
      <c r="L238" t="n">
        <v>0</v>
      </c>
      <c r="M238" t="n">
        <v>0</v>
      </c>
      <c r="N238" t="n">
        <v>0</v>
      </c>
      <c r="O238" t="n">
        <v>1</v>
      </c>
      <c r="P238" t="n">
        <v>0</v>
      </c>
      <c r="Q238" t="n">
        <v>1</v>
      </c>
      <c r="R238" s="2" t="inlineStr">
        <is>
          <t>Sommarfibbla</t>
        </is>
      </c>
      <c r="S238">
        <f>HYPERLINK("https://klasma.github.io/Logging_0684/artfynd/A 40543-2023 artfynd.xlsx", "A 40543-2023")</f>
        <v/>
      </c>
      <c r="T238">
        <f>HYPERLINK("https://klasma.github.io/Logging_0684/kartor/A 40543-2023 karta.png", "A 40543-2023")</f>
        <v/>
      </c>
      <c r="V238">
        <f>HYPERLINK("https://klasma.github.io/Logging_0684/klagomål/A 40543-2023 FSC-klagomål.docx", "A 40543-2023")</f>
        <v/>
      </c>
      <c r="W238">
        <f>HYPERLINK("https://klasma.github.io/Logging_0684/klagomålsmail/A 40543-2023 FSC-klagomål mail.docx", "A 40543-2023")</f>
        <v/>
      </c>
      <c r="X238">
        <f>HYPERLINK("https://klasma.github.io/Logging_0684/tillsyn/A 40543-2023 tillsynsbegäran.docx", "A 40543-2023")</f>
        <v/>
      </c>
      <c r="Y238">
        <f>HYPERLINK("https://klasma.github.io/Logging_0684/tillsynsmail/A 40543-2023 tillsynsbegäran mail.docx", "A 40543-2023")</f>
        <v/>
      </c>
    </row>
    <row r="239" ht="15" customHeight="1">
      <c r="A239" t="inlineStr">
        <is>
          <t>A 14083-2023</t>
        </is>
      </c>
      <c r="B239" s="1" t="n">
        <v>45009.32462962963</v>
      </c>
      <c r="C239" s="1" t="n">
        <v>45962</v>
      </c>
      <c r="D239" t="inlineStr">
        <is>
          <t>JÖNKÖPINGS LÄN</t>
        </is>
      </c>
      <c r="E239" t="inlineStr">
        <is>
          <t>VETLANDA</t>
        </is>
      </c>
      <c r="G239" t="n">
        <v>2.2</v>
      </c>
      <c r="H239" t="n">
        <v>0</v>
      </c>
      <c r="I239" t="n">
        <v>0</v>
      </c>
      <c r="J239" t="n">
        <v>1</v>
      </c>
      <c r="K239" t="n">
        <v>0</v>
      </c>
      <c r="L239" t="n">
        <v>0</v>
      </c>
      <c r="M239" t="n">
        <v>0</v>
      </c>
      <c r="N239" t="n">
        <v>0</v>
      </c>
      <c r="O239" t="n">
        <v>1</v>
      </c>
      <c r="P239" t="n">
        <v>0</v>
      </c>
      <c r="Q239" t="n">
        <v>1</v>
      </c>
      <c r="R239" s="2" t="inlineStr">
        <is>
          <t>Spindelört</t>
        </is>
      </c>
      <c r="S239">
        <f>HYPERLINK("https://klasma.github.io/Logging_0685/artfynd/A 14083-2023 artfynd.xlsx", "A 14083-2023")</f>
        <v/>
      </c>
      <c r="T239">
        <f>HYPERLINK("https://klasma.github.io/Logging_0685/kartor/A 14083-2023 karta.png", "A 14083-2023")</f>
        <v/>
      </c>
      <c r="V239">
        <f>HYPERLINK("https://klasma.github.io/Logging_0685/klagomål/A 14083-2023 FSC-klagomål.docx", "A 14083-2023")</f>
        <v/>
      </c>
      <c r="W239">
        <f>HYPERLINK("https://klasma.github.io/Logging_0685/klagomålsmail/A 14083-2023 FSC-klagomål mail.docx", "A 14083-2023")</f>
        <v/>
      </c>
      <c r="X239">
        <f>HYPERLINK("https://klasma.github.io/Logging_0685/tillsyn/A 14083-2023 tillsynsbegäran.docx", "A 14083-2023")</f>
        <v/>
      </c>
      <c r="Y239">
        <f>HYPERLINK("https://klasma.github.io/Logging_0685/tillsynsmail/A 14083-2023 tillsynsbegäran mail.docx", "A 14083-2023")</f>
        <v/>
      </c>
    </row>
    <row r="240" ht="15" customHeight="1">
      <c r="A240" t="inlineStr">
        <is>
          <t>A 43652-2023</t>
        </is>
      </c>
      <c r="B240" s="1" t="n">
        <v>45187</v>
      </c>
      <c r="C240" s="1" t="n">
        <v>45962</v>
      </c>
      <c r="D240" t="inlineStr">
        <is>
          <t>JÖNKÖPINGS LÄN</t>
        </is>
      </c>
      <c r="E240" t="inlineStr">
        <is>
          <t>VAGGERYD</t>
        </is>
      </c>
      <c r="F240" t="inlineStr">
        <is>
          <t>Sveaskog</t>
        </is>
      </c>
      <c r="G240" t="n">
        <v>1.1</v>
      </c>
      <c r="H240" t="n">
        <v>1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1</v>
      </c>
      <c r="R240" s="2" t="inlineStr">
        <is>
          <t>Revlummer</t>
        </is>
      </c>
      <c r="S240">
        <f>HYPERLINK("https://klasma.github.io/Logging_0665/artfynd/A 43652-2023 artfynd.xlsx", "A 43652-2023")</f>
        <v/>
      </c>
      <c r="T240">
        <f>HYPERLINK("https://klasma.github.io/Logging_0665/kartor/A 43652-2023 karta.png", "A 43652-2023")</f>
        <v/>
      </c>
      <c r="V240">
        <f>HYPERLINK("https://klasma.github.io/Logging_0665/klagomål/A 43652-2023 FSC-klagomål.docx", "A 43652-2023")</f>
        <v/>
      </c>
      <c r="W240">
        <f>HYPERLINK("https://klasma.github.io/Logging_0665/klagomålsmail/A 43652-2023 FSC-klagomål mail.docx", "A 43652-2023")</f>
        <v/>
      </c>
      <c r="X240">
        <f>HYPERLINK("https://klasma.github.io/Logging_0665/tillsyn/A 43652-2023 tillsynsbegäran.docx", "A 43652-2023")</f>
        <v/>
      </c>
      <c r="Y240">
        <f>HYPERLINK("https://klasma.github.io/Logging_0665/tillsynsmail/A 43652-2023 tillsynsbegäran mail.docx", "A 43652-2023")</f>
        <v/>
      </c>
    </row>
    <row r="241" ht="15" customHeight="1">
      <c r="A241" t="inlineStr">
        <is>
          <t>A 26920-2022</t>
        </is>
      </c>
      <c r="B241" s="1" t="n">
        <v>44740</v>
      </c>
      <c r="C241" s="1" t="n">
        <v>45962</v>
      </c>
      <c r="D241" t="inlineStr">
        <is>
          <t>JÖNKÖPINGS LÄN</t>
        </is>
      </c>
      <c r="E241" t="inlineStr">
        <is>
          <t>VETLANDA</t>
        </is>
      </c>
      <c r="F241" t="inlineStr">
        <is>
          <t>Kyrkan</t>
        </is>
      </c>
      <c r="G241" t="n">
        <v>9.1</v>
      </c>
      <c r="H241" t="n">
        <v>1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1</v>
      </c>
      <c r="R241" s="2" t="inlineStr">
        <is>
          <t>Adam och eva</t>
        </is>
      </c>
      <c r="S241">
        <f>HYPERLINK("https://klasma.github.io/Logging_0685/artfynd/A 26920-2022 artfynd.xlsx", "A 26920-2022")</f>
        <v/>
      </c>
      <c r="T241">
        <f>HYPERLINK("https://klasma.github.io/Logging_0685/kartor/A 26920-2022 karta.png", "A 26920-2022")</f>
        <v/>
      </c>
      <c r="V241">
        <f>HYPERLINK("https://klasma.github.io/Logging_0685/klagomål/A 26920-2022 FSC-klagomål.docx", "A 26920-2022")</f>
        <v/>
      </c>
      <c r="W241">
        <f>HYPERLINK("https://klasma.github.io/Logging_0685/klagomålsmail/A 26920-2022 FSC-klagomål mail.docx", "A 26920-2022")</f>
        <v/>
      </c>
      <c r="X241">
        <f>HYPERLINK("https://klasma.github.io/Logging_0685/tillsyn/A 26920-2022 tillsynsbegäran.docx", "A 26920-2022")</f>
        <v/>
      </c>
      <c r="Y241">
        <f>HYPERLINK("https://klasma.github.io/Logging_0685/tillsynsmail/A 26920-2022 tillsynsbegäran mail.docx", "A 26920-2022")</f>
        <v/>
      </c>
    </row>
    <row r="242" ht="15" customHeight="1">
      <c r="A242" t="inlineStr">
        <is>
          <t>A 6777-2024</t>
        </is>
      </c>
      <c r="B242" s="1" t="n">
        <v>45342</v>
      </c>
      <c r="C242" s="1" t="n">
        <v>45962</v>
      </c>
      <c r="D242" t="inlineStr">
        <is>
          <t>JÖNKÖPINGS LÄN</t>
        </is>
      </c>
      <c r="E242" t="inlineStr">
        <is>
          <t>VETLANDA</t>
        </is>
      </c>
      <c r="G242" t="n">
        <v>1</v>
      </c>
      <c r="H242" t="n">
        <v>0</v>
      </c>
      <c r="I242" t="n">
        <v>1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1</v>
      </c>
      <c r="R242" s="2" t="inlineStr">
        <is>
          <t>Strutbräken</t>
        </is>
      </c>
      <c r="S242">
        <f>HYPERLINK("https://klasma.github.io/Logging_0685/artfynd/A 6777-2024 artfynd.xlsx", "A 6777-2024")</f>
        <v/>
      </c>
      <c r="T242">
        <f>HYPERLINK("https://klasma.github.io/Logging_0685/kartor/A 6777-2024 karta.png", "A 6777-2024")</f>
        <v/>
      </c>
      <c r="V242">
        <f>HYPERLINK("https://klasma.github.io/Logging_0685/klagomål/A 6777-2024 FSC-klagomål.docx", "A 6777-2024")</f>
        <v/>
      </c>
      <c r="W242">
        <f>HYPERLINK("https://klasma.github.io/Logging_0685/klagomålsmail/A 6777-2024 FSC-klagomål mail.docx", "A 6777-2024")</f>
        <v/>
      </c>
      <c r="X242">
        <f>HYPERLINK("https://klasma.github.io/Logging_0685/tillsyn/A 6777-2024 tillsynsbegäran.docx", "A 6777-2024")</f>
        <v/>
      </c>
      <c r="Y242">
        <f>HYPERLINK("https://klasma.github.io/Logging_0685/tillsynsmail/A 6777-2024 tillsynsbegäran mail.docx", "A 6777-2024")</f>
        <v/>
      </c>
    </row>
    <row r="243" ht="15" customHeight="1">
      <c r="A243" t="inlineStr">
        <is>
          <t>A 29498-2025</t>
        </is>
      </c>
      <c r="B243" s="1" t="n">
        <v>45824.96813657408</v>
      </c>
      <c r="C243" s="1" t="n">
        <v>45962</v>
      </c>
      <c r="D243" t="inlineStr">
        <is>
          <t>JÖNKÖPINGS LÄN</t>
        </is>
      </c>
      <c r="E243" t="inlineStr">
        <is>
          <t>SÄVSJÖ</t>
        </is>
      </c>
      <c r="G243" t="n">
        <v>1.8</v>
      </c>
      <c r="H243" t="n">
        <v>0</v>
      </c>
      <c r="I243" t="n">
        <v>1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1</v>
      </c>
      <c r="R243" s="2" t="inlineStr">
        <is>
          <t>Kransrams</t>
        </is>
      </c>
      <c r="S243">
        <f>HYPERLINK("https://klasma.github.io/Logging_0684/artfynd/A 29498-2025 artfynd.xlsx", "A 29498-2025")</f>
        <v/>
      </c>
      <c r="T243">
        <f>HYPERLINK("https://klasma.github.io/Logging_0684/kartor/A 29498-2025 karta.png", "A 29498-2025")</f>
        <v/>
      </c>
      <c r="V243">
        <f>HYPERLINK("https://klasma.github.io/Logging_0684/klagomål/A 29498-2025 FSC-klagomål.docx", "A 29498-2025")</f>
        <v/>
      </c>
      <c r="W243">
        <f>HYPERLINK("https://klasma.github.io/Logging_0684/klagomålsmail/A 29498-2025 FSC-klagomål mail.docx", "A 29498-2025")</f>
        <v/>
      </c>
      <c r="X243">
        <f>HYPERLINK("https://klasma.github.io/Logging_0684/tillsyn/A 29498-2025 tillsynsbegäran.docx", "A 29498-2025")</f>
        <v/>
      </c>
      <c r="Y243">
        <f>HYPERLINK("https://klasma.github.io/Logging_0684/tillsynsmail/A 29498-2025 tillsynsbegäran mail.docx", "A 29498-2025")</f>
        <v/>
      </c>
    </row>
    <row r="244" ht="15" customHeight="1">
      <c r="A244" t="inlineStr">
        <is>
          <t>A 16446-2025</t>
        </is>
      </c>
      <c r="B244" s="1" t="n">
        <v>45751.50320601852</v>
      </c>
      <c r="C244" s="1" t="n">
        <v>45962</v>
      </c>
      <c r="D244" t="inlineStr">
        <is>
          <t>JÖNKÖPINGS LÄN</t>
        </is>
      </c>
      <c r="E244" t="inlineStr">
        <is>
          <t>MULLSJÖ</t>
        </is>
      </c>
      <c r="G244" t="n">
        <v>11.7</v>
      </c>
      <c r="H244" t="n">
        <v>0</v>
      </c>
      <c r="I244" t="n">
        <v>1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1</v>
      </c>
      <c r="R244" s="2" t="inlineStr">
        <is>
          <t>Dvärghäxört</t>
        </is>
      </c>
      <c r="S244">
        <f>HYPERLINK("https://klasma.github.io/Logging_0642/artfynd/A 16446-2025 artfynd.xlsx", "A 16446-2025")</f>
        <v/>
      </c>
      <c r="T244">
        <f>HYPERLINK("https://klasma.github.io/Logging_0642/kartor/A 16446-2025 karta.png", "A 16446-2025")</f>
        <v/>
      </c>
      <c r="V244">
        <f>HYPERLINK("https://klasma.github.io/Logging_0642/klagomål/A 16446-2025 FSC-klagomål.docx", "A 16446-2025")</f>
        <v/>
      </c>
      <c r="W244">
        <f>HYPERLINK("https://klasma.github.io/Logging_0642/klagomålsmail/A 16446-2025 FSC-klagomål mail.docx", "A 16446-2025")</f>
        <v/>
      </c>
      <c r="X244">
        <f>HYPERLINK("https://klasma.github.io/Logging_0642/tillsyn/A 16446-2025 tillsynsbegäran.docx", "A 16446-2025")</f>
        <v/>
      </c>
      <c r="Y244">
        <f>HYPERLINK("https://klasma.github.io/Logging_0642/tillsynsmail/A 16446-2025 tillsynsbegäran mail.docx", "A 16446-2025")</f>
        <v/>
      </c>
    </row>
    <row r="245" ht="15" customHeight="1">
      <c r="A245" t="inlineStr">
        <is>
          <t>A 56244-2022</t>
        </is>
      </c>
      <c r="B245" s="1" t="n">
        <v>44890</v>
      </c>
      <c r="C245" s="1" t="n">
        <v>45962</v>
      </c>
      <c r="D245" t="inlineStr">
        <is>
          <t>JÖNKÖPINGS LÄN</t>
        </is>
      </c>
      <c r="E245" t="inlineStr">
        <is>
          <t>MULLSJÖ</t>
        </is>
      </c>
      <c r="F245" t="inlineStr">
        <is>
          <t>Kyrkan</t>
        </is>
      </c>
      <c r="G245" t="n">
        <v>6</v>
      </c>
      <c r="H245" t="n">
        <v>1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1</v>
      </c>
      <c r="R245" s="2" t="inlineStr">
        <is>
          <t>Revlummer</t>
        </is>
      </c>
      <c r="S245">
        <f>HYPERLINK("https://klasma.github.io/Logging_0642/artfynd/A 56244-2022 artfynd.xlsx", "A 56244-2022")</f>
        <v/>
      </c>
      <c r="T245">
        <f>HYPERLINK("https://klasma.github.io/Logging_0642/kartor/A 56244-2022 karta.png", "A 56244-2022")</f>
        <v/>
      </c>
      <c r="V245">
        <f>HYPERLINK("https://klasma.github.io/Logging_0642/klagomål/A 56244-2022 FSC-klagomål.docx", "A 56244-2022")</f>
        <v/>
      </c>
      <c r="W245">
        <f>HYPERLINK("https://klasma.github.io/Logging_0642/klagomålsmail/A 56244-2022 FSC-klagomål mail.docx", "A 56244-2022")</f>
        <v/>
      </c>
      <c r="X245">
        <f>HYPERLINK("https://klasma.github.io/Logging_0642/tillsyn/A 56244-2022 tillsynsbegäran.docx", "A 56244-2022")</f>
        <v/>
      </c>
      <c r="Y245">
        <f>HYPERLINK("https://klasma.github.io/Logging_0642/tillsynsmail/A 56244-2022 tillsynsbegäran mail.docx", "A 56244-2022")</f>
        <v/>
      </c>
    </row>
    <row r="246" ht="15" customHeight="1">
      <c r="A246" t="inlineStr">
        <is>
          <t>A 47071-2024</t>
        </is>
      </c>
      <c r="B246" s="1" t="n">
        <v>45586.49113425926</v>
      </c>
      <c r="C246" s="1" t="n">
        <v>45962</v>
      </c>
      <c r="D246" t="inlineStr">
        <is>
          <t>JÖNKÖPINGS LÄN</t>
        </is>
      </c>
      <c r="E246" t="inlineStr">
        <is>
          <t>VETLANDA</t>
        </is>
      </c>
      <c r="G246" t="n">
        <v>3.6</v>
      </c>
      <c r="H246" t="n">
        <v>0</v>
      </c>
      <c r="I246" t="n">
        <v>0</v>
      </c>
      <c r="J246" t="n">
        <v>1</v>
      </c>
      <c r="K246" t="n">
        <v>0</v>
      </c>
      <c r="L246" t="n">
        <v>0</v>
      </c>
      <c r="M246" t="n">
        <v>0</v>
      </c>
      <c r="N246" t="n">
        <v>0</v>
      </c>
      <c r="O246" t="n">
        <v>1</v>
      </c>
      <c r="P246" t="n">
        <v>0</v>
      </c>
      <c r="Q246" t="n">
        <v>1</v>
      </c>
      <c r="R246" s="2" t="inlineStr">
        <is>
          <t>Etternässla</t>
        </is>
      </c>
      <c r="S246">
        <f>HYPERLINK("https://klasma.github.io/Logging_0685/artfynd/A 47071-2024 artfynd.xlsx", "A 47071-2024")</f>
        <v/>
      </c>
      <c r="T246">
        <f>HYPERLINK("https://klasma.github.io/Logging_0685/kartor/A 47071-2024 karta.png", "A 47071-2024")</f>
        <v/>
      </c>
      <c r="V246">
        <f>HYPERLINK("https://klasma.github.io/Logging_0685/klagomål/A 47071-2024 FSC-klagomål.docx", "A 47071-2024")</f>
        <v/>
      </c>
      <c r="W246">
        <f>HYPERLINK("https://klasma.github.io/Logging_0685/klagomålsmail/A 47071-2024 FSC-klagomål mail.docx", "A 47071-2024")</f>
        <v/>
      </c>
      <c r="X246">
        <f>HYPERLINK("https://klasma.github.io/Logging_0685/tillsyn/A 47071-2024 tillsynsbegäran.docx", "A 47071-2024")</f>
        <v/>
      </c>
      <c r="Y246">
        <f>HYPERLINK("https://klasma.github.io/Logging_0685/tillsynsmail/A 47071-2024 tillsynsbegäran mail.docx", "A 47071-2024")</f>
        <v/>
      </c>
    </row>
    <row r="247" ht="15" customHeight="1">
      <c r="A247" t="inlineStr">
        <is>
          <t>A 8976-2024</t>
        </is>
      </c>
      <c r="B247" s="1" t="n">
        <v>45357.50277777778</v>
      </c>
      <c r="C247" s="1" t="n">
        <v>45962</v>
      </c>
      <c r="D247" t="inlineStr">
        <is>
          <t>JÖNKÖPINGS LÄN</t>
        </is>
      </c>
      <c r="E247" t="inlineStr">
        <is>
          <t>VETLANDA</t>
        </is>
      </c>
      <c r="G247" t="n">
        <v>1.9</v>
      </c>
      <c r="H247" t="n">
        <v>0</v>
      </c>
      <c r="I247" t="n">
        <v>0</v>
      </c>
      <c r="J247" t="n">
        <v>1</v>
      </c>
      <c r="K247" t="n">
        <v>0</v>
      </c>
      <c r="L247" t="n">
        <v>0</v>
      </c>
      <c r="M247" t="n">
        <v>0</v>
      </c>
      <c r="N247" t="n">
        <v>0</v>
      </c>
      <c r="O247" t="n">
        <v>1</v>
      </c>
      <c r="P247" t="n">
        <v>0</v>
      </c>
      <c r="Q247" t="n">
        <v>1</v>
      </c>
      <c r="R247" s="2" t="inlineStr">
        <is>
          <t>Loppstarr</t>
        </is>
      </c>
      <c r="S247">
        <f>HYPERLINK("https://klasma.github.io/Logging_0685/artfynd/A 8976-2024 artfynd.xlsx", "A 8976-2024")</f>
        <v/>
      </c>
      <c r="T247">
        <f>HYPERLINK("https://klasma.github.io/Logging_0685/kartor/A 8976-2024 karta.png", "A 8976-2024")</f>
        <v/>
      </c>
      <c r="V247">
        <f>HYPERLINK("https://klasma.github.io/Logging_0685/klagomål/A 8976-2024 FSC-klagomål.docx", "A 8976-2024")</f>
        <v/>
      </c>
      <c r="W247">
        <f>HYPERLINK("https://klasma.github.io/Logging_0685/klagomålsmail/A 8976-2024 FSC-klagomål mail.docx", "A 8976-2024")</f>
        <v/>
      </c>
      <c r="X247">
        <f>HYPERLINK("https://klasma.github.io/Logging_0685/tillsyn/A 8976-2024 tillsynsbegäran.docx", "A 8976-2024")</f>
        <v/>
      </c>
      <c r="Y247">
        <f>HYPERLINK("https://klasma.github.io/Logging_0685/tillsynsmail/A 8976-2024 tillsynsbegäran mail.docx", "A 8976-2024")</f>
        <v/>
      </c>
    </row>
    <row r="248" ht="15" customHeight="1">
      <c r="A248" t="inlineStr">
        <is>
          <t>A 47729-2022</t>
        </is>
      </c>
      <c r="B248" s="1" t="n">
        <v>44854.62974537037</v>
      </c>
      <c r="C248" s="1" t="n">
        <v>45962</v>
      </c>
      <c r="D248" t="inlineStr">
        <is>
          <t>JÖNKÖPINGS LÄN</t>
        </is>
      </c>
      <c r="E248" t="inlineStr">
        <is>
          <t>EKSJÖ</t>
        </is>
      </c>
      <c r="F248" t="inlineStr">
        <is>
          <t>Övriga Aktiebolag</t>
        </is>
      </c>
      <c r="G248" t="n">
        <v>4.8</v>
      </c>
      <c r="H248" t="n">
        <v>0</v>
      </c>
      <c r="I248" t="n">
        <v>1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1</v>
      </c>
      <c r="R248" s="2" t="inlineStr">
        <is>
          <t>Tibast</t>
        </is>
      </c>
      <c r="S248">
        <f>HYPERLINK("https://klasma.github.io/Logging_0686/artfynd/A 47729-2022 artfynd.xlsx", "A 47729-2022")</f>
        <v/>
      </c>
      <c r="T248">
        <f>HYPERLINK("https://klasma.github.io/Logging_0686/kartor/A 47729-2022 karta.png", "A 47729-2022")</f>
        <v/>
      </c>
      <c r="V248">
        <f>HYPERLINK("https://klasma.github.io/Logging_0686/klagomål/A 47729-2022 FSC-klagomål.docx", "A 47729-2022")</f>
        <v/>
      </c>
      <c r="W248">
        <f>HYPERLINK("https://klasma.github.io/Logging_0686/klagomålsmail/A 47729-2022 FSC-klagomål mail.docx", "A 47729-2022")</f>
        <v/>
      </c>
      <c r="X248">
        <f>HYPERLINK("https://klasma.github.io/Logging_0686/tillsyn/A 47729-2022 tillsynsbegäran.docx", "A 47729-2022")</f>
        <v/>
      </c>
      <c r="Y248">
        <f>HYPERLINK("https://klasma.github.io/Logging_0686/tillsynsmail/A 47729-2022 tillsynsbegäran mail.docx", "A 47729-2022")</f>
        <v/>
      </c>
    </row>
    <row r="249" ht="15" customHeight="1">
      <c r="A249" t="inlineStr">
        <is>
          <t>A 9910-2025</t>
        </is>
      </c>
      <c r="B249" s="1" t="n">
        <v>45717.39260416666</v>
      </c>
      <c r="C249" s="1" t="n">
        <v>45962</v>
      </c>
      <c r="D249" t="inlineStr">
        <is>
          <t>JÖNKÖPINGS LÄN</t>
        </is>
      </c>
      <c r="E249" t="inlineStr">
        <is>
          <t>GISLAVED</t>
        </is>
      </c>
      <c r="G249" t="n">
        <v>11.3</v>
      </c>
      <c r="H249" t="n">
        <v>0</v>
      </c>
      <c r="I249" t="n">
        <v>1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1</v>
      </c>
      <c r="R249" s="2" t="inlineStr">
        <is>
          <t>Björksplintborre</t>
        </is>
      </c>
      <c r="S249">
        <f>HYPERLINK("https://klasma.github.io/Logging_0662/artfynd/A 9910-2025 artfynd.xlsx", "A 9910-2025")</f>
        <v/>
      </c>
      <c r="T249">
        <f>HYPERLINK("https://klasma.github.io/Logging_0662/kartor/A 9910-2025 karta.png", "A 9910-2025")</f>
        <v/>
      </c>
      <c r="V249">
        <f>HYPERLINK("https://klasma.github.io/Logging_0662/klagomål/A 9910-2025 FSC-klagomål.docx", "A 9910-2025")</f>
        <v/>
      </c>
      <c r="W249">
        <f>HYPERLINK("https://klasma.github.io/Logging_0662/klagomålsmail/A 9910-2025 FSC-klagomål mail.docx", "A 9910-2025")</f>
        <v/>
      </c>
      <c r="X249">
        <f>HYPERLINK("https://klasma.github.io/Logging_0662/tillsyn/A 9910-2025 tillsynsbegäran.docx", "A 9910-2025")</f>
        <v/>
      </c>
      <c r="Y249">
        <f>HYPERLINK("https://klasma.github.io/Logging_0662/tillsynsmail/A 9910-2025 tillsynsbegäran mail.docx", "A 9910-2025")</f>
        <v/>
      </c>
    </row>
    <row r="250" ht="15" customHeight="1">
      <c r="A250" t="inlineStr">
        <is>
          <t>A 31093-2025</t>
        </is>
      </c>
      <c r="B250" s="1" t="n">
        <v>45832.5953125</v>
      </c>
      <c r="C250" s="1" t="n">
        <v>45962</v>
      </c>
      <c r="D250" t="inlineStr">
        <is>
          <t>JÖNKÖPINGS LÄN</t>
        </is>
      </c>
      <c r="E250" t="inlineStr">
        <is>
          <t>MULLSJÖ</t>
        </is>
      </c>
      <c r="G250" t="n">
        <v>8.199999999999999</v>
      </c>
      <c r="H250" t="n">
        <v>0</v>
      </c>
      <c r="I250" t="n">
        <v>1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1</v>
      </c>
      <c r="R250" s="2" t="inlineStr">
        <is>
          <t>Blomkålssvamp</t>
        </is>
      </c>
      <c r="S250">
        <f>HYPERLINK("https://klasma.github.io/Logging_0642/artfynd/A 31093-2025 artfynd.xlsx", "A 31093-2025")</f>
        <v/>
      </c>
      <c r="T250">
        <f>HYPERLINK("https://klasma.github.io/Logging_0642/kartor/A 31093-2025 karta.png", "A 31093-2025")</f>
        <v/>
      </c>
      <c r="V250">
        <f>HYPERLINK("https://klasma.github.io/Logging_0642/klagomål/A 31093-2025 FSC-klagomål.docx", "A 31093-2025")</f>
        <v/>
      </c>
      <c r="W250">
        <f>HYPERLINK("https://klasma.github.io/Logging_0642/klagomålsmail/A 31093-2025 FSC-klagomål mail.docx", "A 31093-2025")</f>
        <v/>
      </c>
      <c r="X250">
        <f>HYPERLINK("https://klasma.github.io/Logging_0642/tillsyn/A 31093-2025 tillsynsbegäran.docx", "A 31093-2025")</f>
        <v/>
      </c>
      <c r="Y250">
        <f>HYPERLINK("https://klasma.github.io/Logging_0642/tillsynsmail/A 31093-2025 tillsynsbegäran mail.docx", "A 31093-2025")</f>
        <v/>
      </c>
    </row>
    <row r="251" ht="15" customHeight="1">
      <c r="A251" t="inlineStr">
        <is>
          <t>A 38031-2024</t>
        </is>
      </c>
      <c r="B251" s="1" t="n">
        <v>45544.66417824074</v>
      </c>
      <c r="C251" s="1" t="n">
        <v>45962</v>
      </c>
      <c r="D251" t="inlineStr">
        <is>
          <t>JÖNKÖPINGS LÄN</t>
        </is>
      </c>
      <c r="E251" t="inlineStr">
        <is>
          <t>ANEBY</t>
        </is>
      </c>
      <c r="F251" t="inlineStr">
        <is>
          <t>Övriga Aktiebolag</t>
        </is>
      </c>
      <c r="G251" t="n">
        <v>4.6</v>
      </c>
      <c r="H251" t="n">
        <v>0</v>
      </c>
      <c r="I251" t="n">
        <v>1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1</v>
      </c>
      <c r="R251" s="2" t="inlineStr">
        <is>
          <t>Fällmossa</t>
        </is>
      </c>
      <c r="S251">
        <f>HYPERLINK("https://klasma.github.io/Logging_0604/artfynd/A 38031-2024 artfynd.xlsx", "A 38031-2024")</f>
        <v/>
      </c>
      <c r="T251">
        <f>HYPERLINK("https://klasma.github.io/Logging_0604/kartor/A 38031-2024 karta.png", "A 38031-2024")</f>
        <v/>
      </c>
      <c r="V251">
        <f>HYPERLINK("https://klasma.github.io/Logging_0604/klagomål/A 38031-2024 FSC-klagomål.docx", "A 38031-2024")</f>
        <v/>
      </c>
      <c r="W251">
        <f>HYPERLINK("https://klasma.github.io/Logging_0604/klagomålsmail/A 38031-2024 FSC-klagomål mail.docx", "A 38031-2024")</f>
        <v/>
      </c>
      <c r="X251">
        <f>HYPERLINK("https://klasma.github.io/Logging_0604/tillsyn/A 38031-2024 tillsynsbegäran.docx", "A 38031-2024")</f>
        <v/>
      </c>
      <c r="Y251">
        <f>HYPERLINK("https://klasma.github.io/Logging_0604/tillsynsmail/A 38031-2024 tillsynsbegäran mail.docx", "A 38031-2024")</f>
        <v/>
      </c>
    </row>
    <row r="252" ht="15" customHeight="1">
      <c r="A252" t="inlineStr">
        <is>
          <t>A 17410-2024</t>
        </is>
      </c>
      <c r="B252" s="1" t="n">
        <v>45414.89228009259</v>
      </c>
      <c r="C252" s="1" t="n">
        <v>45962</v>
      </c>
      <c r="D252" t="inlineStr">
        <is>
          <t>JÖNKÖPINGS LÄN</t>
        </is>
      </c>
      <c r="E252" t="inlineStr">
        <is>
          <t>MULLSJÖ</t>
        </is>
      </c>
      <c r="G252" t="n">
        <v>7.3</v>
      </c>
      <c r="H252" t="n">
        <v>0</v>
      </c>
      <c r="I252" t="n">
        <v>1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1</v>
      </c>
      <c r="R252" s="2" t="inlineStr">
        <is>
          <t>Mörk husmossa</t>
        </is>
      </c>
      <c r="S252">
        <f>HYPERLINK("https://klasma.github.io/Logging_0642/artfynd/A 17410-2024 artfynd.xlsx", "A 17410-2024")</f>
        <v/>
      </c>
      <c r="T252">
        <f>HYPERLINK("https://klasma.github.io/Logging_0642/kartor/A 17410-2024 karta.png", "A 17410-2024")</f>
        <v/>
      </c>
      <c r="V252">
        <f>HYPERLINK("https://klasma.github.io/Logging_0642/klagomål/A 17410-2024 FSC-klagomål.docx", "A 17410-2024")</f>
        <v/>
      </c>
      <c r="W252">
        <f>HYPERLINK("https://klasma.github.io/Logging_0642/klagomålsmail/A 17410-2024 FSC-klagomål mail.docx", "A 17410-2024")</f>
        <v/>
      </c>
      <c r="X252">
        <f>HYPERLINK("https://klasma.github.io/Logging_0642/tillsyn/A 17410-2024 tillsynsbegäran.docx", "A 17410-2024")</f>
        <v/>
      </c>
      <c r="Y252">
        <f>HYPERLINK("https://klasma.github.io/Logging_0642/tillsynsmail/A 17410-2024 tillsynsbegäran mail.docx", "A 17410-2024")</f>
        <v/>
      </c>
    </row>
    <row r="253" ht="15" customHeight="1">
      <c r="A253" t="inlineStr">
        <is>
          <t>A 31857-2024</t>
        </is>
      </c>
      <c r="B253" s="1" t="n">
        <v>45509</v>
      </c>
      <c r="C253" s="1" t="n">
        <v>45962</v>
      </c>
      <c r="D253" t="inlineStr">
        <is>
          <t>JÖNKÖPINGS LÄN</t>
        </is>
      </c>
      <c r="E253" t="inlineStr">
        <is>
          <t>TRANÅS</t>
        </is>
      </c>
      <c r="F253" t="inlineStr">
        <is>
          <t>Kommuner</t>
        </is>
      </c>
      <c r="G253" t="n">
        <v>6.2</v>
      </c>
      <c r="H253" t="n">
        <v>0</v>
      </c>
      <c r="I253" t="n">
        <v>0</v>
      </c>
      <c r="J253" t="n">
        <v>0</v>
      </c>
      <c r="K253" t="n">
        <v>0</v>
      </c>
      <c r="L253" t="n">
        <v>1</v>
      </c>
      <c r="M253" t="n">
        <v>0</v>
      </c>
      <c r="N253" t="n">
        <v>0</v>
      </c>
      <c r="O253" t="n">
        <v>1</v>
      </c>
      <c r="P253" t="n">
        <v>1</v>
      </c>
      <c r="Q253" t="n">
        <v>1</v>
      </c>
      <c r="R253" s="2" t="inlineStr">
        <is>
          <t>Ryl</t>
        </is>
      </c>
      <c r="S253">
        <f>HYPERLINK("https://klasma.github.io/Logging_0687/artfynd/A 31857-2024 artfynd.xlsx", "A 31857-2024")</f>
        <v/>
      </c>
      <c r="T253">
        <f>HYPERLINK("https://klasma.github.io/Logging_0687/kartor/A 31857-2024 karta.png", "A 31857-2024")</f>
        <v/>
      </c>
      <c r="V253">
        <f>HYPERLINK("https://klasma.github.io/Logging_0687/klagomål/A 31857-2024 FSC-klagomål.docx", "A 31857-2024")</f>
        <v/>
      </c>
      <c r="W253">
        <f>HYPERLINK("https://klasma.github.io/Logging_0687/klagomålsmail/A 31857-2024 FSC-klagomål mail.docx", "A 31857-2024")</f>
        <v/>
      </c>
      <c r="X253">
        <f>HYPERLINK("https://klasma.github.io/Logging_0687/tillsyn/A 31857-2024 tillsynsbegäran.docx", "A 31857-2024")</f>
        <v/>
      </c>
      <c r="Y253">
        <f>HYPERLINK("https://klasma.github.io/Logging_0687/tillsynsmail/A 31857-2024 tillsynsbegäran mail.docx", "A 31857-2024")</f>
        <v/>
      </c>
    </row>
    <row r="254" ht="15" customHeight="1">
      <c r="A254" t="inlineStr">
        <is>
          <t>A 3089-2025</t>
        </is>
      </c>
      <c r="B254" s="1" t="n">
        <v>45678.65314814815</v>
      </c>
      <c r="C254" s="1" t="n">
        <v>45962</v>
      </c>
      <c r="D254" t="inlineStr">
        <is>
          <t>JÖNKÖPINGS LÄN</t>
        </is>
      </c>
      <c r="E254" t="inlineStr">
        <is>
          <t>VÄRNAMO</t>
        </is>
      </c>
      <c r="G254" t="n">
        <v>4</v>
      </c>
      <c r="H254" t="n">
        <v>1</v>
      </c>
      <c r="I254" t="n">
        <v>0</v>
      </c>
      <c r="J254" t="n">
        <v>1</v>
      </c>
      <c r="K254" t="n">
        <v>0</v>
      </c>
      <c r="L254" t="n">
        <v>0</v>
      </c>
      <c r="M254" t="n">
        <v>0</v>
      </c>
      <c r="N254" t="n">
        <v>0</v>
      </c>
      <c r="O254" t="n">
        <v>1</v>
      </c>
      <c r="P254" t="n">
        <v>0</v>
      </c>
      <c r="Q254" t="n">
        <v>1</v>
      </c>
      <c r="R254" s="2" t="inlineStr">
        <is>
          <t>Talltita</t>
        </is>
      </c>
      <c r="S254">
        <f>HYPERLINK("https://klasma.github.io/Logging_0683/artfynd/A 3089-2025 artfynd.xlsx", "A 3089-2025")</f>
        <v/>
      </c>
      <c r="T254">
        <f>HYPERLINK("https://klasma.github.io/Logging_0683/kartor/A 3089-2025 karta.png", "A 3089-2025")</f>
        <v/>
      </c>
      <c r="V254">
        <f>HYPERLINK("https://klasma.github.io/Logging_0683/klagomål/A 3089-2025 FSC-klagomål.docx", "A 3089-2025")</f>
        <v/>
      </c>
      <c r="W254">
        <f>HYPERLINK("https://klasma.github.io/Logging_0683/klagomålsmail/A 3089-2025 FSC-klagomål mail.docx", "A 3089-2025")</f>
        <v/>
      </c>
      <c r="X254">
        <f>HYPERLINK("https://klasma.github.io/Logging_0683/tillsyn/A 3089-2025 tillsynsbegäran.docx", "A 3089-2025")</f>
        <v/>
      </c>
      <c r="Y254">
        <f>HYPERLINK("https://klasma.github.io/Logging_0683/tillsynsmail/A 3089-2025 tillsynsbegäran mail.docx", "A 3089-2025")</f>
        <v/>
      </c>
      <c r="Z254">
        <f>HYPERLINK("https://klasma.github.io/Logging_0683/fåglar/A 3089-2025 prioriterade fågelarter.docx", "A 3089-2025")</f>
        <v/>
      </c>
    </row>
    <row r="255" ht="15" customHeight="1">
      <c r="A255" t="inlineStr">
        <is>
          <t>A 31979-2025</t>
        </is>
      </c>
      <c r="B255" s="1" t="n">
        <v>45835.35682870371</v>
      </c>
      <c r="C255" s="1" t="n">
        <v>45962</v>
      </c>
      <c r="D255" t="inlineStr">
        <is>
          <t>JÖNKÖPINGS LÄN</t>
        </is>
      </c>
      <c r="E255" t="inlineStr">
        <is>
          <t>VETLANDA</t>
        </is>
      </c>
      <c r="G255" t="n">
        <v>4.9</v>
      </c>
      <c r="H255" t="n">
        <v>0</v>
      </c>
      <c r="I255" t="n">
        <v>1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1</v>
      </c>
      <c r="R255" s="2" t="inlineStr">
        <is>
          <t>Vätteros</t>
        </is>
      </c>
      <c r="S255">
        <f>HYPERLINK("https://klasma.github.io/Logging_0685/artfynd/A 31979-2025 artfynd.xlsx", "A 31979-2025")</f>
        <v/>
      </c>
      <c r="T255">
        <f>HYPERLINK("https://klasma.github.io/Logging_0685/kartor/A 31979-2025 karta.png", "A 31979-2025")</f>
        <v/>
      </c>
      <c r="V255">
        <f>HYPERLINK("https://klasma.github.io/Logging_0685/klagomål/A 31979-2025 FSC-klagomål.docx", "A 31979-2025")</f>
        <v/>
      </c>
      <c r="W255">
        <f>HYPERLINK("https://klasma.github.io/Logging_0685/klagomålsmail/A 31979-2025 FSC-klagomål mail.docx", "A 31979-2025")</f>
        <v/>
      </c>
      <c r="X255">
        <f>HYPERLINK("https://klasma.github.io/Logging_0685/tillsyn/A 31979-2025 tillsynsbegäran.docx", "A 31979-2025")</f>
        <v/>
      </c>
      <c r="Y255">
        <f>HYPERLINK("https://klasma.github.io/Logging_0685/tillsynsmail/A 31979-2025 tillsynsbegäran mail.docx", "A 31979-2025")</f>
        <v/>
      </c>
    </row>
    <row r="256" ht="15" customHeight="1">
      <c r="A256" t="inlineStr">
        <is>
          <t>A 1073-2025</t>
        </is>
      </c>
      <c r="B256" s="1" t="n">
        <v>45666.59840277778</v>
      </c>
      <c r="C256" s="1" t="n">
        <v>45962</v>
      </c>
      <c r="D256" t="inlineStr">
        <is>
          <t>JÖNKÖPINGS LÄN</t>
        </is>
      </c>
      <c r="E256" t="inlineStr">
        <is>
          <t>EKSJÖ</t>
        </is>
      </c>
      <c r="G256" t="n">
        <v>1.8</v>
      </c>
      <c r="H256" t="n">
        <v>1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1</v>
      </c>
      <c r="R256" s="2" t="inlineStr">
        <is>
          <t>Myggblomster</t>
        </is>
      </c>
      <c r="S256">
        <f>HYPERLINK("https://klasma.github.io/Logging_0686/artfynd/A 1073-2025 artfynd.xlsx", "A 1073-2025")</f>
        <v/>
      </c>
      <c r="T256">
        <f>HYPERLINK("https://klasma.github.io/Logging_0686/kartor/A 1073-2025 karta.png", "A 1073-2025")</f>
        <v/>
      </c>
      <c r="V256">
        <f>HYPERLINK("https://klasma.github.io/Logging_0686/klagomål/A 1073-2025 FSC-klagomål.docx", "A 1073-2025")</f>
        <v/>
      </c>
      <c r="W256">
        <f>HYPERLINK("https://klasma.github.io/Logging_0686/klagomålsmail/A 1073-2025 FSC-klagomål mail.docx", "A 1073-2025")</f>
        <v/>
      </c>
      <c r="X256">
        <f>HYPERLINK("https://klasma.github.io/Logging_0686/tillsyn/A 1073-2025 tillsynsbegäran.docx", "A 1073-2025")</f>
        <v/>
      </c>
      <c r="Y256">
        <f>HYPERLINK("https://klasma.github.io/Logging_0686/tillsynsmail/A 1073-2025 tillsynsbegäran mail.docx", "A 1073-2025")</f>
        <v/>
      </c>
    </row>
    <row r="257" ht="15" customHeight="1">
      <c r="A257" t="inlineStr">
        <is>
          <t>A 18270-2021</t>
        </is>
      </c>
      <c r="B257" s="1" t="n">
        <v>44305</v>
      </c>
      <c r="C257" s="1" t="n">
        <v>45962</v>
      </c>
      <c r="D257" t="inlineStr">
        <is>
          <t>JÖNKÖPINGS LÄN</t>
        </is>
      </c>
      <c r="E257" t="inlineStr">
        <is>
          <t>VETLANDA</t>
        </is>
      </c>
      <c r="G257" t="n">
        <v>1</v>
      </c>
      <c r="H257" t="n">
        <v>0</v>
      </c>
      <c r="I257" t="n">
        <v>1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1</v>
      </c>
      <c r="R257" s="2" t="inlineStr">
        <is>
          <t>Ögonpyrola</t>
        </is>
      </c>
      <c r="S257">
        <f>HYPERLINK("https://klasma.github.io/Logging_0685/artfynd/A 18270-2021 artfynd.xlsx", "A 18270-2021")</f>
        <v/>
      </c>
      <c r="T257">
        <f>HYPERLINK("https://klasma.github.io/Logging_0685/kartor/A 18270-2021 karta.png", "A 18270-2021")</f>
        <v/>
      </c>
      <c r="V257">
        <f>HYPERLINK("https://klasma.github.io/Logging_0685/klagomål/A 18270-2021 FSC-klagomål.docx", "A 18270-2021")</f>
        <v/>
      </c>
      <c r="W257">
        <f>HYPERLINK("https://klasma.github.io/Logging_0685/klagomålsmail/A 18270-2021 FSC-klagomål mail.docx", "A 18270-2021")</f>
        <v/>
      </c>
      <c r="X257">
        <f>HYPERLINK("https://klasma.github.io/Logging_0685/tillsyn/A 18270-2021 tillsynsbegäran.docx", "A 18270-2021")</f>
        <v/>
      </c>
      <c r="Y257">
        <f>HYPERLINK("https://klasma.github.io/Logging_0685/tillsynsmail/A 18270-2021 tillsynsbegäran mail.docx", "A 18270-2021")</f>
        <v/>
      </c>
    </row>
    <row r="258" ht="15" customHeight="1">
      <c r="A258" t="inlineStr">
        <is>
          <t>A 36227-2024</t>
        </is>
      </c>
      <c r="B258" s="1" t="n">
        <v>45534</v>
      </c>
      <c r="C258" s="1" t="n">
        <v>45962</v>
      </c>
      <c r="D258" t="inlineStr">
        <is>
          <t>JÖNKÖPINGS LÄN</t>
        </is>
      </c>
      <c r="E258" t="inlineStr">
        <is>
          <t>HABO</t>
        </is>
      </c>
      <c r="F258" t="inlineStr">
        <is>
          <t>Allmännings- och besparingsskogar</t>
        </is>
      </c>
      <c r="G258" t="n">
        <v>6.7</v>
      </c>
      <c r="H258" t="n">
        <v>0</v>
      </c>
      <c r="I258" t="n">
        <v>0</v>
      </c>
      <c r="J258" t="n">
        <v>1</v>
      </c>
      <c r="K258" t="n">
        <v>0</v>
      </c>
      <c r="L258" t="n">
        <v>0</v>
      </c>
      <c r="M258" t="n">
        <v>0</v>
      </c>
      <c r="N258" t="n">
        <v>0</v>
      </c>
      <c r="O258" t="n">
        <v>1</v>
      </c>
      <c r="P258" t="n">
        <v>0</v>
      </c>
      <c r="Q258" t="n">
        <v>1</v>
      </c>
      <c r="R258" s="2" t="inlineStr">
        <is>
          <t>Motaggsvamp</t>
        </is>
      </c>
      <c r="S258">
        <f>HYPERLINK("https://klasma.github.io/Logging_0643/artfynd/A 36227-2024 artfynd.xlsx", "A 36227-2024")</f>
        <v/>
      </c>
      <c r="T258">
        <f>HYPERLINK("https://klasma.github.io/Logging_0643/kartor/A 36227-2024 karta.png", "A 36227-2024")</f>
        <v/>
      </c>
      <c r="V258">
        <f>HYPERLINK("https://klasma.github.io/Logging_0643/klagomål/A 36227-2024 FSC-klagomål.docx", "A 36227-2024")</f>
        <v/>
      </c>
      <c r="W258">
        <f>HYPERLINK("https://klasma.github.io/Logging_0643/klagomålsmail/A 36227-2024 FSC-klagomål mail.docx", "A 36227-2024")</f>
        <v/>
      </c>
      <c r="X258">
        <f>HYPERLINK("https://klasma.github.io/Logging_0643/tillsyn/A 36227-2024 tillsynsbegäran.docx", "A 36227-2024")</f>
        <v/>
      </c>
      <c r="Y258">
        <f>HYPERLINK("https://klasma.github.io/Logging_0643/tillsynsmail/A 36227-2024 tillsynsbegäran mail.docx", "A 36227-2024")</f>
        <v/>
      </c>
    </row>
    <row r="259" ht="15" customHeight="1">
      <c r="A259" t="inlineStr">
        <is>
          <t>A 55860-2022</t>
        </is>
      </c>
      <c r="B259" s="1" t="n">
        <v>44886</v>
      </c>
      <c r="C259" s="1" t="n">
        <v>45962</v>
      </c>
      <c r="D259" t="inlineStr">
        <is>
          <t>JÖNKÖPINGS LÄN</t>
        </is>
      </c>
      <c r="E259" t="inlineStr">
        <is>
          <t>NÄSSJÖ</t>
        </is>
      </c>
      <c r="G259" t="n">
        <v>2.6</v>
      </c>
      <c r="H259" t="n">
        <v>1</v>
      </c>
      <c r="I259" t="n">
        <v>0</v>
      </c>
      <c r="J259" t="n">
        <v>0</v>
      </c>
      <c r="K259" t="n">
        <v>1</v>
      </c>
      <c r="L259" t="n">
        <v>0</v>
      </c>
      <c r="M259" t="n">
        <v>0</v>
      </c>
      <c r="N259" t="n">
        <v>0</v>
      </c>
      <c r="O259" t="n">
        <v>1</v>
      </c>
      <c r="P259" t="n">
        <v>1</v>
      </c>
      <c r="Q259" t="n">
        <v>1</v>
      </c>
      <c r="R259" s="2" t="inlineStr">
        <is>
          <t>Knärot</t>
        </is>
      </c>
      <c r="S259">
        <f>HYPERLINK("https://klasma.github.io/Logging_0682/artfynd/A 55860-2022 artfynd.xlsx", "A 55860-2022")</f>
        <v/>
      </c>
      <c r="T259">
        <f>HYPERLINK("https://klasma.github.io/Logging_0682/kartor/A 55860-2022 karta.png", "A 55860-2022")</f>
        <v/>
      </c>
      <c r="U259">
        <f>HYPERLINK("https://klasma.github.io/Logging_0682/knärot/A 55860-2022 karta knärot.png", "A 55860-2022")</f>
        <v/>
      </c>
      <c r="V259">
        <f>HYPERLINK("https://klasma.github.io/Logging_0682/klagomål/A 55860-2022 FSC-klagomål.docx", "A 55860-2022")</f>
        <v/>
      </c>
      <c r="W259">
        <f>HYPERLINK("https://klasma.github.io/Logging_0682/klagomålsmail/A 55860-2022 FSC-klagomål mail.docx", "A 55860-2022")</f>
        <v/>
      </c>
      <c r="X259">
        <f>HYPERLINK("https://klasma.github.io/Logging_0682/tillsyn/A 55860-2022 tillsynsbegäran.docx", "A 55860-2022")</f>
        <v/>
      </c>
      <c r="Y259">
        <f>HYPERLINK("https://klasma.github.io/Logging_0682/tillsynsmail/A 55860-2022 tillsynsbegäran mail.docx", "A 55860-2022")</f>
        <v/>
      </c>
    </row>
    <row r="260" ht="15" customHeight="1">
      <c r="A260" t="inlineStr">
        <is>
          <t>A 60971-2023</t>
        </is>
      </c>
      <c r="B260" s="1" t="n">
        <v>45261</v>
      </c>
      <c r="C260" s="1" t="n">
        <v>45962</v>
      </c>
      <c r="D260" t="inlineStr">
        <is>
          <t>JÖNKÖPINGS LÄN</t>
        </is>
      </c>
      <c r="E260" t="inlineStr">
        <is>
          <t>VETLANDA</t>
        </is>
      </c>
      <c r="G260" t="n">
        <v>0.5</v>
      </c>
      <c r="H260" t="n">
        <v>1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1</v>
      </c>
      <c r="R260" s="2" t="inlineStr">
        <is>
          <t>Blåsippa</t>
        </is>
      </c>
      <c r="S260">
        <f>HYPERLINK("https://klasma.github.io/Logging_0685/artfynd/A 60971-2023 artfynd.xlsx", "A 60971-2023")</f>
        <v/>
      </c>
      <c r="T260">
        <f>HYPERLINK("https://klasma.github.io/Logging_0685/kartor/A 60971-2023 karta.png", "A 60971-2023")</f>
        <v/>
      </c>
      <c r="V260">
        <f>HYPERLINK("https://klasma.github.io/Logging_0685/klagomål/A 60971-2023 FSC-klagomål.docx", "A 60971-2023")</f>
        <v/>
      </c>
      <c r="W260">
        <f>HYPERLINK("https://klasma.github.io/Logging_0685/klagomålsmail/A 60971-2023 FSC-klagomål mail.docx", "A 60971-2023")</f>
        <v/>
      </c>
      <c r="X260">
        <f>HYPERLINK("https://klasma.github.io/Logging_0685/tillsyn/A 60971-2023 tillsynsbegäran.docx", "A 60971-2023")</f>
        <v/>
      </c>
      <c r="Y260">
        <f>HYPERLINK("https://klasma.github.io/Logging_0685/tillsynsmail/A 60971-2023 tillsynsbegäran mail.docx", "A 60971-2023")</f>
        <v/>
      </c>
    </row>
    <row r="261" ht="15" customHeight="1">
      <c r="A261" t="inlineStr">
        <is>
          <t>A 32830-2025</t>
        </is>
      </c>
      <c r="B261" s="1" t="n">
        <v>45839.55155092593</v>
      </c>
      <c r="C261" s="1" t="n">
        <v>45962</v>
      </c>
      <c r="D261" t="inlineStr">
        <is>
          <t>JÖNKÖPINGS LÄN</t>
        </is>
      </c>
      <c r="E261" t="inlineStr">
        <is>
          <t>EKSJÖ</t>
        </is>
      </c>
      <c r="F261" t="inlineStr">
        <is>
          <t>Övriga Aktiebolag</t>
        </is>
      </c>
      <c r="G261" t="n">
        <v>3.3</v>
      </c>
      <c r="H261" t="n">
        <v>1</v>
      </c>
      <c r="I261" t="n">
        <v>1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1</v>
      </c>
      <c r="R261" s="2" t="inlineStr">
        <is>
          <t>Spindelblomster</t>
        </is>
      </c>
      <c r="S261">
        <f>HYPERLINK("https://klasma.github.io/Logging_0686/artfynd/A 32830-2025 artfynd.xlsx", "A 32830-2025")</f>
        <v/>
      </c>
      <c r="T261">
        <f>HYPERLINK("https://klasma.github.io/Logging_0686/kartor/A 32830-2025 karta.png", "A 32830-2025")</f>
        <v/>
      </c>
      <c r="V261">
        <f>HYPERLINK("https://klasma.github.io/Logging_0686/klagomål/A 32830-2025 FSC-klagomål.docx", "A 32830-2025")</f>
        <v/>
      </c>
      <c r="W261">
        <f>HYPERLINK("https://klasma.github.io/Logging_0686/klagomålsmail/A 32830-2025 FSC-klagomål mail.docx", "A 32830-2025")</f>
        <v/>
      </c>
      <c r="X261">
        <f>HYPERLINK("https://klasma.github.io/Logging_0686/tillsyn/A 32830-2025 tillsynsbegäran.docx", "A 32830-2025")</f>
        <v/>
      </c>
      <c r="Y261">
        <f>HYPERLINK("https://klasma.github.io/Logging_0686/tillsynsmail/A 32830-2025 tillsynsbegäran mail.docx", "A 32830-2025")</f>
        <v/>
      </c>
    </row>
    <row r="262" ht="15" customHeight="1">
      <c r="A262" t="inlineStr">
        <is>
          <t>A 2486-2023</t>
        </is>
      </c>
      <c r="B262" s="1" t="n">
        <v>44943</v>
      </c>
      <c r="C262" s="1" t="n">
        <v>45962</v>
      </c>
      <c r="D262" t="inlineStr">
        <is>
          <t>JÖNKÖPINGS LÄN</t>
        </is>
      </c>
      <c r="E262" t="inlineStr">
        <is>
          <t>JÖNKÖPING</t>
        </is>
      </c>
      <c r="G262" t="n">
        <v>2.5</v>
      </c>
      <c r="H262" t="n">
        <v>0</v>
      </c>
      <c r="I262" t="n">
        <v>0</v>
      </c>
      <c r="J262" t="n">
        <v>1</v>
      </c>
      <c r="K262" t="n">
        <v>0</v>
      </c>
      <c r="L262" t="n">
        <v>0</v>
      </c>
      <c r="M262" t="n">
        <v>0</v>
      </c>
      <c r="N262" t="n">
        <v>0</v>
      </c>
      <c r="O262" t="n">
        <v>1</v>
      </c>
      <c r="P262" t="n">
        <v>0</v>
      </c>
      <c r="Q262" t="n">
        <v>1</v>
      </c>
      <c r="R262" s="2" t="inlineStr">
        <is>
          <t>Solvända</t>
        </is>
      </c>
      <c r="S262">
        <f>HYPERLINK("https://klasma.github.io/Logging_0680/artfynd/A 2486-2023 artfynd.xlsx", "A 2486-2023")</f>
        <v/>
      </c>
      <c r="T262">
        <f>HYPERLINK("https://klasma.github.io/Logging_0680/kartor/A 2486-2023 karta.png", "A 2486-2023")</f>
        <v/>
      </c>
      <c r="V262">
        <f>HYPERLINK("https://klasma.github.io/Logging_0680/klagomål/A 2486-2023 FSC-klagomål.docx", "A 2486-2023")</f>
        <v/>
      </c>
      <c r="W262">
        <f>HYPERLINK("https://klasma.github.io/Logging_0680/klagomålsmail/A 2486-2023 FSC-klagomål mail.docx", "A 2486-2023")</f>
        <v/>
      </c>
      <c r="X262">
        <f>HYPERLINK("https://klasma.github.io/Logging_0680/tillsyn/A 2486-2023 tillsynsbegäran.docx", "A 2486-2023")</f>
        <v/>
      </c>
      <c r="Y262">
        <f>HYPERLINK("https://klasma.github.io/Logging_0680/tillsynsmail/A 2486-2023 tillsynsbegäran mail.docx", "A 2486-2023")</f>
        <v/>
      </c>
    </row>
    <row r="263" ht="15" customHeight="1">
      <c r="A263" t="inlineStr">
        <is>
          <t>A 53528-2023</t>
        </is>
      </c>
      <c r="B263" s="1" t="n">
        <v>45223</v>
      </c>
      <c r="C263" s="1" t="n">
        <v>45962</v>
      </c>
      <c r="D263" t="inlineStr">
        <is>
          <t>JÖNKÖPINGS LÄN</t>
        </is>
      </c>
      <c r="E263" t="inlineStr">
        <is>
          <t>VÄRNAMO</t>
        </is>
      </c>
      <c r="F263" t="inlineStr">
        <is>
          <t>Kyrkan</t>
        </is>
      </c>
      <c r="G263" t="n">
        <v>1.4</v>
      </c>
      <c r="H263" t="n">
        <v>1</v>
      </c>
      <c r="I263" t="n">
        <v>0</v>
      </c>
      <c r="J263" t="n">
        <v>1</v>
      </c>
      <c r="K263" t="n">
        <v>0</v>
      </c>
      <c r="L263" t="n">
        <v>0</v>
      </c>
      <c r="M263" t="n">
        <v>0</v>
      </c>
      <c r="N263" t="n">
        <v>0</v>
      </c>
      <c r="O263" t="n">
        <v>1</v>
      </c>
      <c r="P263" t="n">
        <v>0</v>
      </c>
      <c r="Q263" t="n">
        <v>1</v>
      </c>
      <c r="R263" s="2" t="inlineStr">
        <is>
          <t>Svartvit flugsnappare</t>
        </is>
      </c>
      <c r="S263">
        <f>HYPERLINK("https://klasma.github.io/Logging_0683/artfynd/A 53528-2023 artfynd.xlsx", "A 53528-2023")</f>
        <v/>
      </c>
      <c r="T263">
        <f>HYPERLINK("https://klasma.github.io/Logging_0683/kartor/A 53528-2023 karta.png", "A 53528-2023")</f>
        <v/>
      </c>
      <c r="V263">
        <f>HYPERLINK("https://klasma.github.io/Logging_0683/klagomål/A 53528-2023 FSC-klagomål.docx", "A 53528-2023")</f>
        <v/>
      </c>
      <c r="W263">
        <f>HYPERLINK("https://klasma.github.io/Logging_0683/klagomålsmail/A 53528-2023 FSC-klagomål mail.docx", "A 53528-2023")</f>
        <v/>
      </c>
      <c r="X263">
        <f>HYPERLINK("https://klasma.github.io/Logging_0683/tillsyn/A 53528-2023 tillsynsbegäran.docx", "A 53528-2023")</f>
        <v/>
      </c>
      <c r="Y263">
        <f>HYPERLINK("https://klasma.github.io/Logging_0683/tillsynsmail/A 53528-2023 tillsynsbegäran mail.docx", "A 53528-2023")</f>
        <v/>
      </c>
      <c r="Z263">
        <f>HYPERLINK("https://klasma.github.io/Logging_0683/fåglar/A 53528-2023 prioriterade fågelarter.docx", "A 53528-2023")</f>
        <v/>
      </c>
    </row>
    <row r="264" ht="15" customHeight="1">
      <c r="A264" t="inlineStr">
        <is>
          <t>A 33366-2025</t>
        </is>
      </c>
      <c r="B264" s="1" t="n">
        <v>45841.38553240741</v>
      </c>
      <c r="C264" s="1" t="n">
        <v>45962</v>
      </c>
      <c r="D264" t="inlineStr">
        <is>
          <t>JÖNKÖPINGS LÄN</t>
        </is>
      </c>
      <c r="E264" t="inlineStr">
        <is>
          <t>VÄRNAMO</t>
        </is>
      </c>
      <c r="G264" t="n">
        <v>5.7</v>
      </c>
      <c r="H264" t="n">
        <v>1</v>
      </c>
      <c r="I264" t="n">
        <v>0</v>
      </c>
      <c r="J264" t="n">
        <v>1</v>
      </c>
      <c r="K264" t="n">
        <v>0</v>
      </c>
      <c r="L264" t="n">
        <v>0</v>
      </c>
      <c r="M264" t="n">
        <v>0</v>
      </c>
      <c r="N264" t="n">
        <v>0</v>
      </c>
      <c r="O264" t="n">
        <v>1</v>
      </c>
      <c r="P264" t="n">
        <v>0</v>
      </c>
      <c r="Q264" t="n">
        <v>1</v>
      </c>
      <c r="R264" s="2" t="inlineStr">
        <is>
          <t>Strandlummer</t>
        </is>
      </c>
      <c r="S264">
        <f>HYPERLINK("https://klasma.github.io/Logging_0683/artfynd/A 33366-2025 artfynd.xlsx", "A 33366-2025")</f>
        <v/>
      </c>
      <c r="T264">
        <f>HYPERLINK("https://klasma.github.io/Logging_0683/kartor/A 33366-2025 karta.png", "A 33366-2025")</f>
        <v/>
      </c>
      <c r="V264">
        <f>HYPERLINK("https://klasma.github.io/Logging_0683/klagomål/A 33366-2025 FSC-klagomål.docx", "A 33366-2025")</f>
        <v/>
      </c>
      <c r="W264">
        <f>HYPERLINK("https://klasma.github.io/Logging_0683/klagomålsmail/A 33366-2025 FSC-klagomål mail.docx", "A 33366-2025")</f>
        <v/>
      </c>
      <c r="X264">
        <f>HYPERLINK("https://klasma.github.io/Logging_0683/tillsyn/A 33366-2025 tillsynsbegäran.docx", "A 33366-2025")</f>
        <v/>
      </c>
      <c r="Y264">
        <f>HYPERLINK("https://klasma.github.io/Logging_0683/tillsynsmail/A 33366-2025 tillsynsbegäran mail.docx", "A 33366-2025")</f>
        <v/>
      </c>
    </row>
    <row r="265" ht="15" customHeight="1">
      <c r="A265" t="inlineStr">
        <is>
          <t>A 33405-2025</t>
        </is>
      </c>
      <c r="B265" s="1" t="n">
        <v>45841.4303125</v>
      </c>
      <c r="C265" s="1" t="n">
        <v>45962</v>
      </c>
      <c r="D265" t="inlineStr">
        <is>
          <t>JÖNKÖPINGS LÄN</t>
        </is>
      </c>
      <c r="E265" t="inlineStr">
        <is>
          <t>JÖNKÖPING</t>
        </is>
      </c>
      <c r="G265" t="n">
        <v>3.9</v>
      </c>
      <c r="H265" t="n">
        <v>1</v>
      </c>
      <c r="I265" t="n">
        <v>0</v>
      </c>
      <c r="J265" t="n">
        <v>0</v>
      </c>
      <c r="K265" t="n">
        <v>0</v>
      </c>
      <c r="L265" t="n">
        <v>1</v>
      </c>
      <c r="M265" t="n">
        <v>0</v>
      </c>
      <c r="N265" t="n">
        <v>0</v>
      </c>
      <c r="O265" t="n">
        <v>1</v>
      </c>
      <c r="P265" t="n">
        <v>1</v>
      </c>
      <c r="Q265" t="n">
        <v>1</v>
      </c>
      <c r="R265" s="2" t="inlineStr">
        <is>
          <t>Läkeögontröst</t>
        </is>
      </c>
      <c r="S265">
        <f>HYPERLINK("https://klasma.github.io/Logging_0680/artfynd/A 33405-2025 artfynd.xlsx", "A 33405-2025")</f>
        <v/>
      </c>
      <c r="T265">
        <f>HYPERLINK("https://klasma.github.io/Logging_0680/kartor/A 33405-2025 karta.png", "A 33405-2025")</f>
        <v/>
      </c>
      <c r="V265">
        <f>HYPERLINK("https://klasma.github.io/Logging_0680/klagomål/A 33405-2025 FSC-klagomål.docx", "A 33405-2025")</f>
        <v/>
      </c>
      <c r="W265">
        <f>HYPERLINK("https://klasma.github.io/Logging_0680/klagomålsmail/A 33405-2025 FSC-klagomål mail.docx", "A 33405-2025")</f>
        <v/>
      </c>
      <c r="X265">
        <f>HYPERLINK("https://klasma.github.io/Logging_0680/tillsyn/A 33405-2025 tillsynsbegäran.docx", "A 33405-2025")</f>
        <v/>
      </c>
      <c r="Y265">
        <f>HYPERLINK("https://klasma.github.io/Logging_0680/tillsynsmail/A 33405-2025 tillsynsbegäran mail.docx", "A 33405-2025")</f>
        <v/>
      </c>
    </row>
    <row r="266" ht="15" customHeight="1">
      <c r="A266" t="inlineStr">
        <is>
          <t>A 33414-2025</t>
        </is>
      </c>
      <c r="B266" s="1" t="n">
        <v>45841.43662037037</v>
      </c>
      <c r="C266" s="1" t="n">
        <v>45962</v>
      </c>
      <c r="D266" t="inlineStr">
        <is>
          <t>JÖNKÖPINGS LÄN</t>
        </is>
      </c>
      <c r="E266" t="inlineStr">
        <is>
          <t>NÄSSJÖ</t>
        </is>
      </c>
      <c r="G266" t="n">
        <v>0.5</v>
      </c>
      <c r="H266" t="n">
        <v>0</v>
      </c>
      <c r="I266" t="n">
        <v>0</v>
      </c>
      <c r="J266" t="n">
        <v>1</v>
      </c>
      <c r="K266" t="n">
        <v>0</v>
      </c>
      <c r="L266" t="n">
        <v>0</v>
      </c>
      <c r="M266" t="n">
        <v>0</v>
      </c>
      <c r="N266" t="n">
        <v>0</v>
      </c>
      <c r="O266" t="n">
        <v>1</v>
      </c>
      <c r="P266" t="n">
        <v>0</v>
      </c>
      <c r="Q266" t="n">
        <v>1</v>
      </c>
      <c r="R266" s="2" t="inlineStr">
        <is>
          <t>Rhithrogena germanica</t>
        </is>
      </c>
      <c r="S266">
        <f>HYPERLINK("https://klasma.github.io/Logging_0682/artfynd/A 33414-2025 artfynd.xlsx", "A 33414-2025")</f>
        <v/>
      </c>
      <c r="T266">
        <f>HYPERLINK("https://klasma.github.io/Logging_0682/kartor/A 33414-2025 karta.png", "A 33414-2025")</f>
        <v/>
      </c>
      <c r="V266">
        <f>HYPERLINK("https://klasma.github.io/Logging_0682/klagomål/A 33414-2025 FSC-klagomål.docx", "A 33414-2025")</f>
        <v/>
      </c>
      <c r="W266">
        <f>HYPERLINK("https://klasma.github.io/Logging_0682/klagomålsmail/A 33414-2025 FSC-klagomål mail.docx", "A 33414-2025")</f>
        <v/>
      </c>
      <c r="X266">
        <f>HYPERLINK("https://klasma.github.io/Logging_0682/tillsyn/A 33414-2025 tillsynsbegäran.docx", "A 33414-2025")</f>
        <v/>
      </c>
      <c r="Y266">
        <f>HYPERLINK("https://klasma.github.io/Logging_0682/tillsynsmail/A 33414-2025 tillsynsbegäran mail.docx", "A 33414-2025")</f>
        <v/>
      </c>
    </row>
    <row r="267" ht="15" customHeight="1">
      <c r="A267" t="inlineStr">
        <is>
          <t>A 33041-2025</t>
        </is>
      </c>
      <c r="B267" s="1" t="n">
        <v>45840.40599537037</v>
      </c>
      <c r="C267" s="1" t="n">
        <v>45962</v>
      </c>
      <c r="D267" t="inlineStr">
        <is>
          <t>JÖNKÖPINGS LÄN</t>
        </is>
      </c>
      <c r="E267" t="inlineStr">
        <is>
          <t>VETLANDA</t>
        </is>
      </c>
      <c r="G267" t="n">
        <v>3.5</v>
      </c>
      <c r="H267" t="n">
        <v>1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1</v>
      </c>
      <c r="R267" s="2" t="inlineStr">
        <is>
          <t>Dvärgpipistrell</t>
        </is>
      </c>
      <c r="S267">
        <f>HYPERLINK("https://klasma.github.io/Logging_0685/artfynd/A 33041-2025 artfynd.xlsx", "A 33041-2025")</f>
        <v/>
      </c>
      <c r="T267">
        <f>HYPERLINK("https://klasma.github.io/Logging_0685/kartor/A 33041-2025 karta.png", "A 33041-2025")</f>
        <v/>
      </c>
      <c r="V267">
        <f>HYPERLINK("https://klasma.github.io/Logging_0685/klagomål/A 33041-2025 FSC-klagomål.docx", "A 33041-2025")</f>
        <v/>
      </c>
      <c r="W267">
        <f>HYPERLINK("https://klasma.github.io/Logging_0685/klagomålsmail/A 33041-2025 FSC-klagomål mail.docx", "A 33041-2025")</f>
        <v/>
      </c>
      <c r="X267">
        <f>HYPERLINK("https://klasma.github.io/Logging_0685/tillsyn/A 33041-2025 tillsynsbegäran.docx", "A 33041-2025")</f>
        <v/>
      </c>
      <c r="Y267">
        <f>HYPERLINK("https://klasma.github.io/Logging_0685/tillsynsmail/A 33041-2025 tillsynsbegäran mail.docx", "A 33041-2025")</f>
        <v/>
      </c>
    </row>
    <row r="268" ht="15" customHeight="1">
      <c r="A268" t="inlineStr">
        <is>
          <t>A 33373-2025</t>
        </is>
      </c>
      <c r="B268" s="1" t="n">
        <v>45841.39545138889</v>
      </c>
      <c r="C268" s="1" t="n">
        <v>45962</v>
      </c>
      <c r="D268" t="inlineStr">
        <is>
          <t>JÖNKÖPINGS LÄN</t>
        </is>
      </c>
      <c r="E268" t="inlineStr">
        <is>
          <t>NÄSSJÖ</t>
        </is>
      </c>
      <c r="G268" t="n">
        <v>0.4</v>
      </c>
      <c r="H268" t="n">
        <v>0</v>
      </c>
      <c r="I268" t="n">
        <v>1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1</v>
      </c>
      <c r="R268" s="2" t="inlineStr">
        <is>
          <t>Ögonpyrola</t>
        </is>
      </c>
      <c r="S268">
        <f>HYPERLINK("https://klasma.github.io/Logging_0682/artfynd/A 33373-2025 artfynd.xlsx", "A 33373-2025")</f>
        <v/>
      </c>
      <c r="T268">
        <f>HYPERLINK("https://klasma.github.io/Logging_0682/kartor/A 33373-2025 karta.png", "A 33373-2025")</f>
        <v/>
      </c>
      <c r="V268">
        <f>HYPERLINK("https://klasma.github.io/Logging_0682/klagomål/A 33373-2025 FSC-klagomål.docx", "A 33373-2025")</f>
        <v/>
      </c>
      <c r="W268">
        <f>HYPERLINK("https://klasma.github.io/Logging_0682/klagomålsmail/A 33373-2025 FSC-klagomål mail.docx", "A 33373-2025")</f>
        <v/>
      </c>
      <c r="X268">
        <f>HYPERLINK("https://klasma.github.io/Logging_0682/tillsyn/A 33373-2025 tillsynsbegäran.docx", "A 33373-2025")</f>
        <v/>
      </c>
      <c r="Y268">
        <f>HYPERLINK("https://klasma.github.io/Logging_0682/tillsynsmail/A 33373-2025 tillsynsbegäran mail.docx", "A 33373-2025")</f>
        <v/>
      </c>
    </row>
    <row r="269" ht="15" customHeight="1">
      <c r="A269" t="inlineStr">
        <is>
          <t>A 44177-2021</t>
        </is>
      </c>
      <c r="B269" s="1" t="n">
        <v>44434</v>
      </c>
      <c r="C269" s="1" t="n">
        <v>45962</v>
      </c>
      <c r="D269" t="inlineStr">
        <is>
          <t>JÖNKÖPINGS LÄN</t>
        </is>
      </c>
      <c r="E269" t="inlineStr">
        <is>
          <t>VETLANDA</t>
        </is>
      </c>
      <c r="G269" t="n">
        <v>2.6</v>
      </c>
      <c r="H269" t="n">
        <v>0</v>
      </c>
      <c r="I269" t="n">
        <v>0</v>
      </c>
      <c r="J269" t="n">
        <v>1</v>
      </c>
      <c r="K269" t="n">
        <v>0</v>
      </c>
      <c r="L269" t="n">
        <v>0</v>
      </c>
      <c r="M269" t="n">
        <v>0</v>
      </c>
      <c r="N269" t="n">
        <v>0</v>
      </c>
      <c r="O269" t="n">
        <v>1</v>
      </c>
      <c r="P269" t="n">
        <v>0</v>
      </c>
      <c r="Q269" t="n">
        <v>1</v>
      </c>
      <c r="R269" s="2" t="inlineStr">
        <is>
          <t>Solvända</t>
        </is>
      </c>
      <c r="S269">
        <f>HYPERLINK("https://klasma.github.io/Logging_0685/artfynd/A 44177-2021 artfynd.xlsx", "A 44177-2021")</f>
        <v/>
      </c>
      <c r="T269">
        <f>HYPERLINK("https://klasma.github.io/Logging_0685/kartor/A 44177-2021 karta.png", "A 44177-2021")</f>
        <v/>
      </c>
      <c r="V269">
        <f>HYPERLINK("https://klasma.github.io/Logging_0685/klagomål/A 44177-2021 FSC-klagomål.docx", "A 44177-2021")</f>
        <v/>
      </c>
      <c r="W269">
        <f>HYPERLINK("https://klasma.github.io/Logging_0685/klagomålsmail/A 44177-2021 FSC-klagomål mail.docx", "A 44177-2021")</f>
        <v/>
      </c>
      <c r="X269">
        <f>HYPERLINK("https://klasma.github.io/Logging_0685/tillsyn/A 44177-2021 tillsynsbegäran.docx", "A 44177-2021")</f>
        <v/>
      </c>
      <c r="Y269">
        <f>HYPERLINK("https://klasma.github.io/Logging_0685/tillsynsmail/A 44177-2021 tillsynsbegäran mail.docx", "A 44177-2021")</f>
        <v/>
      </c>
    </row>
    <row r="270" ht="15" customHeight="1">
      <c r="A270" t="inlineStr">
        <is>
          <t>A 57111-2023</t>
        </is>
      </c>
      <c r="B270" s="1" t="n">
        <v>45239</v>
      </c>
      <c r="C270" s="1" t="n">
        <v>45962</v>
      </c>
      <c r="D270" t="inlineStr">
        <is>
          <t>JÖNKÖPINGS LÄN</t>
        </is>
      </c>
      <c r="E270" t="inlineStr">
        <is>
          <t>VETLANDA</t>
        </is>
      </c>
      <c r="F270" t="inlineStr">
        <is>
          <t>Kyrkan</t>
        </is>
      </c>
      <c r="G270" t="n">
        <v>2.1</v>
      </c>
      <c r="H270" t="n">
        <v>1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1</v>
      </c>
      <c r="R270" s="2" t="inlineStr">
        <is>
          <t>Blåsippa</t>
        </is>
      </c>
      <c r="S270">
        <f>HYPERLINK("https://klasma.github.io/Logging_0685/artfynd/A 57111-2023 artfynd.xlsx", "A 57111-2023")</f>
        <v/>
      </c>
      <c r="T270">
        <f>HYPERLINK("https://klasma.github.io/Logging_0685/kartor/A 57111-2023 karta.png", "A 57111-2023")</f>
        <v/>
      </c>
      <c r="V270">
        <f>HYPERLINK("https://klasma.github.io/Logging_0685/klagomål/A 57111-2023 FSC-klagomål.docx", "A 57111-2023")</f>
        <v/>
      </c>
      <c r="W270">
        <f>HYPERLINK("https://klasma.github.io/Logging_0685/klagomålsmail/A 57111-2023 FSC-klagomål mail.docx", "A 57111-2023")</f>
        <v/>
      </c>
      <c r="X270">
        <f>HYPERLINK("https://klasma.github.io/Logging_0685/tillsyn/A 57111-2023 tillsynsbegäran.docx", "A 57111-2023")</f>
        <v/>
      </c>
      <c r="Y270">
        <f>HYPERLINK("https://klasma.github.io/Logging_0685/tillsynsmail/A 57111-2023 tillsynsbegäran mail.docx", "A 57111-2023")</f>
        <v/>
      </c>
    </row>
    <row r="271" ht="15" customHeight="1">
      <c r="A271" t="inlineStr">
        <is>
          <t>A 1720-2024</t>
        </is>
      </c>
      <c r="B271" s="1" t="n">
        <v>45307</v>
      </c>
      <c r="C271" s="1" t="n">
        <v>45962</v>
      </c>
      <c r="D271" t="inlineStr">
        <is>
          <t>JÖNKÖPINGS LÄN</t>
        </is>
      </c>
      <c r="E271" t="inlineStr">
        <is>
          <t>TRANÅS</t>
        </is>
      </c>
      <c r="F271" t="inlineStr">
        <is>
          <t>Kommuner</t>
        </is>
      </c>
      <c r="G271" t="n">
        <v>5.6</v>
      </c>
      <c r="H271" t="n">
        <v>0</v>
      </c>
      <c r="I271" t="n">
        <v>0</v>
      </c>
      <c r="J271" t="n">
        <v>0</v>
      </c>
      <c r="K271" t="n">
        <v>0</v>
      </c>
      <c r="L271" t="n">
        <v>1</v>
      </c>
      <c r="M271" t="n">
        <v>0</v>
      </c>
      <c r="N271" t="n">
        <v>0</v>
      </c>
      <c r="O271" t="n">
        <v>1</v>
      </c>
      <c r="P271" t="n">
        <v>1</v>
      </c>
      <c r="Q271" t="n">
        <v>1</v>
      </c>
      <c r="R271" s="2" t="inlineStr">
        <is>
          <t>Ryl</t>
        </is>
      </c>
      <c r="S271">
        <f>HYPERLINK("https://klasma.github.io/Logging_0687/artfynd/A 1720-2024 artfynd.xlsx", "A 1720-2024")</f>
        <v/>
      </c>
      <c r="T271">
        <f>HYPERLINK("https://klasma.github.io/Logging_0687/kartor/A 1720-2024 karta.png", "A 1720-2024")</f>
        <v/>
      </c>
      <c r="V271">
        <f>HYPERLINK("https://klasma.github.io/Logging_0687/klagomål/A 1720-2024 FSC-klagomål.docx", "A 1720-2024")</f>
        <v/>
      </c>
      <c r="W271">
        <f>HYPERLINK("https://klasma.github.io/Logging_0687/klagomålsmail/A 1720-2024 FSC-klagomål mail.docx", "A 1720-2024")</f>
        <v/>
      </c>
      <c r="X271">
        <f>HYPERLINK("https://klasma.github.io/Logging_0687/tillsyn/A 1720-2024 tillsynsbegäran.docx", "A 1720-2024")</f>
        <v/>
      </c>
      <c r="Y271">
        <f>HYPERLINK("https://klasma.github.io/Logging_0687/tillsynsmail/A 1720-2024 tillsynsbegäran mail.docx", "A 1720-2024")</f>
        <v/>
      </c>
    </row>
    <row r="272" ht="15" customHeight="1">
      <c r="A272" t="inlineStr">
        <is>
          <t>A 34099-2025</t>
        </is>
      </c>
      <c r="B272" s="1" t="n">
        <v>45845.48775462963</v>
      </c>
      <c r="C272" s="1" t="n">
        <v>45962</v>
      </c>
      <c r="D272" t="inlineStr">
        <is>
          <t>JÖNKÖPINGS LÄN</t>
        </is>
      </c>
      <c r="E272" t="inlineStr">
        <is>
          <t>VAGGERYD</t>
        </is>
      </c>
      <c r="F272" t="inlineStr">
        <is>
          <t>Sveaskog</t>
        </is>
      </c>
      <c r="G272" t="n">
        <v>3.7</v>
      </c>
      <c r="H272" t="n">
        <v>0</v>
      </c>
      <c r="I272" t="n">
        <v>0</v>
      </c>
      <c r="J272" t="n">
        <v>1</v>
      </c>
      <c r="K272" t="n">
        <v>0</v>
      </c>
      <c r="L272" t="n">
        <v>0</v>
      </c>
      <c r="M272" t="n">
        <v>0</v>
      </c>
      <c r="N272" t="n">
        <v>0</v>
      </c>
      <c r="O272" t="n">
        <v>1</v>
      </c>
      <c r="P272" t="n">
        <v>0</v>
      </c>
      <c r="Q272" t="n">
        <v>1</v>
      </c>
      <c r="R272" s="2" t="inlineStr">
        <is>
          <t>Backstarr</t>
        </is>
      </c>
      <c r="S272">
        <f>HYPERLINK("https://klasma.github.io/Logging_0665/artfynd/A 34099-2025 artfynd.xlsx", "A 34099-2025")</f>
        <v/>
      </c>
      <c r="T272">
        <f>HYPERLINK("https://klasma.github.io/Logging_0665/kartor/A 34099-2025 karta.png", "A 34099-2025")</f>
        <v/>
      </c>
      <c r="V272">
        <f>HYPERLINK("https://klasma.github.io/Logging_0665/klagomål/A 34099-2025 FSC-klagomål.docx", "A 34099-2025")</f>
        <v/>
      </c>
      <c r="W272">
        <f>HYPERLINK("https://klasma.github.io/Logging_0665/klagomålsmail/A 34099-2025 FSC-klagomål mail.docx", "A 34099-2025")</f>
        <v/>
      </c>
      <c r="X272">
        <f>HYPERLINK("https://klasma.github.io/Logging_0665/tillsyn/A 34099-2025 tillsynsbegäran.docx", "A 34099-2025")</f>
        <v/>
      </c>
      <c r="Y272">
        <f>HYPERLINK("https://klasma.github.io/Logging_0665/tillsynsmail/A 34099-2025 tillsynsbegäran mail.docx", "A 34099-2025")</f>
        <v/>
      </c>
    </row>
    <row r="273" ht="15" customHeight="1">
      <c r="A273" t="inlineStr">
        <is>
          <t>A 24863-2024</t>
        </is>
      </c>
      <c r="B273" s="1" t="n">
        <v>45461</v>
      </c>
      <c r="C273" s="1" t="n">
        <v>45962</v>
      </c>
      <c r="D273" t="inlineStr">
        <is>
          <t>JÖNKÖPINGS LÄN</t>
        </is>
      </c>
      <c r="E273" t="inlineStr">
        <is>
          <t>ANEBY</t>
        </is>
      </c>
      <c r="G273" t="n">
        <v>4.8</v>
      </c>
      <c r="H273" t="n">
        <v>1</v>
      </c>
      <c r="I273" t="n">
        <v>0</v>
      </c>
      <c r="J273" t="n">
        <v>1</v>
      </c>
      <c r="K273" t="n">
        <v>0</v>
      </c>
      <c r="L273" t="n">
        <v>0</v>
      </c>
      <c r="M273" t="n">
        <v>0</v>
      </c>
      <c r="N273" t="n">
        <v>0</v>
      </c>
      <c r="O273" t="n">
        <v>1</v>
      </c>
      <c r="P273" t="n">
        <v>0</v>
      </c>
      <c r="Q273" t="n">
        <v>1</v>
      </c>
      <c r="R273" s="2" t="inlineStr">
        <is>
          <t>Järpe</t>
        </is>
      </c>
      <c r="S273">
        <f>HYPERLINK("https://klasma.github.io/Logging_0604/artfynd/A 24863-2024 artfynd.xlsx", "A 24863-2024")</f>
        <v/>
      </c>
      <c r="T273">
        <f>HYPERLINK("https://klasma.github.io/Logging_0604/kartor/A 24863-2024 karta.png", "A 24863-2024")</f>
        <v/>
      </c>
      <c r="V273">
        <f>HYPERLINK("https://klasma.github.io/Logging_0604/klagomål/A 24863-2024 FSC-klagomål.docx", "A 24863-2024")</f>
        <v/>
      </c>
      <c r="W273">
        <f>HYPERLINK("https://klasma.github.io/Logging_0604/klagomålsmail/A 24863-2024 FSC-klagomål mail.docx", "A 24863-2024")</f>
        <v/>
      </c>
      <c r="X273">
        <f>HYPERLINK("https://klasma.github.io/Logging_0604/tillsyn/A 24863-2024 tillsynsbegäran.docx", "A 24863-2024")</f>
        <v/>
      </c>
      <c r="Y273">
        <f>HYPERLINK("https://klasma.github.io/Logging_0604/tillsynsmail/A 24863-2024 tillsynsbegäran mail.docx", "A 24863-2024")</f>
        <v/>
      </c>
      <c r="Z273">
        <f>HYPERLINK("https://klasma.github.io/Logging_0604/fåglar/A 24863-2024 prioriterade fågelarter.docx", "A 24863-2024")</f>
        <v/>
      </c>
    </row>
    <row r="274" ht="15" customHeight="1">
      <c r="A274" t="inlineStr">
        <is>
          <t>A 34214-2025</t>
        </is>
      </c>
      <c r="B274" s="1" t="n">
        <v>45845.64520833334</v>
      </c>
      <c r="C274" s="1" t="n">
        <v>45962</v>
      </c>
      <c r="D274" t="inlineStr">
        <is>
          <t>JÖNKÖPINGS LÄN</t>
        </is>
      </c>
      <c r="E274" t="inlineStr">
        <is>
          <t>SÄVSJÖ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1</v>
      </c>
      <c r="L274" t="n">
        <v>0</v>
      </c>
      <c r="M274" t="n">
        <v>0</v>
      </c>
      <c r="N274" t="n">
        <v>0</v>
      </c>
      <c r="O274" t="n">
        <v>1</v>
      </c>
      <c r="P274" t="n">
        <v>1</v>
      </c>
      <c r="Q274" t="n">
        <v>1</v>
      </c>
      <c r="R274" s="2" t="inlineStr">
        <is>
          <t>Lungrot</t>
        </is>
      </c>
      <c r="S274">
        <f>HYPERLINK("https://klasma.github.io/Logging_0684/artfynd/A 34214-2025 artfynd.xlsx", "A 34214-2025")</f>
        <v/>
      </c>
      <c r="T274">
        <f>HYPERLINK("https://klasma.github.io/Logging_0684/kartor/A 34214-2025 karta.png", "A 34214-2025")</f>
        <v/>
      </c>
      <c r="V274">
        <f>HYPERLINK("https://klasma.github.io/Logging_0684/klagomål/A 34214-2025 FSC-klagomål.docx", "A 34214-2025")</f>
        <v/>
      </c>
      <c r="W274">
        <f>HYPERLINK("https://klasma.github.io/Logging_0684/klagomålsmail/A 34214-2025 FSC-klagomål mail.docx", "A 34214-2025")</f>
        <v/>
      </c>
      <c r="X274">
        <f>HYPERLINK("https://klasma.github.io/Logging_0684/tillsyn/A 34214-2025 tillsynsbegäran.docx", "A 34214-2025")</f>
        <v/>
      </c>
      <c r="Y274">
        <f>HYPERLINK("https://klasma.github.io/Logging_0684/tillsynsmail/A 34214-2025 tillsynsbegäran mail.docx", "A 34214-2025")</f>
        <v/>
      </c>
    </row>
    <row r="275" ht="15" customHeight="1">
      <c r="A275" t="inlineStr">
        <is>
          <t>A 34359-2025</t>
        </is>
      </c>
      <c r="B275" s="1" t="n">
        <v>45846</v>
      </c>
      <c r="C275" s="1" t="n">
        <v>45962</v>
      </c>
      <c r="D275" t="inlineStr">
        <is>
          <t>JÖNKÖPINGS LÄN</t>
        </is>
      </c>
      <c r="E275" t="inlineStr">
        <is>
          <t>JÖNKÖPING</t>
        </is>
      </c>
      <c r="G275" t="n">
        <v>1.1</v>
      </c>
      <c r="H275" t="n">
        <v>0</v>
      </c>
      <c r="I275" t="n">
        <v>0</v>
      </c>
      <c r="J275" t="n">
        <v>1</v>
      </c>
      <c r="K275" t="n">
        <v>0</v>
      </c>
      <c r="L275" t="n">
        <v>0</v>
      </c>
      <c r="M275" t="n">
        <v>0</v>
      </c>
      <c r="N275" t="n">
        <v>0</v>
      </c>
      <c r="O275" t="n">
        <v>1</v>
      </c>
      <c r="P275" t="n">
        <v>0</v>
      </c>
      <c r="Q275" t="n">
        <v>1</v>
      </c>
      <c r="R275" s="2" t="inlineStr">
        <is>
          <t>Axveronika</t>
        </is>
      </c>
      <c r="S275">
        <f>HYPERLINK("https://klasma.github.io/Logging_0680/artfynd/A 34359-2025 artfynd.xlsx", "A 34359-2025")</f>
        <v/>
      </c>
      <c r="T275">
        <f>HYPERLINK("https://klasma.github.io/Logging_0680/kartor/A 34359-2025 karta.png", "A 34359-2025")</f>
        <v/>
      </c>
      <c r="V275">
        <f>HYPERLINK("https://klasma.github.io/Logging_0680/klagomål/A 34359-2025 FSC-klagomål.docx", "A 34359-2025")</f>
        <v/>
      </c>
      <c r="W275">
        <f>HYPERLINK("https://klasma.github.io/Logging_0680/klagomålsmail/A 34359-2025 FSC-klagomål mail.docx", "A 34359-2025")</f>
        <v/>
      </c>
      <c r="X275">
        <f>HYPERLINK("https://klasma.github.io/Logging_0680/tillsyn/A 34359-2025 tillsynsbegäran.docx", "A 34359-2025")</f>
        <v/>
      </c>
      <c r="Y275">
        <f>HYPERLINK("https://klasma.github.io/Logging_0680/tillsynsmail/A 34359-2025 tillsynsbegäran mail.docx", "A 34359-2025")</f>
        <v/>
      </c>
    </row>
    <row r="276" ht="15" customHeight="1">
      <c r="A276" t="inlineStr">
        <is>
          <t>A 34527-2025</t>
        </is>
      </c>
      <c r="B276" s="1" t="n">
        <v>45846</v>
      </c>
      <c r="C276" s="1" t="n">
        <v>45962</v>
      </c>
      <c r="D276" t="inlineStr">
        <is>
          <t>JÖNKÖPINGS LÄN</t>
        </is>
      </c>
      <c r="E276" t="inlineStr">
        <is>
          <t>NÄSSJÖ</t>
        </is>
      </c>
      <c r="F276" t="inlineStr">
        <is>
          <t>Kyrkan</t>
        </is>
      </c>
      <c r="G276" t="n">
        <v>6.2</v>
      </c>
      <c r="H276" t="n">
        <v>0</v>
      </c>
      <c r="I276" t="n">
        <v>0</v>
      </c>
      <c r="J276" t="n">
        <v>1</v>
      </c>
      <c r="K276" t="n">
        <v>0</v>
      </c>
      <c r="L276" t="n">
        <v>0</v>
      </c>
      <c r="M276" t="n">
        <v>0</v>
      </c>
      <c r="N276" t="n">
        <v>0</v>
      </c>
      <c r="O276" t="n">
        <v>1</v>
      </c>
      <c r="P276" t="n">
        <v>0</v>
      </c>
      <c r="Q276" t="n">
        <v>1</v>
      </c>
      <c r="R276" s="2" t="inlineStr">
        <is>
          <t>Svinrot</t>
        </is>
      </c>
      <c r="S276">
        <f>HYPERLINK("https://klasma.github.io/Logging_0682/artfynd/A 34527-2025 artfynd.xlsx", "A 34527-2025")</f>
        <v/>
      </c>
      <c r="T276">
        <f>HYPERLINK("https://klasma.github.io/Logging_0682/kartor/A 34527-2025 karta.png", "A 34527-2025")</f>
        <v/>
      </c>
      <c r="V276">
        <f>HYPERLINK("https://klasma.github.io/Logging_0682/klagomål/A 34527-2025 FSC-klagomål.docx", "A 34527-2025")</f>
        <v/>
      </c>
      <c r="W276">
        <f>HYPERLINK("https://klasma.github.io/Logging_0682/klagomålsmail/A 34527-2025 FSC-klagomål mail.docx", "A 34527-2025")</f>
        <v/>
      </c>
      <c r="X276">
        <f>HYPERLINK("https://klasma.github.io/Logging_0682/tillsyn/A 34527-2025 tillsynsbegäran.docx", "A 34527-2025")</f>
        <v/>
      </c>
      <c r="Y276">
        <f>HYPERLINK("https://klasma.github.io/Logging_0682/tillsynsmail/A 34527-2025 tillsynsbegäran mail.docx", "A 34527-2025")</f>
        <v/>
      </c>
    </row>
    <row r="277" ht="15" customHeight="1">
      <c r="A277" t="inlineStr">
        <is>
          <t>A 9122-2025</t>
        </is>
      </c>
      <c r="B277" s="1" t="n">
        <v>45713</v>
      </c>
      <c r="C277" s="1" t="n">
        <v>45962</v>
      </c>
      <c r="D277" t="inlineStr">
        <is>
          <t>JÖNKÖPINGS LÄN</t>
        </is>
      </c>
      <c r="E277" t="inlineStr">
        <is>
          <t>VETLANDA</t>
        </is>
      </c>
      <c r="G277" t="n">
        <v>3</v>
      </c>
      <c r="H277" t="n">
        <v>1</v>
      </c>
      <c r="I277" t="n">
        <v>0</v>
      </c>
      <c r="J277" t="n">
        <v>1</v>
      </c>
      <c r="K277" t="n">
        <v>0</v>
      </c>
      <c r="L277" t="n">
        <v>0</v>
      </c>
      <c r="M277" t="n">
        <v>0</v>
      </c>
      <c r="N277" t="n">
        <v>0</v>
      </c>
      <c r="O277" t="n">
        <v>1</v>
      </c>
      <c r="P277" t="n">
        <v>0</v>
      </c>
      <c r="Q277" t="n">
        <v>1</v>
      </c>
      <c r="R277" s="2" t="inlineStr">
        <is>
          <t>Spillkråka</t>
        </is>
      </c>
      <c r="S277">
        <f>HYPERLINK("https://klasma.github.io/Logging_0685/artfynd/A 9122-2025 artfynd.xlsx", "A 9122-2025")</f>
        <v/>
      </c>
      <c r="T277">
        <f>HYPERLINK("https://klasma.github.io/Logging_0685/kartor/A 9122-2025 karta.png", "A 9122-2025")</f>
        <v/>
      </c>
      <c r="V277">
        <f>HYPERLINK("https://klasma.github.io/Logging_0685/klagomål/A 9122-2025 FSC-klagomål.docx", "A 9122-2025")</f>
        <v/>
      </c>
      <c r="W277">
        <f>HYPERLINK("https://klasma.github.io/Logging_0685/klagomålsmail/A 9122-2025 FSC-klagomål mail.docx", "A 9122-2025")</f>
        <v/>
      </c>
      <c r="X277">
        <f>HYPERLINK("https://klasma.github.io/Logging_0685/tillsyn/A 9122-2025 tillsynsbegäran.docx", "A 9122-2025")</f>
        <v/>
      </c>
      <c r="Y277">
        <f>HYPERLINK("https://klasma.github.io/Logging_0685/tillsynsmail/A 9122-2025 tillsynsbegäran mail.docx", "A 9122-2025")</f>
        <v/>
      </c>
      <c r="Z277">
        <f>HYPERLINK("https://klasma.github.io/Logging_0685/fåglar/A 9122-2025 prioriterade fågelarter.docx", "A 9122-2025")</f>
        <v/>
      </c>
    </row>
    <row r="278" ht="15" customHeight="1">
      <c r="A278" t="inlineStr">
        <is>
          <t>A 54325-2024</t>
        </is>
      </c>
      <c r="B278" s="1" t="n">
        <v>45616</v>
      </c>
      <c r="C278" s="1" t="n">
        <v>45962</v>
      </c>
      <c r="D278" t="inlineStr">
        <is>
          <t>JÖNKÖPINGS LÄN</t>
        </is>
      </c>
      <c r="E278" t="inlineStr">
        <is>
          <t>JÖNKÖPING</t>
        </is>
      </c>
      <c r="G278" t="n">
        <v>8.699999999999999</v>
      </c>
      <c r="H278" t="n">
        <v>1</v>
      </c>
      <c r="I278" t="n">
        <v>0</v>
      </c>
      <c r="J278" t="n">
        <v>1</v>
      </c>
      <c r="K278" t="n">
        <v>0</v>
      </c>
      <c r="L278" t="n">
        <v>0</v>
      </c>
      <c r="M278" t="n">
        <v>0</v>
      </c>
      <c r="N278" t="n">
        <v>0</v>
      </c>
      <c r="O278" t="n">
        <v>1</v>
      </c>
      <c r="P278" t="n">
        <v>0</v>
      </c>
      <c r="Q278" t="n">
        <v>1</v>
      </c>
      <c r="R278" s="2" t="inlineStr">
        <is>
          <t>Talltita</t>
        </is>
      </c>
      <c r="S278">
        <f>HYPERLINK("https://klasma.github.io/Logging_0680/artfynd/A 54325-2024 artfynd.xlsx", "A 54325-2024")</f>
        <v/>
      </c>
      <c r="T278">
        <f>HYPERLINK("https://klasma.github.io/Logging_0680/kartor/A 54325-2024 karta.png", "A 54325-2024")</f>
        <v/>
      </c>
      <c r="V278">
        <f>HYPERLINK("https://klasma.github.io/Logging_0680/klagomål/A 54325-2024 FSC-klagomål.docx", "A 54325-2024")</f>
        <v/>
      </c>
      <c r="W278">
        <f>HYPERLINK("https://klasma.github.io/Logging_0680/klagomålsmail/A 54325-2024 FSC-klagomål mail.docx", "A 54325-2024")</f>
        <v/>
      </c>
      <c r="X278">
        <f>HYPERLINK("https://klasma.github.io/Logging_0680/tillsyn/A 54325-2024 tillsynsbegäran.docx", "A 54325-2024")</f>
        <v/>
      </c>
      <c r="Y278">
        <f>HYPERLINK("https://klasma.github.io/Logging_0680/tillsynsmail/A 54325-2024 tillsynsbegäran mail.docx", "A 54325-2024")</f>
        <v/>
      </c>
      <c r="Z278">
        <f>HYPERLINK("https://klasma.github.io/Logging_0680/fåglar/A 54325-2024 prioriterade fågelarter.docx", "A 54325-2024")</f>
        <v/>
      </c>
    </row>
    <row r="279" ht="15" customHeight="1">
      <c r="A279" t="inlineStr">
        <is>
          <t>A 58-2023</t>
        </is>
      </c>
      <c r="B279" s="1" t="n">
        <v>44928</v>
      </c>
      <c r="C279" s="1" t="n">
        <v>45962</v>
      </c>
      <c r="D279" t="inlineStr">
        <is>
          <t>JÖNKÖPINGS LÄN</t>
        </is>
      </c>
      <c r="E279" t="inlineStr">
        <is>
          <t>EKSJÖ</t>
        </is>
      </c>
      <c r="G279" t="n">
        <v>3.4</v>
      </c>
      <c r="H279" t="n">
        <v>0</v>
      </c>
      <c r="I279" t="n">
        <v>0</v>
      </c>
      <c r="J279" t="n">
        <v>1</v>
      </c>
      <c r="K279" t="n">
        <v>0</v>
      </c>
      <c r="L279" t="n">
        <v>0</v>
      </c>
      <c r="M279" t="n">
        <v>0</v>
      </c>
      <c r="N279" t="n">
        <v>0</v>
      </c>
      <c r="O279" t="n">
        <v>1</v>
      </c>
      <c r="P279" t="n">
        <v>0</v>
      </c>
      <c r="Q279" t="n">
        <v>1</v>
      </c>
      <c r="R279" s="2" t="inlineStr">
        <is>
          <t>Gullklöver</t>
        </is>
      </c>
      <c r="S279">
        <f>HYPERLINK("https://klasma.github.io/Logging_0686/artfynd/A 58-2023 artfynd.xlsx", "A 58-2023")</f>
        <v/>
      </c>
      <c r="T279">
        <f>HYPERLINK("https://klasma.github.io/Logging_0686/kartor/A 58-2023 karta.png", "A 58-2023")</f>
        <v/>
      </c>
      <c r="V279">
        <f>HYPERLINK("https://klasma.github.io/Logging_0686/klagomål/A 58-2023 FSC-klagomål.docx", "A 58-2023")</f>
        <v/>
      </c>
      <c r="W279">
        <f>HYPERLINK("https://klasma.github.io/Logging_0686/klagomålsmail/A 58-2023 FSC-klagomål mail.docx", "A 58-2023")</f>
        <v/>
      </c>
      <c r="X279">
        <f>HYPERLINK("https://klasma.github.io/Logging_0686/tillsyn/A 58-2023 tillsynsbegäran.docx", "A 58-2023")</f>
        <v/>
      </c>
      <c r="Y279">
        <f>HYPERLINK("https://klasma.github.io/Logging_0686/tillsynsmail/A 58-2023 tillsynsbegäran mail.docx", "A 58-2023")</f>
        <v/>
      </c>
    </row>
    <row r="280" ht="15" customHeight="1">
      <c r="A280" t="inlineStr">
        <is>
          <t>A 36799-2024</t>
        </is>
      </c>
      <c r="B280" s="1" t="n">
        <v>45538.45523148148</v>
      </c>
      <c r="C280" s="1" t="n">
        <v>45962</v>
      </c>
      <c r="D280" t="inlineStr">
        <is>
          <t>JÖNKÖPINGS LÄN</t>
        </is>
      </c>
      <c r="E280" t="inlineStr">
        <is>
          <t>JÖNKÖPING</t>
        </is>
      </c>
      <c r="G280" t="n">
        <v>1.1</v>
      </c>
      <c r="H280" t="n">
        <v>0</v>
      </c>
      <c r="I280" t="n">
        <v>0</v>
      </c>
      <c r="J280" t="n">
        <v>1</v>
      </c>
      <c r="K280" t="n">
        <v>0</v>
      </c>
      <c r="L280" t="n">
        <v>0</v>
      </c>
      <c r="M280" t="n">
        <v>0</v>
      </c>
      <c r="N280" t="n">
        <v>0</v>
      </c>
      <c r="O280" t="n">
        <v>1</v>
      </c>
      <c r="P280" t="n">
        <v>0</v>
      </c>
      <c r="Q280" t="n">
        <v>1</v>
      </c>
      <c r="R280" s="2" t="inlineStr">
        <is>
          <t>Svinrot</t>
        </is>
      </c>
      <c r="S280">
        <f>HYPERLINK("https://klasma.github.io/Logging_0680/artfynd/A 36799-2024 artfynd.xlsx", "A 36799-2024")</f>
        <v/>
      </c>
      <c r="T280">
        <f>HYPERLINK("https://klasma.github.io/Logging_0680/kartor/A 36799-2024 karta.png", "A 36799-2024")</f>
        <v/>
      </c>
      <c r="V280">
        <f>HYPERLINK("https://klasma.github.io/Logging_0680/klagomål/A 36799-2024 FSC-klagomål.docx", "A 36799-2024")</f>
        <v/>
      </c>
      <c r="W280">
        <f>HYPERLINK("https://klasma.github.io/Logging_0680/klagomålsmail/A 36799-2024 FSC-klagomål mail.docx", "A 36799-2024")</f>
        <v/>
      </c>
      <c r="X280">
        <f>HYPERLINK("https://klasma.github.io/Logging_0680/tillsyn/A 36799-2024 tillsynsbegäran.docx", "A 36799-2024")</f>
        <v/>
      </c>
      <c r="Y280">
        <f>HYPERLINK("https://klasma.github.io/Logging_0680/tillsynsmail/A 36799-2024 tillsynsbegäran mail.docx", "A 36799-2024")</f>
        <v/>
      </c>
    </row>
    <row r="281" ht="15" customHeight="1">
      <c r="A281" t="inlineStr">
        <is>
          <t>A 53601-2022</t>
        </is>
      </c>
      <c r="B281" s="1" t="n">
        <v>44879</v>
      </c>
      <c r="C281" s="1" t="n">
        <v>45962</v>
      </c>
      <c r="D281" t="inlineStr">
        <is>
          <t>JÖNKÖPINGS LÄN</t>
        </is>
      </c>
      <c r="E281" t="inlineStr">
        <is>
          <t>JÖNKÖPING</t>
        </is>
      </c>
      <c r="G281" t="n">
        <v>3.8</v>
      </c>
      <c r="H281" t="n">
        <v>1</v>
      </c>
      <c r="I281" t="n">
        <v>0</v>
      </c>
      <c r="J281" t="n">
        <v>0</v>
      </c>
      <c r="K281" t="n">
        <v>1</v>
      </c>
      <c r="L281" t="n">
        <v>0</v>
      </c>
      <c r="M281" t="n">
        <v>0</v>
      </c>
      <c r="N281" t="n">
        <v>0</v>
      </c>
      <c r="O281" t="n">
        <v>1</v>
      </c>
      <c r="P281" t="n">
        <v>1</v>
      </c>
      <c r="Q281" t="n">
        <v>1</v>
      </c>
      <c r="R281" s="2" t="inlineStr">
        <is>
          <t>Knärot</t>
        </is>
      </c>
      <c r="S281">
        <f>HYPERLINK("https://klasma.github.io/Logging_0680/artfynd/A 53601-2022 artfynd.xlsx", "A 53601-2022")</f>
        <v/>
      </c>
      <c r="T281">
        <f>HYPERLINK("https://klasma.github.io/Logging_0680/kartor/A 53601-2022 karta.png", "A 53601-2022")</f>
        <v/>
      </c>
      <c r="U281">
        <f>HYPERLINK("https://klasma.github.io/Logging_0680/knärot/A 53601-2022 karta knärot.png", "A 53601-2022")</f>
        <v/>
      </c>
      <c r="V281">
        <f>HYPERLINK("https://klasma.github.io/Logging_0680/klagomål/A 53601-2022 FSC-klagomål.docx", "A 53601-2022")</f>
        <v/>
      </c>
      <c r="W281">
        <f>HYPERLINK("https://klasma.github.io/Logging_0680/klagomålsmail/A 53601-2022 FSC-klagomål mail.docx", "A 53601-2022")</f>
        <v/>
      </c>
      <c r="X281">
        <f>HYPERLINK("https://klasma.github.io/Logging_0680/tillsyn/A 53601-2022 tillsynsbegäran.docx", "A 53601-2022")</f>
        <v/>
      </c>
      <c r="Y281">
        <f>HYPERLINK("https://klasma.github.io/Logging_0680/tillsynsmail/A 53601-2022 tillsynsbegäran mail.docx", "A 53601-2022")</f>
        <v/>
      </c>
    </row>
    <row r="282" ht="15" customHeight="1">
      <c r="A282" t="inlineStr">
        <is>
          <t>A 35567-2025</t>
        </is>
      </c>
      <c r="B282" s="1" t="n">
        <v>45856.55965277777</v>
      </c>
      <c r="C282" s="1" t="n">
        <v>45962</v>
      </c>
      <c r="D282" t="inlineStr">
        <is>
          <t>JÖNKÖPINGS LÄN</t>
        </is>
      </c>
      <c r="E282" t="inlineStr">
        <is>
          <t>JÖNKÖPING</t>
        </is>
      </c>
      <c r="G282" t="n">
        <v>5.2</v>
      </c>
      <c r="H282" t="n">
        <v>0</v>
      </c>
      <c r="I282" t="n">
        <v>1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1</v>
      </c>
      <c r="R282" s="2" t="inlineStr">
        <is>
          <t>Kambräken</t>
        </is>
      </c>
      <c r="S282">
        <f>HYPERLINK("https://klasma.github.io/Logging_0680/artfynd/A 35567-2025 artfynd.xlsx", "A 35567-2025")</f>
        <v/>
      </c>
      <c r="T282">
        <f>HYPERLINK("https://klasma.github.io/Logging_0680/kartor/A 35567-2025 karta.png", "A 35567-2025")</f>
        <v/>
      </c>
      <c r="U282">
        <f>HYPERLINK("https://klasma.github.io/Logging_0680/knärot/A 35567-2025 karta knärot.png", "A 35567-2025")</f>
        <v/>
      </c>
      <c r="V282">
        <f>HYPERLINK("https://klasma.github.io/Logging_0680/klagomål/A 35567-2025 FSC-klagomål.docx", "A 35567-2025")</f>
        <v/>
      </c>
      <c r="W282">
        <f>HYPERLINK("https://klasma.github.io/Logging_0680/klagomålsmail/A 35567-2025 FSC-klagomål mail.docx", "A 35567-2025")</f>
        <v/>
      </c>
      <c r="X282">
        <f>HYPERLINK("https://klasma.github.io/Logging_0680/tillsyn/A 35567-2025 tillsynsbegäran.docx", "A 35567-2025")</f>
        <v/>
      </c>
      <c r="Y282">
        <f>HYPERLINK("https://klasma.github.io/Logging_0680/tillsynsmail/A 35567-2025 tillsynsbegäran mail.docx", "A 35567-2025")</f>
        <v/>
      </c>
    </row>
    <row r="283" ht="15" customHeight="1">
      <c r="A283" t="inlineStr">
        <is>
          <t>A 35328-2024</t>
        </is>
      </c>
      <c r="B283" s="1" t="n">
        <v>45530.72401620371</v>
      </c>
      <c r="C283" s="1" t="n">
        <v>45962</v>
      </c>
      <c r="D283" t="inlineStr">
        <is>
          <t>JÖNKÖPINGS LÄN</t>
        </is>
      </c>
      <c r="E283" t="inlineStr">
        <is>
          <t>NÄSSJÖ</t>
        </is>
      </c>
      <c r="G283" t="n">
        <v>0.7</v>
      </c>
      <c r="H283" t="n">
        <v>1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1</v>
      </c>
      <c r="R283" s="2" t="inlineStr">
        <is>
          <t>Kungsfågel</t>
        </is>
      </c>
      <c r="S283">
        <f>HYPERLINK("https://klasma.github.io/Logging_0682/artfynd/A 35328-2024 artfynd.xlsx", "A 35328-2024")</f>
        <v/>
      </c>
      <c r="T283">
        <f>HYPERLINK("https://klasma.github.io/Logging_0682/kartor/A 35328-2024 karta.png", "A 35328-2024")</f>
        <v/>
      </c>
      <c r="V283">
        <f>HYPERLINK("https://klasma.github.io/Logging_0682/klagomål/A 35328-2024 FSC-klagomål.docx", "A 35328-2024")</f>
        <v/>
      </c>
      <c r="W283">
        <f>HYPERLINK("https://klasma.github.io/Logging_0682/klagomålsmail/A 35328-2024 FSC-klagomål mail.docx", "A 35328-2024")</f>
        <v/>
      </c>
      <c r="X283">
        <f>HYPERLINK("https://klasma.github.io/Logging_0682/tillsyn/A 35328-2024 tillsynsbegäran.docx", "A 35328-2024")</f>
        <v/>
      </c>
      <c r="Y283">
        <f>HYPERLINK("https://klasma.github.io/Logging_0682/tillsynsmail/A 35328-2024 tillsynsbegäran mail.docx", "A 35328-2024")</f>
        <v/>
      </c>
      <c r="Z283">
        <f>HYPERLINK("https://klasma.github.io/Logging_0682/fåglar/A 35328-2024 prioriterade fågelarter.docx", "A 35328-2024")</f>
        <v/>
      </c>
    </row>
    <row r="284" ht="15" customHeight="1">
      <c r="A284" t="inlineStr">
        <is>
          <t>A 15498-2024</t>
        </is>
      </c>
      <c r="B284" s="1" t="n">
        <v>45401</v>
      </c>
      <c r="C284" s="1" t="n">
        <v>45962</v>
      </c>
      <c r="D284" t="inlineStr">
        <is>
          <t>JÖNKÖPINGS LÄN</t>
        </is>
      </c>
      <c r="E284" t="inlineStr">
        <is>
          <t>MULLSJÖ</t>
        </is>
      </c>
      <c r="F284" t="inlineStr">
        <is>
          <t>Kyrkan</t>
        </is>
      </c>
      <c r="G284" t="n">
        <v>4.8</v>
      </c>
      <c r="H284" t="n">
        <v>1</v>
      </c>
      <c r="I284" t="n">
        <v>0</v>
      </c>
      <c r="J284" t="n">
        <v>0</v>
      </c>
      <c r="K284" t="n">
        <v>1</v>
      </c>
      <c r="L284" t="n">
        <v>0</v>
      </c>
      <c r="M284" t="n">
        <v>0</v>
      </c>
      <c r="N284" t="n">
        <v>0</v>
      </c>
      <c r="O284" t="n">
        <v>1</v>
      </c>
      <c r="P284" t="n">
        <v>1</v>
      </c>
      <c r="Q284" t="n">
        <v>1</v>
      </c>
      <c r="R284" s="2" t="inlineStr">
        <is>
          <t>Knärot</t>
        </is>
      </c>
      <c r="S284">
        <f>HYPERLINK("https://klasma.github.io/Logging_0642/artfynd/A 15498-2024 artfynd.xlsx", "A 15498-2024")</f>
        <v/>
      </c>
      <c r="T284">
        <f>HYPERLINK("https://klasma.github.io/Logging_0642/kartor/A 15498-2024 karta.png", "A 15498-2024")</f>
        <v/>
      </c>
      <c r="U284">
        <f>HYPERLINK("https://klasma.github.io/Logging_0642/knärot/A 15498-2024 karta knärot.png", "A 15498-2024")</f>
        <v/>
      </c>
      <c r="V284">
        <f>HYPERLINK("https://klasma.github.io/Logging_0642/klagomål/A 15498-2024 FSC-klagomål.docx", "A 15498-2024")</f>
        <v/>
      </c>
      <c r="W284">
        <f>HYPERLINK("https://klasma.github.io/Logging_0642/klagomålsmail/A 15498-2024 FSC-klagomål mail.docx", "A 15498-2024")</f>
        <v/>
      </c>
      <c r="X284">
        <f>HYPERLINK("https://klasma.github.io/Logging_0642/tillsyn/A 15498-2024 tillsynsbegäran.docx", "A 15498-2024")</f>
        <v/>
      </c>
      <c r="Y284">
        <f>HYPERLINK("https://klasma.github.io/Logging_0642/tillsynsmail/A 15498-2024 tillsynsbegäran mail.docx", "A 15498-2024")</f>
        <v/>
      </c>
    </row>
    <row r="285" ht="15" customHeight="1">
      <c r="A285" t="inlineStr">
        <is>
          <t>A 36704-2025</t>
        </is>
      </c>
      <c r="B285" s="1" t="n">
        <v>45873.45134259259</v>
      </c>
      <c r="C285" s="1" t="n">
        <v>45962</v>
      </c>
      <c r="D285" t="inlineStr">
        <is>
          <t>JÖNKÖPINGS LÄN</t>
        </is>
      </c>
      <c r="E285" t="inlineStr">
        <is>
          <t>NÄSSJÖ</t>
        </is>
      </c>
      <c r="G285" t="n">
        <v>3.2</v>
      </c>
      <c r="H285" t="n">
        <v>0</v>
      </c>
      <c r="I285" t="n">
        <v>0</v>
      </c>
      <c r="J285" t="n">
        <v>1</v>
      </c>
      <c r="K285" t="n">
        <v>0</v>
      </c>
      <c r="L285" t="n">
        <v>0</v>
      </c>
      <c r="M285" t="n">
        <v>0</v>
      </c>
      <c r="N285" t="n">
        <v>0</v>
      </c>
      <c r="O285" t="n">
        <v>1</v>
      </c>
      <c r="P285" t="n">
        <v>0</v>
      </c>
      <c r="Q285" t="n">
        <v>1</v>
      </c>
      <c r="R285" s="2" t="inlineStr">
        <is>
          <t>Klofibbla</t>
        </is>
      </c>
      <c r="S285">
        <f>HYPERLINK("https://klasma.github.io/Logging_0682/artfynd/A 36704-2025 artfynd.xlsx", "A 36704-2025")</f>
        <v/>
      </c>
      <c r="T285">
        <f>HYPERLINK("https://klasma.github.io/Logging_0682/kartor/A 36704-2025 karta.png", "A 36704-2025")</f>
        <v/>
      </c>
      <c r="V285">
        <f>HYPERLINK("https://klasma.github.io/Logging_0682/klagomål/A 36704-2025 FSC-klagomål.docx", "A 36704-2025")</f>
        <v/>
      </c>
      <c r="W285">
        <f>HYPERLINK("https://klasma.github.io/Logging_0682/klagomålsmail/A 36704-2025 FSC-klagomål mail.docx", "A 36704-2025")</f>
        <v/>
      </c>
      <c r="X285">
        <f>HYPERLINK("https://klasma.github.io/Logging_0682/tillsyn/A 36704-2025 tillsynsbegäran.docx", "A 36704-2025")</f>
        <v/>
      </c>
      <c r="Y285">
        <f>HYPERLINK("https://klasma.github.io/Logging_0682/tillsynsmail/A 36704-2025 tillsynsbegäran mail.docx", "A 36704-2025")</f>
        <v/>
      </c>
    </row>
    <row r="286" ht="15" customHeight="1">
      <c r="A286" t="inlineStr">
        <is>
          <t>A 34597-2025</t>
        </is>
      </c>
      <c r="B286" s="1" t="n">
        <v>45846</v>
      </c>
      <c r="C286" s="1" t="n">
        <v>45962</v>
      </c>
      <c r="D286" t="inlineStr">
        <is>
          <t>JÖNKÖPINGS LÄN</t>
        </is>
      </c>
      <c r="E286" t="inlineStr">
        <is>
          <t>JÖNKÖPING</t>
        </is>
      </c>
      <c r="F286" t="inlineStr">
        <is>
          <t>Kyrkan</t>
        </is>
      </c>
      <c r="G286" t="n">
        <v>7.3</v>
      </c>
      <c r="H286" t="n">
        <v>1</v>
      </c>
      <c r="I286" t="n">
        <v>0</v>
      </c>
      <c r="J286" t="n">
        <v>0</v>
      </c>
      <c r="K286" t="n">
        <v>1</v>
      </c>
      <c r="L286" t="n">
        <v>0</v>
      </c>
      <c r="M286" t="n">
        <v>0</v>
      </c>
      <c r="N286" t="n">
        <v>0</v>
      </c>
      <c r="O286" t="n">
        <v>1</v>
      </c>
      <c r="P286" t="n">
        <v>1</v>
      </c>
      <c r="Q286" t="n">
        <v>1</v>
      </c>
      <c r="R286" s="2" t="inlineStr">
        <is>
          <t>Knärot</t>
        </is>
      </c>
      <c r="S286">
        <f>HYPERLINK("https://klasma.github.io/Logging_0680/artfynd/A 34597-2025 artfynd.xlsx", "A 34597-2025")</f>
        <v/>
      </c>
      <c r="T286">
        <f>HYPERLINK("https://klasma.github.io/Logging_0680/kartor/A 34597-2025 karta.png", "A 34597-2025")</f>
        <v/>
      </c>
      <c r="U286">
        <f>HYPERLINK("https://klasma.github.io/Logging_0680/knärot/A 34597-2025 karta knärot.png", "A 34597-2025")</f>
        <v/>
      </c>
      <c r="V286">
        <f>HYPERLINK("https://klasma.github.io/Logging_0680/klagomål/A 34597-2025 FSC-klagomål.docx", "A 34597-2025")</f>
        <v/>
      </c>
      <c r="W286">
        <f>HYPERLINK("https://klasma.github.io/Logging_0680/klagomålsmail/A 34597-2025 FSC-klagomål mail.docx", "A 34597-2025")</f>
        <v/>
      </c>
      <c r="X286">
        <f>HYPERLINK("https://klasma.github.io/Logging_0680/tillsyn/A 34597-2025 tillsynsbegäran.docx", "A 34597-2025")</f>
        <v/>
      </c>
      <c r="Y286">
        <f>HYPERLINK("https://klasma.github.io/Logging_0680/tillsynsmail/A 34597-2025 tillsynsbegäran mail.docx", "A 34597-2025")</f>
        <v/>
      </c>
    </row>
    <row r="287" ht="15" customHeight="1">
      <c r="A287" t="inlineStr">
        <is>
          <t>A 47412-2025</t>
        </is>
      </c>
      <c r="B287" s="1" t="n">
        <v>45930.6172337963</v>
      </c>
      <c r="C287" s="1" t="n">
        <v>45962</v>
      </c>
      <c r="D287" t="inlineStr">
        <is>
          <t>JÖNKÖPINGS LÄN</t>
        </is>
      </c>
      <c r="E287" t="inlineStr">
        <is>
          <t>JÖNKÖPING</t>
        </is>
      </c>
      <c r="G287" t="n">
        <v>2.6</v>
      </c>
      <c r="H287" t="n">
        <v>1</v>
      </c>
      <c r="I287" t="n">
        <v>0</v>
      </c>
      <c r="J287" t="n">
        <v>0</v>
      </c>
      <c r="K287" t="n">
        <v>1</v>
      </c>
      <c r="L287" t="n">
        <v>0</v>
      </c>
      <c r="M287" t="n">
        <v>0</v>
      </c>
      <c r="N287" t="n">
        <v>0</v>
      </c>
      <c r="O287" t="n">
        <v>1</v>
      </c>
      <c r="P287" t="n">
        <v>1</v>
      </c>
      <c r="Q287" t="n">
        <v>1</v>
      </c>
      <c r="R287" s="2" t="inlineStr">
        <is>
          <t>Knärot</t>
        </is>
      </c>
      <c r="S287">
        <f>HYPERLINK("https://klasma.github.io/Logging_0680/artfynd/A 47412-2025 artfynd.xlsx", "A 47412-2025")</f>
        <v/>
      </c>
      <c r="T287">
        <f>HYPERLINK("https://klasma.github.io/Logging_0680/kartor/A 47412-2025 karta.png", "A 47412-2025")</f>
        <v/>
      </c>
      <c r="U287">
        <f>HYPERLINK("https://klasma.github.io/Logging_0680/knärot/A 47412-2025 karta knärot.png", "A 47412-2025")</f>
        <v/>
      </c>
      <c r="V287">
        <f>HYPERLINK("https://klasma.github.io/Logging_0680/klagomål/A 47412-2025 FSC-klagomål.docx", "A 47412-2025")</f>
        <v/>
      </c>
      <c r="W287">
        <f>HYPERLINK("https://klasma.github.io/Logging_0680/klagomålsmail/A 47412-2025 FSC-klagomål mail.docx", "A 47412-2025")</f>
        <v/>
      </c>
      <c r="X287">
        <f>HYPERLINK("https://klasma.github.io/Logging_0680/tillsyn/A 47412-2025 tillsynsbegäran.docx", "A 47412-2025")</f>
        <v/>
      </c>
      <c r="Y287">
        <f>HYPERLINK("https://klasma.github.io/Logging_0680/tillsynsmail/A 47412-2025 tillsynsbegäran mail.docx", "A 47412-2025")</f>
        <v/>
      </c>
    </row>
    <row r="288" ht="15" customHeight="1">
      <c r="A288" t="inlineStr">
        <is>
          <t>A 47402-2025</t>
        </is>
      </c>
      <c r="B288" s="1" t="n">
        <v>45930.60978009259</v>
      </c>
      <c r="C288" s="1" t="n">
        <v>45962</v>
      </c>
      <c r="D288" t="inlineStr">
        <is>
          <t>JÖNKÖPINGS LÄN</t>
        </is>
      </c>
      <c r="E288" t="inlineStr">
        <is>
          <t>JÖNKÖPING</t>
        </is>
      </c>
      <c r="G288" t="n">
        <v>2.1</v>
      </c>
      <c r="H288" t="n">
        <v>0</v>
      </c>
      <c r="I288" t="n">
        <v>1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1</v>
      </c>
      <c r="R288" s="2" t="inlineStr">
        <is>
          <t>Västlig hakmossa</t>
        </is>
      </c>
      <c r="S288">
        <f>HYPERLINK("https://klasma.github.io/Logging_0680/artfynd/A 47402-2025 artfynd.xlsx", "A 47402-2025")</f>
        <v/>
      </c>
      <c r="T288">
        <f>HYPERLINK("https://klasma.github.io/Logging_0680/kartor/A 47402-2025 karta.png", "A 47402-2025")</f>
        <v/>
      </c>
      <c r="V288">
        <f>HYPERLINK("https://klasma.github.io/Logging_0680/klagomål/A 47402-2025 FSC-klagomål.docx", "A 47402-2025")</f>
        <v/>
      </c>
      <c r="W288">
        <f>HYPERLINK("https://klasma.github.io/Logging_0680/klagomålsmail/A 47402-2025 FSC-klagomål mail.docx", "A 47402-2025")</f>
        <v/>
      </c>
      <c r="X288">
        <f>HYPERLINK("https://klasma.github.io/Logging_0680/tillsyn/A 47402-2025 tillsynsbegäran.docx", "A 47402-2025")</f>
        <v/>
      </c>
      <c r="Y288">
        <f>HYPERLINK("https://klasma.github.io/Logging_0680/tillsynsmail/A 47402-2025 tillsynsbegäran mail.docx", "A 47402-2025")</f>
        <v/>
      </c>
    </row>
    <row r="289" ht="15" customHeight="1">
      <c r="A289" t="inlineStr">
        <is>
          <t>A 37342-2025</t>
        </is>
      </c>
      <c r="B289" s="1" t="n">
        <v>45876.69954861111</v>
      </c>
      <c r="C289" s="1" t="n">
        <v>45962</v>
      </c>
      <c r="D289" t="inlineStr">
        <is>
          <t>JÖNKÖPINGS LÄN</t>
        </is>
      </c>
      <c r="E289" t="inlineStr">
        <is>
          <t>JÖNKÖPING</t>
        </is>
      </c>
      <c r="G289" t="n">
        <v>4.7</v>
      </c>
      <c r="H289" t="n">
        <v>0</v>
      </c>
      <c r="I289" t="n">
        <v>0</v>
      </c>
      <c r="J289" t="n">
        <v>1</v>
      </c>
      <c r="K289" t="n">
        <v>0</v>
      </c>
      <c r="L289" t="n">
        <v>0</v>
      </c>
      <c r="M289" t="n">
        <v>0</v>
      </c>
      <c r="N289" t="n">
        <v>0</v>
      </c>
      <c r="O289" t="n">
        <v>1</v>
      </c>
      <c r="P289" t="n">
        <v>0</v>
      </c>
      <c r="Q289" t="n">
        <v>1</v>
      </c>
      <c r="R289" s="2" t="inlineStr">
        <is>
          <t>Vedskivlav</t>
        </is>
      </c>
      <c r="S289">
        <f>HYPERLINK("https://klasma.github.io/Logging_0680/artfynd/A 37342-2025 artfynd.xlsx", "A 37342-2025")</f>
        <v/>
      </c>
      <c r="T289">
        <f>HYPERLINK("https://klasma.github.io/Logging_0680/kartor/A 37342-2025 karta.png", "A 37342-2025")</f>
        <v/>
      </c>
      <c r="V289">
        <f>HYPERLINK("https://klasma.github.io/Logging_0680/klagomål/A 37342-2025 FSC-klagomål.docx", "A 37342-2025")</f>
        <v/>
      </c>
      <c r="W289">
        <f>HYPERLINK("https://klasma.github.io/Logging_0680/klagomålsmail/A 37342-2025 FSC-klagomål mail.docx", "A 37342-2025")</f>
        <v/>
      </c>
      <c r="X289">
        <f>HYPERLINK("https://klasma.github.io/Logging_0680/tillsyn/A 37342-2025 tillsynsbegäran.docx", "A 37342-2025")</f>
        <v/>
      </c>
      <c r="Y289">
        <f>HYPERLINK("https://klasma.github.io/Logging_0680/tillsynsmail/A 37342-2025 tillsynsbegäran mail.docx", "A 37342-2025")</f>
        <v/>
      </c>
    </row>
    <row r="290" ht="15" customHeight="1">
      <c r="A290" t="inlineStr">
        <is>
          <t>A 39794-2025</t>
        </is>
      </c>
      <c r="B290" s="1" t="n">
        <v>45891.48929398148</v>
      </c>
      <c r="C290" s="1" t="n">
        <v>45962</v>
      </c>
      <c r="D290" t="inlineStr">
        <is>
          <t>JÖNKÖPINGS LÄN</t>
        </is>
      </c>
      <c r="E290" t="inlineStr">
        <is>
          <t>VETLANDA</t>
        </is>
      </c>
      <c r="G290" t="n">
        <v>2</v>
      </c>
      <c r="H290" t="n">
        <v>0</v>
      </c>
      <c r="I290" t="n">
        <v>0</v>
      </c>
      <c r="J290" t="n">
        <v>0</v>
      </c>
      <c r="K290" t="n">
        <v>1</v>
      </c>
      <c r="L290" t="n">
        <v>0</v>
      </c>
      <c r="M290" t="n">
        <v>0</v>
      </c>
      <c r="N290" t="n">
        <v>0</v>
      </c>
      <c r="O290" t="n">
        <v>1</v>
      </c>
      <c r="P290" t="n">
        <v>1</v>
      </c>
      <c r="Q290" t="n">
        <v>1</v>
      </c>
      <c r="R290" s="2" t="inlineStr">
        <is>
          <t>Slåttergubbe</t>
        </is>
      </c>
      <c r="S290">
        <f>HYPERLINK("https://klasma.github.io/Logging_0685/artfynd/A 39794-2025 artfynd.xlsx", "A 39794-2025")</f>
        <v/>
      </c>
      <c r="T290">
        <f>HYPERLINK("https://klasma.github.io/Logging_0685/kartor/A 39794-2025 karta.png", "A 39794-2025")</f>
        <v/>
      </c>
      <c r="V290">
        <f>HYPERLINK("https://klasma.github.io/Logging_0685/klagomål/A 39794-2025 FSC-klagomål.docx", "A 39794-2025")</f>
        <v/>
      </c>
      <c r="W290">
        <f>HYPERLINK("https://klasma.github.io/Logging_0685/klagomålsmail/A 39794-2025 FSC-klagomål mail.docx", "A 39794-2025")</f>
        <v/>
      </c>
      <c r="X290">
        <f>HYPERLINK("https://klasma.github.io/Logging_0685/tillsyn/A 39794-2025 tillsynsbegäran.docx", "A 39794-2025")</f>
        <v/>
      </c>
      <c r="Y290">
        <f>HYPERLINK("https://klasma.github.io/Logging_0685/tillsynsmail/A 39794-2025 tillsynsbegäran mail.docx", "A 39794-2025")</f>
        <v/>
      </c>
    </row>
    <row r="291" ht="15" customHeight="1">
      <c r="A291" t="inlineStr">
        <is>
          <t>A 27358-2022</t>
        </is>
      </c>
      <c r="B291" s="1" t="n">
        <v>44742.43836805555</v>
      </c>
      <c r="C291" s="1" t="n">
        <v>45962</v>
      </c>
      <c r="D291" t="inlineStr">
        <is>
          <t>JÖNKÖPINGS LÄN</t>
        </is>
      </c>
      <c r="E291" t="inlineStr">
        <is>
          <t>GISLAVED</t>
        </is>
      </c>
      <c r="G291" t="n">
        <v>1.2</v>
      </c>
      <c r="H291" t="n">
        <v>0</v>
      </c>
      <c r="I291" t="n">
        <v>1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1</v>
      </c>
      <c r="R291" s="2" t="inlineStr">
        <is>
          <t>Kambräken</t>
        </is>
      </c>
      <c r="S291">
        <f>HYPERLINK("https://klasma.github.io/Logging_0662/artfynd/A 27358-2022 artfynd.xlsx", "A 27358-2022")</f>
        <v/>
      </c>
      <c r="T291">
        <f>HYPERLINK("https://klasma.github.io/Logging_0662/kartor/A 27358-2022 karta.png", "A 27358-2022")</f>
        <v/>
      </c>
      <c r="V291">
        <f>HYPERLINK("https://klasma.github.io/Logging_0662/klagomål/A 27358-2022 FSC-klagomål.docx", "A 27358-2022")</f>
        <v/>
      </c>
      <c r="W291">
        <f>HYPERLINK("https://klasma.github.io/Logging_0662/klagomålsmail/A 27358-2022 FSC-klagomål mail.docx", "A 27358-2022")</f>
        <v/>
      </c>
      <c r="X291">
        <f>HYPERLINK("https://klasma.github.io/Logging_0662/tillsyn/A 27358-2022 tillsynsbegäran.docx", "A 27358-2022")</f>
        <v/>
      </c>
      <c r="Y291">
        <f>HYPERLINK("https://klasma.github.io/Logging_0662/tillsynsmail/A 27358-2022 tillsynsbegäran mail.docx", "A 27358-2022")</f>
        <v/>
      </c>
    </row>
    <row r="292" ht="15" customHeight="1">
      <c r="A292" t="inlineStr">
        <is>
          <t>A 38055-2025</t>
        </is>
      </c>
      <c r="B292" s="1" t="n">
        <v>45882</v>
      </c>
      <c r="C292" s="1" t="n">
        <v>45962</v>
      </c>
      <c r="D292" t="inlineStr">
        <is>
          <t>JÖNKÖPINGS LÄN</t>
        </is>
      </c>
      <c r="E292" t="inlineStr">
        <is>
          <t>HABO</t>
        </is>
      </c>
      <c r="F292" t="inlineStr">
        <is>
          <t>Allmännings- och besparingsskogar</t>
        </is>
      </c>
      <c r="G292" t="n">
        <v>8.199999999999999</v>
      </c>
      <c r="H292" t="n">
        <v>0</v>
      </c>
      <c r="I292" t="n">
        <v>1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1</v>
      </c>
      <c r="R292" s="2" t="inlineStr">
        <is>
          <t>Mindre märgborre</t>
        </is>
      </c>
      <c r="S292">
        <f>HYPERLINK("https://klasma.github.io/Logging_0643/artfynd/A 38055-2025 artfynd.xlsx", "A 38055-2025")</f>
        <v/>
      </c>
      <c r="T292">
        <f>HYPERLINK("https://klasma.github.io/Logging_0643/kartor/A 38055-2025 karta.png", "A 38055-2025")</f>
        <v/>
      </c>
      <c r="V292">
        <f>HYPERLINK("https://klasma.github.io/Logging_0643/klagomål/A 38055-2025 FSC-klagomål.docx", "A 38055-2025")</f>
        <v/>
      </c>
      <c r="W292">
        <f>HYPERLINK("https://klasma.github.io/Logging_0643/klagomålsmail/A 38055-2025 FSC-klagomål mail.docx", "A 38055-2025")</f>
        <v/>
      </c>
      <c r="X292">
        <f>HYPERLINK("https://klasma.github.io/Logging_0643/tillsyn/A 38055-2025 tillsynsbegäran.docx", "A 38055-2025")</f>
        <v/>
      </c>
      <c r="Y292">
        <f>HYPERLINK("https://klasma.github.io/Logging_0643/tillsynsmail/A 38055-2025 tillsynsbegäran mail.docx", "A 38055-2025")</f>
        <v/>
      </c>
    </row>
    <row r="293" ht="15" customHeight="1">
      <c r="A293" t="inlineStr">
        <is>
          <t>A 2633-2023</t>
        </is>
      </c>
      <c r="B293" s="1" t="n">
        <v>44942</v>
      </c>
      <c r="C293" s="1" t="n">
        <v>45962</v>
      </c>
      <c r="D293" t="inlineStr">
        <is>
          <t>JÖNKÖPINGS LÄN</t>
        </is>
      </c>
      <c r="E293" t="inlineStr">
        <is>
          <t>SÄVSJÖ</t>
        </is>
      </c>
      <c r="G293" t="n">
        <v>2.7</v>
      </c>
      <c r="H293" t="n">
        <v>1</v>
      </c>
      <c r="I293" t="n">
        <v>0</v>
      </c>
      <c r="J293" t="n">
        <v>1</v>
      </c>
      <c r="K293" t="n">
        <v>0</v>
      </c>
      <c r="L293" t="n">
        <v>0</v>
      </c>
      <c r="M293" t="n">
        <v>0</v>
      </c>
      <c r="N293" t="n">
        <v>0</v>
      </c>
      <c r="O293" t="n">
        <v>1</v>
      </c>
      <c r="P293" t="n">
        <v>0</v>
      </c>
      <c r="Q293" t="n">
        <v>1</v>
      </c>
      <c r="R293" s="2" t="inlineStr">
        <is>
          <t>Grönsångare</t>
        </is>
      </c>
      <c r="S293">
        <f>HYPERLINK("https://klasma.github.io/Logging_0684/artfynd/A 2633-2023 artfynd.xlsx", "A 2633-2023")</f>
        <v/>
      </c>
      <c r="T293">
        <f>HYPERLINK("https://klasma.github.io/Logging_0684/kartor/A 2633-2023 karta.png", "A 2633-2023")</f>
        <v/>
      </c>
      <c r="V293">
        <f>HYPERLINK("https://klasma.github.io/Logging_0684/klagomål/A 2633-2023 FSC-klagomål.docx", "A 2633-2023")</f>
        <v/>
      </c>
      <c r="W293">
        <f>HYPERLINK("https://klasma.github.io/Logging_0684/klagomålsmail/A 2633-2023 FSC-klagomål mail.docx", "A 2633-2023")</f>
        <v/>
      </c>
      <c r="X293">
        <f>HYPERLINK("https://klasma.github.io/Logging_0684/tillsyn/A 2633-2023 tillsynsbegäran.docx", "A 2633-2023")</f>
        <v/>
      </c>
      <c r="Y293">
        <f>HYPERLINK("https://klasma.github.io/Logging_0684/tillsynsmail/A 2633-2023 tillsynsbegäran mail.docx", "A 2633-2023")</f>
        <v/>
      </c>
      <c r="Z293">
        <f>HYPERLINK("https://klasma.github.io/Logging_0684/fåglar/A 2633-2023 prioriterade fågelarter.docx", "A 2633-2023")</f>
        <v/>
      </c>
    </row>
    <row r="294" ht="15" customHeight="1">
      <c r="A294" t="inlineStr">
        <is>
          <t>A 46083-2025</t>
        </is>
      </c>
      <c r="B294" s="1" t="n">
        <v>45924.51141203703</v>
      </c>
      <c r="C294" s="1" t="n">
        <v>45962</v>
      </c>
      <c r="D294" t="inlineStr">
        <is>
          <t>JÖNKÖPINGS LÄN</t>
        </is>
      </c>
      <c r="E294" t="inlineStr">
        <is>
          <t>JÖNKÖPING</t>
        </is>
      </c>
      <c r="G294" t="n">
        <v>2.2</v>
      </c>
      <c r="H294" t="n">
        <v>0</v>
      </c>
      <c r="I294" t="n">
        <v>0</v>
      </c>
      <c r="J294" t="n">
        <v>1</v>
      </c>
      <c r="K294" t="n">
        <v>0</v>
      </c>
      <c r="L294" t="n">
        <v>0</v>
      </c>
      <c r="M294" t="n">
        <v>0</v>
      </c>
      <c r="N294" t="n">
        <v>0</v>
      </c>
      <c r="O294" t="n">
        <v>1</v>
      </c>
      <c r="P294" t="n">
        <v>0</v>
      </c>
      <c r="Q294" t="n">
        <v>1</v>
      </c>
      <c r="R294" s="2" t="inlineStr">
        <is>
          <t>Granspira</t>
        </is>
      </c>
      <c r="S294">
        <f>HYPERLINK("https://klasma.github.io/Logging_0680/artfynd/A 46083-2025 artfynd.xlsx", "A 46083-2025")</f>
        <v/>
      </c>
      <c r="T294">
        <f>HYPERLINK("https://klasma.github.io/Logging_0680/kartor/A 46083-2025 karta.png", "A 46083-2025")</f>
        <v/>
      </c>
      <c r="V294">
        <f>HYPERLINK("https://klasma.github.io/Logging_0680/klagomål/A 46083-2025 FSC-klagomål.docx", "A 46083-2025")</f>
        <v/>
      </c>
      <c r="W294">
        <f>HYPERLINK("https://klasma.github.io/Logging_0680/klagomålsmail/A 46083-2025 FSC-klagomål mail.docx", "A 46083-2025")</f>
        <v/>
      </c>
      <c r="X294">
        <f>HYPERLINK("https://klasma.github.io/Logging_0680/tillsyn/A 46083-2025 tillsynsbegäran.docx", "A 46083-2025")</f>
        <v/>
      </c>
      <c r="Y294">
        <f>HYPERLINK("https://klasma.github.io/Logging_0680/tillsynsmail/A 46083-2025 tillsynsbegäran mail.docx", "A 46083-2025")</f>
        <v/>
      </c>
    </row>
    <row r="295" ht="15" customHeight="1">
      <c r="A295" t="inlineStr">
        <is>
          <t>A 17836-2025</t>
        </is>
      </c>
      <c r="B295" s="1" t="n">
        <v>45758</v>
      </c>
      <c r="C295" s="1" t="n">
        <v>45962</v>
      </c>
      <c r="D295" t="inlineStr">
        <is>
          <t>JÖNKÖPINGS LÄN</t>
        </is>
      </c>
      <c r="E295" t="inlineStr">
        <is>
          <t>JÖNKÖPING</t>
        </is>
      </c>
      <c r="F295" t="inlineStr">
        <is>
          <t>Kyrkan</t>
        </is>
      </c>
      <c r="G295" t="n">
        <v>7</v>
      </c>
      <c r="H295" t="n">
        <v>1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1</v>
      </c>
      <c r="R295" s="2" t="inlineStr">
        <is>
          <t>Större vattensalamander</t>
        </is>
      </c>
      <c r="S295">
        <f>HYPERLINK("https://klasma.github.io/Logging_0680/artfynd/A 17836-2025 artfynd.xlsx", "A 17836-2025")</f>
        <v/>
      </c>
      <c r="T295">
        <f>HYPERLINK("https://klasma.github.io/Logging_0680/kartor/A 17836-2025 karta.png", "A 17836-2025")</f>
        <v/>
      </c>
      <c r="V295">
        <f>HYPERLINK("https://klasma.github.io/Logging_0680/klagomål/A 17836-2025 FSC-klagomål.docx", "A 17836-2025")</f>
        <v/>
      </c>
      <c r="W295">
        <f>HYPERLINK("https://klasma.github.io/Logging_0680/klagomålsmail/A 17836-2025 FSC-klagomål mail.docx", "A 17836-2025")</f>
        <v/>
      </c>
      <c r="X295">
        <f>HYPERLINK("https://klasma.github.io/Logging_0680/tillsyn/A 17836-2025 tillsynsbegäran.docx", "A 17836-2025")</f>
        <v/>
      </c>
      <c r="Y295">
        <f>HYPERLINK("https://klasma.github.io/Logging_0680/tillsynsmail/A 17836-2025 tillsynsbegäran mail.docx", "A 17836-2025")</f>
        <v/>
      </c>
    </row>
    <row r="296" ht="15" customHeight="1">
      <c r="A296" t="inlineStr">
        <is>
          <t>A 7092-2024</t>
        </is>
      </c>
      <c r="B296" s="1" t="n">
        <v>45343</v>
      </c>
      <c r="C296" s="1" t="n">
        <v>45962</v>
      </c>
      <c r="D296" t="inlineStr">
        <is>
          <t>JÖNKÖPINGS LÄN</t>
        </is>
      </c>
      <c r="E296" t="inlineStr">
        <is>
          <t>JÖNKÖPING</t>
        </is>
      </c>
      <c r="G296" t="n">
        <v>3.1</v>
      </c>
      <c r="H296" t="n">
        <v>0</v>
      </c>
      <c r="I296" t="n">
        <v>0</v>
      </c>
      <c r="J296" t="n">
        <v>0</v>
      </c>
      <c r="K296" t="n">
        <v>0</v>
      </c>
      <c r="L296" t="n">
        <v>1</v>
      </c>
      <c r="M296" t="n">
        <v>0</v>
      </c>
      <c r="N296" t="n">
        <v>0</v>
      </c>
      <c r="O296" t="n">
        <v>1</v>
      </c>
      <c r="P296" t="n">
        <v>1</v>
      </c>
      <c r="Q296" t="n">
        <v>1</v>
      </c>
      <c r="R296" s="2" t="inlineStr">
        <is>
          <t>Ask</t>
        </is>
      </c>
      <c r="S296">
        <f>HYPERLINK("https://klasma.github.io/Logging_0680/artfynd/A 7092-2024 artfynd.xlsx", "A 7092-2024")</f>
        <v/>
      </c>
      <c r="T296">
        <f>HYPERLINK("https://klasma.github.io/Logging_0680/kartor/A 7092-2024 karta.png", "A 7092-2024")</f>
        <v/>
      </c>
      <c r="V296">
        <f>HYPERLINK("https://klasma.github.io/Logging_0680/klagomål/A 7092-2024 FSC-klagomål.docx", "A 7092-2024")</f>
        <v/>
      </c>
      <c r="W296">
        <f>HYPERLINK("https://klasma.github.io/Logging_0680/klagomålsmail/A 7092-2024 FSC-klagomål mail.docx", "A 7092-2024")</f>
        <v/>
      </c>
      <c r="X296">
        <f>HYPERLINK("https://klasma.github.io/Logging_0680/tillsyn/A 7092-2024 tillsynsbegäran.docx", "A 7092-2024")</f>
        <v/>
      </c>
      <c r="Y296">
        <f>HYPERLINK("https://klasma.github.io/Logging_0680/tillsynsmail/A 7092-2024 tillsynsbegäran mail.docx", "A 7092-2024")</f>
        <v/>
      </c>
    </row>
    <row r="297" ht="15" customHeight="1">
      <c r="A297" t="inlineStr">
        <is>
          <t>A 15177-2024</t>
        </is>
      </c>
      <c r="B297" s="1" t="n">
        <v>45400</v>
      </c>
      <c r="C297" s="1" t="n">
        <v>45962</v>
      </c>
      <c r="D297" t="inlineStr">
        <is>
          <t>JÖNKÖPINGS LÄN</t>
        </is>
      </c>
      <c r="E297" t="inlineStr">
        <is>
          <t>VETLANDA</t>
        </is>
      </c>
      <c r="F297" t="inlineStr">
        <is>
          <t>Kommuner</t>
        </is>
      </c>
      <c r="G297" t="n">
        <v>20.9</v>
      </c>
      <c r="H297" t="n">
        <v>1</v>
      </c>
      <c r="I297" t="n">
        <v>0</v>
      </c>
      <c r="J297" t="n">
        <v>0</v>
      </c>
      <c r="K297" t="n">
        <v>1</v>
      </c>
      <c r="L297" t="n">
        <v>0</v>
      </c>
      <c r="M297" t="n">
        <v>0</v>
      </c>
      <c r="N297" t="n">
        <v>0</v>
      </c>
      <c r="O297" t="n">
        <v>1</v>
      </c>
      <c r="P297" t="n">
        <v>1</v>
      </c>
      <c r="Q297" t="n">
        <v>1</v>
      </c>
      <c r="R297" s="2" t="inlineStr">
        <is>
          <t>Knärot</t>
        </is>
      </c>
      <c r="S297">
        <f>HYPERLINK("https://klasma.github.io/Logging_0685/artfynd/A 15177-2024 artfynd.xlsx", "A 15177-2024")</f>
        <v/>
      </c>
      <c r="T297">
        <f>HYPERLINK("https://klasma.github.io/Logging_0685/kartor/A 15177-2024 karta.png", "A 15177-2024")</f>
        <v/>
      </c>
      <c r="U297">
        <f>HYPERLINK("https://klasma.github.io/Logging_0685/knärot/A 15177-2024 karta knärot.png", "A 15177-2024")</f>
        <v/>
      </c>
      <c r="V297">
        <f>HYPERLINK("https://klasma.github.io/Logging_0685/klagomål/A 15177-2024 FSC-klagomål.docx", "A 15177-2024")</f>
        <v/>
      </c>
      <c r="W297">
        <f>HYPERLINK("https://klasma.github.io/Logging_0685/klagomålsmail/A 15177-2024 FSC-klagomål mail.docx", "A 15177-2024")</f>
        <v/>
      </c>
      <c r="X297">
        <f>HYPERLINK("https://klasma.github.io/Logging_0685/tillsyn/A 15177-2024 tillsynsbegäran.docx", "A 15177-2024")</f>
        <v/>
      </c>
      <c r="Y297">
        <f>HYPERLINK("https://klasma.github.io/Logging_0685/tillsynsmail/A 15177-2024 tillsynsbegäran mail.docx", "A 15177-2024")</f>
        <v/>
      </c>
    </row>
    <row r="298" ht="15" customHeight="1">
      <c r="A298" t="inlineStr">
        <is>
          <t>A 38197-2025</t>
        </is>
      </c>
      <c r="B298" s="1" t="n">
        <v>45882.67037037037</v>
      </c>
      <c r="C298" s="1" t="n">
        <v>45962</v>
      </c>
      <c r="D298" t="inlineStr">
        <is>
          <t>JÖNKÖPINGS LÄN</t>
        </is>
      </c>
      <c r="E298" t="inlineStr">
        <is>
          <t>GNOSJÖ</t>
        </is>
      </c>
      <c r="G298" t="n">
        <v>2.5</v>
      </c>
      <c r="H298" t="n">
        <v>1</v>
      </c>
      <c r="I298" t="n">
        <v>0</v>
      </c>
      <c r="J298" t="n">
        <v>0</v>
      </c>
      <c r="K298" t="n">
        <v>1</v>
      </c>
      <c r="L298" t="n">
        <v>0</v>
      </c>
      <c r="M298" t="n">
        <v>0</v>
      </c>
      <c r="N298" t="n">
        <v>0</v>
      </c>
      <c r="O298" t="n">
        <v>1</v>
      </c>
      <c r="P298" t="n">
        <v>1</v>
      </c>
      <c r="Q298" t="n">
        <v>1</v>
      </c>
      <c r="R298" s="2" t="inlineStr">
        <is>
          <t>Knärot</t>
        </is>
      </c>
      <c r="S298">
        <f>HYPERLINK("https://klasma.github.io/Logging_0617/artfynd/A 38197-2025 artfynd.xlsx", "A 38197-2025")</f>
        <v/>
      </c>
      <c r="T298">
        <f>HYPERLINK("https://klasma.github.io/Logging_0617/kartor/A 38197-2025 karta.png", "A 38197-2025")</f>
        <v/>
      </c>
      <c r="U298">
        <f>HYPERLINK("https://klasma.github.io/Logging_0617/knärot/A 38197-2025 karta knärot.png", "A 38197-2025")</f>
        <v/>
      </c>
      <c r="V298">
        <f>HYPERLINK("https://klasma.github.io/Logging_0617/klagomål/A 38197-2025 FSC-klagomål.docx", "A 38197-2025")</f>
        <v/>
      </c>
      <c r="W298">
        <f>HYPERLINK("https://klasma.github.io/Logging_0617/klagomålsmail/A 38197-2025 FSC-klagomål mail.docx", "A 38197-2025")</f>
        <v/>
      </c>
      <c r="X298">
        <f>HYPERLINK("https://klasma.github.io/Logging_0617/tillsyn/A 38197-2025 tillsynsbegäran.docx", "A 38197-2025")</f>
        <v/>
      </c>
      <c r="Y298">
        <f>HYPERLINK("https://klasma.github.io/Logging_0617/tillsynsmail/A 38197-2025 tillsynsbegäran mail.docx", "A 38197-2025")</f>
        <v/>
      </c>
    </row>
    <row r="299" ht="15" customHeight="1">
      <c r="A299" t="inlineStr">
        <is>
          <t>A 29027-2023</t>
        </is>
      </c>
      <c r="B299" s="1" t="n">
        <v>45104</v>
      </c>
      <c r="C299" s="1" t="n">
        <v>45962</v>
      </c>
      <c r="D299" t="inlineStr">
        <is>
          <t>JÖNKÖPINGS LÄN</t>
        </is>
      </c>
      <c r="E299" t="inlineStr">
        <is>
          <t>VETLANDA</t>
        </is>
      </c>
      <c r="G299" t="n">
        <v>10.1</v>
      </c>
      <c r="H299" t="n">
        <v>1</v>
      </c>
      <c r="I299" t="n">
        <v>0</v>
      </c>
      <c r="J299" t="n">
        <v>0</v>
      </c>
      <c r="K299" t="n">
        <v>1</v>
      </c>
      <c r="L299" t="n">
        <v>0</v>
      </c>
      <c r="M299" t="n">
        <v>0</v>
      </c>
      <c r="N299" t="n">
        <v>0</v>
      </c>
      <c r="O299" t="n">
        <v>1</v>
      </c>
      <c r="P299" t="n">
        <v>1</v>
      </c>
      <c r="Q299" t="n">
        <v>1</v>
      </c>
      <c r="R299" s="2" t="inlineStr">
        <is>
          <t>Knärot</t>
        </is>
      </c>
      <c r="S299">
        <f>HYPERLINK("https://klasma.github.io/Logging_0685/artfynd/A 29027-2023 artfynd.xlsx", "A 29027-2023")</f>
        <v/>
      </c>
      <c r="T299">
        <f>HYPERLINK("https://klasma.github.io/Logging_0685/kartor/A 29027-2023 karta.png", "A 29027-2023")</f>
        <v/>
      </c>
      <c r="U299">
        <f>HYPERLINK("https://klasma.github.io/Logging_0685/knärot/A 29027-2023 karta knärot.png", "A 29027-2023")</f>
        <v/>
      </c>
      <c r="V299">
        <f>HYPERLINK("https://klasma.github.io/Logging_0685/klagomål/A 29027-2023 FSC-klagomål.docx", "A 29027-2023")</f>
        <v/>
      </c>
      <c r="W299">
        <f>HYPERLINK("https://klasma.github.io/Logging_0685/klagomålsmail/A 29027-2023 FSC-klagomål mail.docx", "A 29027-2023")</f>
        <v/>
      </c>
      <c r="X299">
        <f>HYPERLINK("https://klasma.github.io/Logging_0685/tillsyn/A 29027-2023 tillsynsbegäran.docx", "A 29027-2023")</f>
        <v/>
      </c>
      <c r="Y299">
        <f>HYPERLINK("https://klasma.github.io/Logging_0685/tillsynsmail/A 29027-2023 tillsynsbegäran mail.docx", "A 29027-2023")</f>
        <v/>
      </c>
    </row>
    <row r="300" ht="15" customHeight="1">
      <c r="A300" t="inlineStr">
        <is>
          <t>A 35657-2024</t>
        </is>
      </c>
      <c r="B300" s="1" t="n">
        <v>45532.36847222222</v>
      </c>
      <c r="C300" s="1" t="n">
        <v>45962</v>
      </c>
      <c r="D300" t="inlineStr">
        <is>
          <t>JÖNKÖPINGS LÄN</t>
        </is>
      </c>
      <c r="E300" t="inlineStr">
        <is>
          <t>VETLANDA</t>
        </is>
      </c>
      <c r="G300" t="n">
        <v>2.6</v>
      </c>
      <c r="H300" t="n">
        <v>0</v>
      </c>
      <c r="I300" t="n">
        <v>0</v>
      </c>
      <c r="J300" t="n">
        <v>1</v>
      </c>
      <c r="K300" t="n">
        <v>0</v>
      </c>
      <c r="L300" t="n">
        <v>0</v>
      </c>
      <c r="M300" t="n">
        <v>0</v>
      </c>
      <c r="N300" t="n">
        <v>0</v>
      </c>
      <c r="O300" t="n">
        <v>1</v>
      </c>
      <c r="P300" t="n">
        <v>0</v>
      </c>
      <c r="Q300" t="n">
        <v>1</v>
      </c>
      <c r="R300" s="2" t="inlineStr">
        <is>
          <t>Åkerkål</t>
        </is>
      </c>
      <c r="S300">
        <f>HYPERLINK("https://klasma.github.io/Logging_0685/artfynd/A 35657-2024 artfynd.xlsx", "A 35657-2024")</f>
        <v/>
      </c>
      <c r="T300">
        <f>HYPERLINK("https://klasma.github.io/Logging_0685/kartor/A 35657-2024 karta.png", "A 35657-2024")</f>
        <v/>
      </c>
      <c r="V300">
        <f>HYPERLINK("https://klasma.github.io/Logging_0685/klagomål/A 35657-2024 FSC-klagomål.docx", "A 35657-2024")</f>
        <v/>
      </c>
      <c r="W300">
        <f>HYPERLINK("https://klasma.github.io/Logging_0685/klagomålsmail/A 35657-2024 FSC-klagomål mail.docx", "A 35657-2024")</f>
        <v/>
      </c>
      <c r="X300">
        <f>HYPERLINK("https://klasma.github.io/Logging_0685/tillsyn/A 35657-2024 tillsynsbegäran.docx", "A 35657-2024")</f>
        <v/>
      </c>
      <c r="Y300">
        <f>HYPERLINK("https://klasma.github.io/Logging_0685/tillsynsmail/A 35657-2024 tillsynsbegäran mail.docx", "A 35657-2024")</f>
        <v/>
      </c>
    </row>
    <row r="301" ht="15" customHeight="1">
      <c r="A301" t="inlineStr">
        <is>
          <t>A 11039-2025</t>
        </is>
      </c>
      <c r="B301" s="1" t="n">
        <v>45723.48199074074</v>
      </c>
      <c r="C301" s="1" t="n">
        <v>45962</v>
      </c>
      <c r="D301" t="inlineStr">
        <is>
          <t>JÖNKÖPINGS LÄN</t>
        </is>
      </c>
      <c r="E301" t="inlineStr">
        <is>
          <t>VÄRNAMO</t>
        </is>
      </c>
      <c r="G301" t="n">
        <v>6.7</v>
      </c>
      <c r="H301" t="n">
        <v>0</v>
      </c>
      <c r="I301" t="n">
        <v>1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1</v>
      </c>
      <c r="R301" s="2" t="inlineStr">
        <is>
          <t>Blåmossa</t>
        </is>
      </c>
      <c r="S301">
        <f>HYPERLINK("https://klasma.github.io/Logging_0683/artfynd/A 11039-2025 artfynd.xlsx", "A 11039-2025")</f>
        <v/>
      </c>
      <c r="T301">
        <f>HYPERLINK("https://klasma.github.io/Logging_0683/kartor/A 11039-2025 karta.png", "A 11039-2025")</f>
        <v/>
      </c>
      <c r="V301">
        <f>HYPERLINK("https://klasma.github.io/Logging_0683/klagomål/A 11039-2025 FSC-klagomål.docx", "A 11039-2025")</f>
        <v/>
      </c>
      <c r="W301">
        <f>HYPERLINK("https://klasma.github.io/Logging_0683/klagomålsmail/A 11039-2025 FSC-klagomål mail.docx", "A 11039-2025")</f>
        <v/>
      </c>
      <c r="X301">
        <f>HYPERLINK("https://klasma.github.io/Logging_0683/tillsyn/A 11039-2025 tillsynsbegäran.docx", "A 11039-2025")</f>
        <v/>
      </c>
      <c r="Y301">
        <f>HYPERLINK("https://klasma.github.io/Logging_0683/tillsynsmail/A 11039-2025 tillsynsbegäran mail.docx", "A 11039-2025")</f>
        <v/>
      </c>
    </row>
    <row r="302" ht="15" customHeight="1">
      <c r="A302" t="inlineStr">
        <is>
          <t>A 41029-2025</t>
        </is>
      </c>
      <c r="B302" s="1" t="n">
        <v>45898.37539351852</v>
      </c>
      <c r="C302" s="1" t="n">
        <v>45962</v>
      </c>
      <c r="D302" t="inlineStr">
        <is>
          <t>JÖNKÖPINGS LÄN</t>
        </is>
      </c>
      <c r="E302" t="inlineStr">
        <is>
          <t>EKSJÖ</t>
        </is>
      </c>
      <c r="F302" t="inlineStr">
        <is>
          <t>Sveaskog</t>
        </is>
      </c>
      <c r="G302" t="n">
        <v>4.4</v>
      </c>
      <c r="H302" t="n">
        <v>0</v>
      </c>
      <c r="I302" t="n">
        <v>0</v>
      </c>
      <c r="J302" t="n">
        <v>1</v>
      </c>
      <c r="K302" t="n">
        <v>0</v>
      </c>
      <c r="L302" t="n">
        <v>0</v>
      </c>
      <c r="M302" t="n">
        <v>0</v>
      </c>
      <c r="N302" t="n">
        <v>0</v>
      </c>
      <c r="O302" t="n">
        <v>1</v>
      </c>
      <c r="P302" t="n">
        <v>0</v>
      </c>
      <c r="Q302" t="n">
        <v>1</v>
      </c>
      <c r="R302" s="2" t="inlineStr">
        <is>
          <t>Gränsticka</t>
        </is>
      </c>
      <c r="S302">
        <f>HYPERLINK("https://klasma.github.io/Logging_0686/artfynd/A 41029-2025 artfynd.xlsx", "A 41029-2025")</f>
        <v/>
      </c>
      <c r="T302">
        <f>HYPERLINK("https://klasma.github.io/Logging_0686/kartor/A 41029-2025 karta.png", "A 41029-2025")</f>
        <v/>
      </c>
      <c r="V302">
        <f>HYPERLINK("https://klasma.github.io/Logging_0686/klagomål/A 41029-2025 FSC-klagomål.docx", "A 41029-2025")</f>
        <v/>
      </c>
      <c r="W302">
        <f>HYPERLINK("https://klasma.github.io/Logging_0686/klagomålsmail/A 41029-2025 FSC-klagomål mail.docx", "A 41029-2025")</f>
        <v/>
      </c>
      <c r="X302">
        <f>HYPERLINK("https://klasma.github.io/Logging_0686/tillsyn/A 41029-2025 tillsynsbegäran.docx", "A 41029-2025")</f>
        <v/>
      </c>
      <c r="Y302">
        <f>HYPERLINK("https://klasma.github.io/Logging_0686/tillsynsmail/A 41029-2025 tillsynsbegäran mail.docx", "A 41029-2025")</f>
        <v/>
      </c>
    </row>
    <row r="303" ht="15" customHeight="1">
      <c r="A303" t="inlineStr">
        <is>
          <t>A 42449-2025</t>
        </is>
      </c>
      <c r="B303" s="1" t="n">
        <v>45905.440625</v>
      </c>
      <c r="C303" s="1" t="n">
        <v>45962</v>
      </c>
      <c r="D303" t="inlineStr">
        <is>
          <t>JÖNKÖPINGS LÄN</t>
        </is>
      </c>
      <c r="E303" t="inlineStr">
        <is>
          <t>GISLAVED</t>
        </is>
      </c>
      <c r="G303" t="n">
        <v>0.7</v>
      </c>
      <c r="H303" t="n">
        <v>0</v>
      </c>
      <c r="I303" t="n">
        <v>0</v>
      </c>
      <c r="J303" t="n">
        <v>1</v>
      </c>
      <c r="K303" t="n">
        <v>0</v>
      </c>
      <c r="L303" t="n">
        <v>0</v>
      </c>
      <c r="M303" t="n">
        <v>0</v>
      </c>
      <c r="N303" t="n">
        <v>0</v>
      </c>
      <c r="O303" t="n">
        <v>1</v>
      </c>
      <c r="P303" t="n">
        <v>0</v>
      </c>
      <c r="Q303" t="n">
        <v>1</v>
      </c>
      <c r="R303" s="2" t="inlineStr">
        <is>
          <t>Borsttåg</t>
        </is>
      </c>
      <c r="S303">
        <f>HYPERLINK("https://klasma.github.io/Logging_0662/artfynd/A 42449-2025 artfynd.xlsx", "A 42449-2025")</f>
        <v/>
      </c>
      <c r="T303">
        <f>HYPERLINK("https://klasma.github.io/Logging_0662/kartor/A 42449-2025 karta.png", "A 42449-2025")</f>
        <v/>
      </c>
      <c r="V303">
        <f>HYPERLINK("https://klasma.github.io/Logging_0662/klagomål/A 42449-2025 FSC-klagomål.docx", "A 42449-2025")</f>
        <v/>
      </c>
      <c r="W303">
        <f>HYPERLINK("https://klasma.github.io/Logging_0662/klagomålsmail/A 42449-2025 FSC-klagomål mail.docx", "A 42449-2025")</f>
        <v/>
      </c>
      <c r="X303">
        <f>HYPERLINK("https://klasma.github.io/Logging_0662/tillsyn/A 42449-2025 tillsynsbegäran.docx", "A 42449-2025")</f>
        <v/>
      </c>
      <c r="Y303">
        <f>HYPERLINK("https://klasma.github.io/Logging_0662/tillsynsmail/A 42449-2025 tillsynsbegäran mail.docx", "A 42449-2025")</f>
        <v/>
      </c>
    </row>
    <row r="304" ht="15" customHeight="1">
      <c r="A304" t="inlineStr">
        <is>
          <t>A 42185-2025</t>
        </is>
      </c>
      <c r="B304" s="1" t="n">
        <v>45904.45417824074</v>
      </c>
      <c r="C304" s="1" t="n">
        <v>45962</v>
      </c>
      <c r="D304" t="inlineStr">
        <is>
          <t>JÖNKÖPINGS LÄN</t>
        </is>
      </c>
      <c r="E304" t="inlineStr">
        <is>
          <t>VETLANDA</t>
        </is>
      </c>
      <c r="G304" t="n">
        <v>4</v>
      </c>
      <c r="H304" t="n">
        <v>0</v>
      </c>
      <c r="I304" t="n">
        <v>0</v>
      </c>
      <c r="J304" t="n">
        <v>1</v>
      </c>
      <c r="K304" t="n">
        <v>0</v>
      </c>
      <c r="L304" t="n">
        <v>0</v>
      </c>
      <c r="M304" t="n">
        <v>0</v>
      </c>
      <c r="N304" t="n">
        <v>0</v>
      </c>
      <c r="O304" t="n">
        <v>1</v>
      </c>
      <c r="P304" t="n">
        <v>0</v>
      </c>
      <c r="Q304" t="n">
        <v>1</v>
      </c>
      <c r="R304" s="2" t="inlineStr">
        <is>
          <t>Sydspärgel</t>
        </is>
      </c>
      <c r="S304">
        <f>HYPERLINK("https://klasma.github.io/Logging_0685/artfynd/A 42185-2025 artfynd.xlsx", "A 42185-2025")</f>
        <v/>
      </c>
      <c r="T304">
        <f>HYPERLINK("https://klasma.github.io/Logging_0685/kartor/A 42185-2025 karta.png", "A 42185-2025")</f>
        <v/>
      </c>
      <c r="V304">
        <f>HYPERLINK("https://klasma.github.io/Logging_0685/klagomål/A 42185-2025 FSC-klagomål.docx", "A 42185-2025")</f>
        <v/>
      </c>
      <c r="W304">
        <f>HYPERLINK("https://klasma.github.io/Logging_0685/klagomålsmail/A 42185-2025 FSC-klagomål mail.docx", "A 42185-2025")</f>
        <v/>
      </c>
      <c r="X304">
        <f>HYPERLINK("https://klasma.github.io/Logging_0685/tillsyn/A 42185-2025 tillsynsbegäran.docx", "A 42185-2025")</f>
        <v/>
      </c>
      <c r="Y304">
        <f>HYPERLINK("https://klasma.github.io/Logging_0685/tillsynsmail/A 42185-2025 tillsynsbegäran mail.docx", "A 42185-2025")</f>
        <v/>
      </c>
    </row>
    <row r="305" ht="15" customHeight="1">
      <c r="A305" t="inlineStr">
        <is>
          <t>A 50120-2025</t>
        </is>
      </c>
      <c r="B305" s="1" t="n">
        <v>45943</v>
      </c>
      <c r="C305" s="1" t="n">
        <v>45962</v>
      </c>
      <c r="D305" t="inlineStr">
        <is>
          <t>JÖNKÖPINGS LÄN</t>
        </is>
      </c>
      <c r="E305" t="inlineStr">
        <is>
          <t>NÄSSJÖ</t>
        </is>
      </c>
      <c r="G305" t="n">
        <v>0.9</v>
      </c>
      <c r="H305" t="n">
        <v>1</v>
      </c>
      <c r="I305" t="n">
        <v>1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1</v>
      </c>
      <c r="R305" s="2" t="inlineStr">
        <is>
          <t>Spindelblomster</t>
        </is>
      </c>
      <c r="S305">
        <f>HYPERLINK("https://klasma.github.io/Logging_0682/artfynd/A 50120-2025 artfynd.xlsx", "A 50120-2025")</f>
        <v/>
      </c>
      <c r="T305">
        <f>HYPERLINK("https://klasma.github.io/Logging_0682/kartor/A 50120-2025 karta.png", "A 50120-2025")</f>
        <v/>
      </c>
      <c r="V305">
        <f>HYPERLINK("https://klasma.github.io/Logging_0682/klagomål/A 50120-2025 FSC-klagomål.docx", "A 50120-2025")</f>
        <v/>
      </c>
      <c r="W305">
        <f>HYPERLINK("https://klasma.github.io/Logging_0682/klagomålsmail/A 50120-2025 FSC-klagomål mail.docx", "A 50120-2025")</f>
        <v/>
      </c>
      <c r="X305">
        <f>HYPERLINK("https://klasma.github.io/Logging_0682/tillsyn/A 50120-2025 tillsynsbegäran.docx", "A 50120-2025")</f>
        <v/>
      </c>
      <c r="Y305">
        <f>HYPERLINK("https://klasma.github.io/Logging_0682/tillsynsmail/A 50120-2025 tillsynsbegäran mail.docx", "A 50120-2025")</f>
        <v/>
      </c>
    </row>
    <row r="306" ht="15" customHeight="1">
      <c r="A306" t="inlineStr">
        <is>
          <t>A 44728-2025</t>
        </is>
      </c>
      <c r="B306" s="1" t="n">
        <v>45917</v>
      </c>
      <c r="C306" s="1" t="n">
        <v>45962</v>
      </c>
      <c r="D306" t="inlineStr">
        <is>
          <t>JÖNKÖPINGS LÄN</t>
        </is>
      </c>
      <c r="E306" t="inlineStr">
        <is>
          <t>GISLAVED</t>
        </is>
      </c>
      <c r="G306" t="n">
        <v>2.1</v>
      </c>
      <c r="H306" t="n">
        <v>0</v>
      </c>
      <c r="I306" t="n">
        <v>0</v>
      </c>
      <c r="J306" t="n">
        <v>1</v>
      </c>
      <c r="K306" t="n">
        <v>0</v>
      </c>
      <c r="L306" t="n">
        <v>0</v>
      </c>
      <c r="M306" t="n">
        <v>0</v>
      </c>
      <c r="N306" t="n">
        <v>0</v>
      </c>
      <c r="O306" t="n">
        <v>1</v>
      </c>
      <c r="P306" t="n">
        <v>0</v>
      </c>
      <c r="Q306" t="n">
        <v>1</v>
      </c>
      <c r="R306" s="2" t="inlineStr">
        <is>
          <t>Flytsäv</t>
        </is>
      </c>
      <c r="S306">
        <f>HYPERLINK("https://klasma.github.io/Logging_0662/artfynd/A 44728-2025 artfynd.xlsx", "A 44728-2025")</f>
        <v/>
      </c>
      <c r="T306">
        <f>HYPERLINK("https://klasma.github.io/Logging_0662/kartor/A 44728-2025 karta.png", "A 44728-2025")</f>
        <v/>
      </c>
      <c r="V306">
        <f>HYPERLINK("https://klasma.github.io/Logging_0662/klagomål/A 44728-2025 FSC-klagomål.docx", "A 44728-2025")</f>
        <v/>
      </c>
      <c r="W306">
        <f>HYPERLINK("https://klasma.github.io/Logging_0662/klagomålsmail/A 44728-2025 FSC-klagomål mail.docx", "A 44728-2025")</f>
        <v/>
      </c>
      <c r="X306">
        <f>HYPERLINK("https://klasma.github.io/Logging_0662/tillsyn/A 44728-2025 tillsynsbegäran.docx", "A 44728-2025")</f>
        <v/>
      </c>
      <c r="Y306">
        <f>HYPERLINK("https://klasma.github.io/Logging_0662/tillsynsmail/A 44728-2025 tillsynsbegäran mail.docx", "A 44728-2025")</f>
        <v/>
      </c>
    </row>
    <row r="307" ht="15" customHeight="1">
      <c r="A307" t="inlineStr">
        <is>
          <t>A 28604-2025</t>
        </is>
      </c>
      <c r="B307" s="1" t="n">
        <v>45819.60131944445</v>
      </c>
      <c r="C307" s="1" t="n">
        <v>45962</v>
      </c>
      <c r="D307" t="inlineStr">
        <is>
          <t>JÖNKÖPINGS LÄN</t>
        </is>
      </c>
      <c r="E307" t="inlineStr">
        <is>
          <t>JÖNKÖPING</t>
        </is>
      </c>
      <c r="G307" t="n">
        <v>6.1</v>
      </c>
      <c r="H307" t="n">
        <v>0</v>
      </c>
      <c r="I307" t="n">
        <v>0</v>
      </c>
      <c r="J307" t="n">
        <v>0</v>
      </c>
      <c r="K307" t="n">
        <v>1</v>
      </c>
      <c r="L307" t="n">
        <v>0</v>
      </c>
      <c r="M307" t="n">
        <v>0</v>
      </c>
      <c r="N307" t="n">
        <v>0</v>
      </c>
      <c r="O307" t="n">
        <v>1</v>
      </c>
      <c r="P307" t="n">
        <v>1</v>
      </c>
      <c r="Q307" t="n">
        <v>1</v>
      </c>
      <c r="R307" s="2" t="inlineStr">
        <is>
          <t>Kustdaggkåpa</t>
        </is>
      </c>
      <c r="S307">
        <f>HYPERLINK("https://klasma.github.io/Logging_0680/artfynd/A 28604-2025 artfynd.xlsx", "A 28604-2025")</f>
        <v/>
      </c>
      <c r="T307">
        <f>HYPERLINK("https://klasma.github.io/Logging_0680/kartor/A 28604-2025 karta.png", "A 28604-2025")</f>
        <v/>
      </c>
      <c r="V307">
        <f>HYPERLINK("https://klasma.github.io/Logging_0680/klagomål/A 28604-2025 FSC-klagomål.docx", "A 28604-2025")</f>
        <v/>
      </c>
      <c r="W307">
        <f>HYPERLINK("https://klasma.github.io/Logging_0680/klagomålsmail/A 28604-2025 FSC-klagomål mail.docx", "A 28604-2025")</f>
        <v/>
      </c>
      <c r="X307">
        <f>HYPERLINK("https://klasma.github.io/Logging_0680/tillsyn/A 28604-2025 tillsynsbegäran.docx", "A 28604-2025")</f>
        <v/>
      </c>
      <c r="Y307">
        <f>HYPERLINK("https://klasma.github.io/Logging_0680/tillsynsmail/A 28604-2025 tillsynsbegäran mail.docx", "A 28604-2025")</f>
        <v/>
      </c>
    </row>
    <row r="308" ht="15" customHeight="1">
      <c r="A308" t="inlineStr">
        <is>
          <t>A 52446-2025</t>
        </is>
      </c>
      <c r="B308" s="1" t="n">
        <v>45954.41766203703</v>
      </c>
      <c r="C308" s="1" t="n">
        <v>45962</v>
      </c>
      <c r="D308" t="inlineStr">
        <is>
          <t>JÖNKÖPINGS LÄN</t>
        </is>
      </c>
      <c r="E308" t="inlineStr">
        <is>
          <t>EKSJÖ</t>
        </is>
      </c>
      <c r="F308" t="inlineStr">
        <is>
          <t>Sveaskog</t>
        </is>
      </c>
      <c r="G308" t="n">
        <v>2</v>
      </c>
      <c r="H308" t="n">
        <v>0</v>
      </c>
      <c r="I308" t="n">
        <v>0</v>
      </c>
      <c r="J308" t="n">
        <v>0</v>
      </c>
      <c r="K308" t="n">
        <v>0</v>
      </c>
      <c r="L308" t="n">
        <v>1</v>
      </c>
      <c r="M308" t="n">
        <v>0</v>
      </c>
      <c r="N308" t="n">
        <v>0</v>
      </c>
      <c r="O308" t="n">
        <v>1</v>
      </c>
      <c r="P308" t="n">
        <v>1</v>
      </c>
      <c r="Q308" t="n">
        <v>1</v>
      </c>
      <c r="R308" s="2" t="inlineStr">
        <is>
          <t>Ask</t>
        </is>
      </c>
      <c r="S308">
        <f>HYPERLINK("https://klasma.github.io/Logging_0686/artfynd/A 52446-2025 artfynd.xlsx", "A 52446-2025")</f>
        <v/>
      </c>
      <c r="T308">
        <f>HYPERLINK("https://klasma.github.io/Logging_0686/kartor/A 52446-2025 karta.png", "A 52446-2025")</f>
        <v/>
      </c>
      <c r="V308">
        <f>HYPERLINK("https://klasma.github.io/Logging_0686/klagomål/A 52446-2025 FSC-klagomål.docx", "A 52446-2025")</f>
        <v/>
      </c>
      <c r="W308">
        <f>HYPERLINK("https://klasma.github.io/Logging_0686/klagomålsmail/A 52446-2025 FSC-klagomål mail.docx", "A 52446-2025")</f>
        <v/>
      </c>
      <c r="X308">
        <f>HYPERLINK("https://klasma.github.io/Logging_0686/tillsyn/A 52446-2025 tillsynsbegäran.docx", "A 52446-2025")</f>
        <v/>
      </c>
      <c r="Y308">
        <f>HYPERLINK("https://klasma.github.io/Logging_0686/tillsynsmail/A 52446-2025 tillsynsbegäran mail.docx", "A 52446-2025")</f>
        <v/>
      </c>
    </row>
    <row r="309" ht="15" customHeight="1">
      <c r="A309" t="inlineStr">
        <is>
          <t>A 44135-2025</t>
        </is>
      </c>
      <c r="B309" s="1" t="n">
        <v>45915.58710648148</v>
      </c>
      <c r="C309" s="1" t="n">
        <v>45962</v>
      </c>
      <c r="D309" t="inlineStr">
        <is>
          <t>JÖNKÖPINGS LÄN</t>
        </is>
      </c>
      <c r="E309" t="inlineStr">
        <is>
          <t>VÄRNAMO</t>
        </is>
      </c>
      <c r="F309" t="inlineStr">
        <is>
          <t>Sveaskog</t>
        </is>
      </c>
      <c r="G309" t="n">
        <v>16</v>
      </c>
      <c r="H309" t="n">
        <v>0</v>
      </c>
      <c r="I309" t="n">
        <v>0</v>
      </c>
      <c r="J309" t="n">
        <v>1</v>
      </c>
      <c r="K309" t="n">
        <v>0</v>
      </c>
      <c r="L309" t="n">
        <v>0</v>
      </c>
      <c r="M309" t="n">
        <v>0</v>
      </c>
      <c r="N309" t="n">
        <v>0</v>
      </c>
      <c r="O309" t="n">
        <v>1</v>
      </c>
      <c r="P309" t="n">
        <v>0</v>
      </c>
      <c r="Q309" t="n">
        <v>1</v>
      </c>
      <c r="R309" s="2" t="inlineStr">
        <is>
          <t>Igelkott</t>
        </is>
      </c>
      <c r="S309">
        <f>HYPERLINK("https://klasma.github.io/Logging_0683/artfynd/A 44135-2025 artfynd.xlsx", "A 44135-2025")</f>
        <v/>
      </c>
      <c r="T309">
        <f>HYPERLINK("https://klasma.github.io/Logging_0683/kartor/A 44135-2025 karta.png", "A 44135-2025")</f>
        <v/>
      </c>
      <c r="V309">
        <f>HYPERLINK("https://klasma.github.io/Logging_0683/klagomål/A 44135-2025 FSC-klagomål.docx", "A 44135-2025")</f>
        <v/>
      </c>
      <c r="W309">
        <f>HYPERLINK("https://klasma.github.io/Logging_0683/klagomålsmail/A 44135-2025 FSC-klagomål mail.docx", "A 44135-2025")</f>
        <v/>
      </c>
      <c r="X309">
        <f>HYPERLINK("https://klasma.github.io/Logging_0683/tillsyn/A 44135-2025 tillsynsbegäran.docx", "A 44135-2025")</f>
        <v/>
      </c>
      <c r="Y309">
        <f>HYPERLINK("https://klasma.github.io/Logging_0683/tillsynsmail/A 44135-2025 tillsynsbegäran mail.docx", "A 44135-2025")</f>
        <v/>
      </c>
    </row>
    <row r="310" ht="15" customHeight="1">
      <c r="A310" t="inlineStr">
        <is>
          <t>A 45048-2025</t>
        </is>
      </c>
      <c r="B310" s="1" t="n">
        <v>45919</v>
      </c>
      <c r="C310" s="1" t="n">
        <v>45962</v>
      </c>
      <c r="D310" t="inlineStr">
        <is>
          <t>JÖNKÖPINGS LÄN</t>
        </is>
      </c>
      <c r="E310" t="inlineStr">
        <is>
          <t>NÄSSJÖ</t>
        </is>
      </c>
      <c r="G310" t="n">
        <v>3.2</v>
      </c>
      <c r="H310" t="n">
        <v>1</v>
      </c>
      <c r="I310" t="n">
        <v>0</v>
      </c>
      <c r="J310" t="n">
        <v>0</v>
      </c>
      <c r="K310" t="n">
        <v>1</v>
      </c>
      <c r="L310" t="n">
        <v>0</v>
      </c>
      <c r="M310" t="n">
        <v>0</v>
      </c>
      <c r="N310" t="n">
        <v>0</v>
      </c>
      <c r="O310" t="n">
        <v>1</v>
      </c>
      <c r="P310" t="n">
        <v>1</v>
      </c>
      <c r="Q310" t="n">
        <v>1</v>
      </c>
      <c r="R310" s="2" t="inlineStr">
        <is>
          <t>Knärot</t>
        </is>
      </c>
      <c r="S310">
        <f>HYPERLINK("https://klasma.github.io/Logging_0682/artfynd/A 45048-2025 artfynd.xlsx", "A 45048-2025")</f>
        <v/>
      </c>
      <c r="T310">
        <f>HYPERLINK("https://klasma.github.io/Logging_0682/kartor/A 45048-2025 karta.png", "A 45048-2025")</f>
        <v/>
      </c>
      <c r="U310">
        <f>HYPERLINK("https://klasma.github.io/Logging_0682/knärot/A 45048-2025 karta knärot.png", "A 45048-2025")</f>
        <v/>
      </c>
      <c r="V310">
        <f>HYPERLINK("https://klasma.github.io/Logging_0682/klagomål/A 45048-2025 FSC-klagomål.docx", "A 45048-2025")</f>
        <v/>
      </c>
      <c r="W310">
        <f>HYPERLINK("https://klasma.github.io/Logging_0682/klagomålsmail/A 45048-2025 FSC-klagomål mail.docx", "A 45048-2025")</f>
        <v/>
      </c>
      <c r="X310">
        <f>HYPERLINK("https://klasma.github.io/Logging_0682/tillsyn/A 45048-2025 tillsynsbegäran.docx", "A 45048-2025")</f>
        <v/>
      </c>
      <c r="Y310">
        <f>HYPERLINK("https://klasma.github.io/Logging_0682/tillsynsmail/A 45048-2025 tillsynsbegäran mail.docx", "A 45048-2025")</f>
        <v/>
      </c>
    </row>
    <row r="311" ht="15" customHeight="1">
      <c r="A311" t="inlineStr">
        <is>
          <t>A 44235-2025</t>
        </is>
      </c>
      <c r="B311" s="1" t="n">
        <v>45915</v>
      </c>
      <c r="C311" s="1" t="n">
        <v>45962</v>
      </c>
      <c r="D311" t="inlineStr">
        <is>
          <t>JÖNKÖPINGS LÄN</t>
        </is>
      </c>
      <c r="E311" t="inlineStr">
        <is>
          <t>TRANÅS</t>
        </is>
      </c>
      <c r="G311" t="n">
        <v>21.9</v>
      </c>
      <c r="H311" t="n">
        <v>0</v>
      </c>
      <c r="I311" t="n">
        <v>0</v>
      </c>
      <c r="J311" t="n">
        <v>0</v>
      </c>
      <c r="K311" t="n">
        <v>0</v>
      </c>
      <c r="L311" t="n">
        <v>1</v>
      </c>
      <c r="M311" t="n">
        <v>0</v>
      </c>
      <c r="N311" t="n">
        <v>0</v>
      </c>
      <c r="O311" t="n">
        <v>1</v>
      </c>
      <c r="P311" t="n">
        <v>1</v>
      </c>
      <c r="Q311" t="n">
        <v>1</v>
      </c>
      <c r="R311" s="2" t="inlineStr">
        <is>
          <t>Ask</t>
        </is>
      </c>
      <c r="S311">
        <f>HYPERLINK("https://klasma.github.io/Logging_0687/artfynd/A 44235-2025 artfynd.xlsx", "A 44235-2025")</f>
        <v/>
      </c>
      <c r="T311">
        <f>HYPERLINK("https://klasma.github.io/Logging_0687/kartor/A 44235-2025 karta.png", "A 44235-2025")</f>
        <v/>
      </c>
      <c r="V311">
        <f>HYPERLINK("https://klasma.github.io/Logging_0687/klagomål/A 44235-2025 FSC-klagomål.docx", "A 44235-2025")</f>
        <v/>
      </c>
      <c r="W311">
        <f>HYPERLINK("https://klasma.github.io/Logging_0687/klagomålsmail/A 44235-2025 FSC-klagomål mail.docx", "A 44235-2025")</f>
        <v/>
      </c>
      <c r="X311">
        <f>HYPERLINK("https://klasma.github.io/Logging_0687/tillsyn/A 44235-2025 tillsynsbegäran.docx", "A 44235-2025")</f>
        <v/>
      </c>
      <c r="Y311">
        <f>HYPERLINK("https://klasma.github.io/Logging_0687/tillsynsmail/A 44235-2025 tillsynsbegäran mail.docx", "A 44235-2025")</f>
        <v/>
      </c>
    </row>
    <row r="312" ht="15" customHeight="1">
      <c r="A312" t="inlineStr">
        <is>
          <t>A 44722-2025</t>
        </is>
      </c>
      <c r="B312" s="1" t="n">
        <v>45917</v>
      </c>
      <c r="C312" s="1" t="n">
        <v>45962</v>
      </c>
      <c r="D312" t="inlineStr">
        <is>
          <t>JÖNKÖPINGS LÄN</t>
        </is>
      </c>
      <c r="E312" t="inlineStr">
        <is>
          <t>EKSJÖ</t>
        </is>
      </c>
      <c r="G312" t="n">
        <v>1.2</v>
      </c>
      <c r="H312" t="n">
        <v>0</v>
      </c>
      <c r="I312" t="n">
        <v>0</v>
      </c>
      <c r="J312" t="n">
        <v>1</v>
      </c>
      <c r="K312" t="n">
        <v>0</v>
      </c>
      <c r="L312" t="n">
        <v>0</v>
      </c>
      <c r="M312" t="n">
        <v>0</v>
      </c>
      <c r="N312" t="n">
        <v>0</v>
      </c>
      <c r="O312" t="n">
        <v>1</v>
      </c>
      <c r="P312" t="n">
        <v>0</v>
      </c>
      <c r="Q312" t="n">
        <v>1</v>
      </c>
      <c r="R312" s="2" t="inlineStr">
        <is>
          <t>Solvända</t>
        </is>
      </c>
      <c r="S312">
        <f>HYPERLINK("https://klasma.github.io/Logging_0686/artfynd/A 44722-2025 artfynd.xlsx", "A 44722-2025")</f>
        <v/>
      </c>
      <c r="T312">
        <f>HYPERLINK("https://klasma.github.io/Logging_0686/kartor/A 44722-2025 karta.png", "A 44722-2025")</f>
        <v/>
      </c>
      <c r="V312">
        <f>HYPERLINK("https://klasma.github.io/Logging_0686/klagomål/A 44722-2025 FSC-klagomål.docx", "A 44722-2025")</f>
        <v/>
      </c>
      <c r="W312">
        <f>HYPERLINK("https://klasma.github.io/Logging_0686/klagomålsmail/A 44722-2025 FSC-klagomål mail.docx", "A 44722-2025")</f>
        <v/>
      </c>
      <c r="X312">
        <f>HYPERLINK("https://klasma.github.io/Logging_0686/tillsyn/A 44722-2025 tillsynsbegäran.docx", "A 44722-2025")</f>
        <v/>
      </c>
      <c r="Y312">
        <f>HYPERLINK("https://klasma.github.io/Logging_0686/tillsynsmail/A 44722-2025 tillsynsbegäran mail.docx", "A 44722-2025")</f>
        <v/>
      </c>
    </row>
    <row r="313" ht="15" customHeight="1">
      <c r="A313" t="inlineStr">
        <is>
          <t>A 47327-2025</t>
        </is>
      </c>
      <c r="B313" s="1" t="n">
        <v>45930</v>
      </c>
      <c r="C313" s="1" t="n">
        <v>45962</v>
      </c>
      <c r="D313" t="inlineStr">
        <is>
          <t>JÖNKÖPINGS LÄN</t>
        </is>
      </c>
      <c r="E313" t="inlineStr">
        <is>
          <t>VETLANDA</t>
        </is>
      </c>
      <c r="F313" t="inlineStr">
        <is>
          <t>Kyrkan</t>
        </is>
      </c>
      <c r="G313" t="n">
        <v>7.2</v>
      </c>
      <c r="H313" t="n">
        <v>1</v>
      </c>
      <c r="I313" t="n">
        <v>0</v>
      </c>
      <c r="J313" t="n">
        <v>0</v>
      </c>
      <c r="K313" t="n">
        <v>1</v>
      </c>
      <c r="L313" t="n">
        <v>0</v>
      </c>
      <c r="M313" t="n">
        <v>0</v>
      </c>
      <c r="N313" t="n">
        <v>0</v>
      </c>
      <c r="O313" t="n">
        <v>1</v>
      </c>
      <c r="P313" t="n">
        <v>1</v>
      </c>
      <c r="Q313" t="n">
        <v>1</v>
      </c>
      <c r="R313" s="2" t="inlineStr">
        <is>
          <t>Knärot</t>
        </is>
      </c>
      <c r="S313">
        <f>HYPERLINK("https://klasma.github.io/Logging_0685/artfynd/A 47327-2025 artfynd.xlsx", "A 47327-2025")</f>
        <v/>
      </c>
      <c r="T313">
        <f>HYPERLINK("https://klasma.github.io/Logging_0685/kartor/A 47327-2025 karta.png", "A 47327-2025")</f>
        <v/>
      </c>
      <c r="U313">
        <f>HYPERLINK("https://klasma.github.io/Logging_0685/knärot/A 47327-2025 karta knärot.png", "A 47327-2025")</f>
        <v/>
      </c>
      <c r="V313">
        <f>HYPERLINK("https://klasma.github.io/Logging_0685/klagomål/A 47327-2025 FSC-klagomål.docx", "A 47327-2025")</f>
        <v/>
      </c>
      <c r="W313">
        <f>HYPERLINK("https://klasma.github.io/Logging_0685/klagomålsmail/A 47327-2025 FSC-klagomål mail.docx", "A 47327-2025")</f>
        <v/>
      </c>
      <c r="X313">
        <f>HYPERLINK("https://klasma.github.io/Logging_0685/tillsyn/A 47327-2025 tillsynsbegäran.docx", "A 47327-2025")</f>
        <v/>
      </c>
      <c r="Y313">
        <f>HYPERLINK("https://klasma.github.io/Logging_0685/tillsynsmail/A 47327-2025 tillsynsbegäran mail.docx", "A 47327-2025")</f>
        <v/>
      </c>
    </row>
    <row r="314" ht="15" customHeight="1">
      <c r="A314" t="inlineStr">
        <is>
          <t>A 48907-2021</t>
        </is>
      </c>
      <c r="B314" s="1" t="n">
        <v>44453</v>
      </c>
      <c r="C314" s="1" t="n">
        <v>45962</v>
      </c>
      <c r="D314" t="inlineStr">
        <is>
          <t>JÖNKÖPINGS LÄN</t>
        </is>
      </c>
      <c r="E314" t="inlineStr">
        <is>
          <t>VETLANDA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11094-2021</t>
        </is>
      </c>
      <c r="B315" s="1" t="n">
        <v>44260</v>
      </c>
      <c r="C315" s="1" t="n">
        <v>45962</v>
      </c>
      <c r="D315" t="inlineStr">
        <is>
          <t>JÖNKÖPINGS LÄN</t>
        </is>
      </c>
      <c r="E315" t="inlineStr">
        <is>
          <t>JÖNKÖPING</t>
        </is>
      </c>
      <c r="G315" t="n">
        <v>3.7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22797-2021</t>
        </is>
      </c>
      <c r="B316" s="1" t="n">
        <v>44327</v>
      </c>
      <c r="C316" s="1" t="n">
        <v>45962</v>
      </c>
      <c r="D316" t="inlineStr">
        <is>
          <t>JÖNKÖPINGS LÄN</t>
        </is>
      </c>
      <c r="E316" t="inlineStr">
        <is>
          <t>ANEBY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7362-2021</t>
        </is>
      </c>
      <c r="B317" s="1" t="n">
        <v>44239</v>
      </c>
      <c r="C317" s="1" t="n">
        <v>45962</v>
      </c>
      <c r="D317" t="inlineStr">
        <is>
          <t>JÖNKÖPINGS LÄN</t>
        </is>
      </c>
      <c r="E317" t="inlineStr">
        <is>
          <t>EKSJÖ</t>
        </is>
      </c>
      <c r="G317" t="n">
        <v>1.3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49668-2022</t>
        </is>
      </c>
      <c r="B318" s="1" t="n">
        <v>44862.47</v>
      </c>
      <c r="C318" s="1" t="n">
        <v>45962</v>
      </c>
      <c r="D318" t="inlineStr">
        <is>
          <t>JÖNKÖPINGS LÄN</t>
        </is>
      </c>
      <c r="E318" t="inlineStr">
        <is>
          <t>SÄVSJÖ</t>
        </is>
      </c>
      <c r="G318" t="n">
        <v>0.4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7737-2021</t>
        </is>
      </c>
      <c r="B319" s="1" t="n">
        <v>44242</v>
      </c>
      <c r="C319" s="1" t="n">
        <v>45962</v>
      </c>
      <c r="D319" t="inlineStr">
        <is>
          <t>JÖNKÖPINGS LÄN</t>
        </is>
      </c>
      <c r="E319" t="inlineStr">
        <is>
          <t>GISLAVED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4530-2021</t>
        </is>
      </c>
      <c r="B320" s="1" t="n">
        <v>44224</v>
      </c>
      <c r="C320" s="1" t="n">
        <v>45962</v>
      </c>
      <c r="D320" t="inlineStr">
        <is>
          <t>JÖNKÖPINGS LÄN</t>
        </is>
      </c>
      <c r="E320" t="inlineStr">
        <is>
          <t>VÄRNAMO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68980-2020</t>
        </is>
      </c>
      <c r="B321" s="1" t="n">
        <v>44188</v>
      </c>
      <c r="C321" s="1" t="n">
        <v>45962</v>
      </c>
      <c r="D321" t="inlineStr">
        <is>
          <t>JÖNKÖPINGS LÄN</t>
        </is>
      </c>
      <c r="E321" t="inlineStr">
        <is>
          <t>JÖNKÖPING</t>
        </is>
      </c>
      <c r="G321" t="n">
        <v>0.4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11277-2021</t>
        </is>
      </c>
      <c r="B322" s="1" t="n">
        <v>44263.45643518519</v>
      </c>
      <c r="C322" s="1" t="n">
        <v>45962</v>
      </c>
      <c r="D322" t="inlineStr">
        <is>
          <t>JÖNKÖPINGS LÄN</t>
        </is>
      </c>
      <c r="E322" t="inlineStr">
        <is>
          <t>VAGGERYD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53099-2022</t>
        </is>
      </c>
      <c r="B323" s="1" t="n">
        <v>44876.42421296296</v>
      </c>
      <c r="C323" s="1" t="n">
        <v>45962</v>
      </c>
      <c r="D323" t="inlineStr">
        <is>
          <t>JÖNKÖPINGS LÄN</t>
        </is>
      </c>
      <c r="E323" t="inlineStr">
        <is>
          <t>SÄVSJÖ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57002-2020</t>
        </is>
      </c>
      <c r="B324" s="1" t="n">
        <v>44137</v>
      </c>
      <c r="C324" s="1" t="n">
        <v>45962</v>
      </c>
      <c r="D324" t="inlineStr">
        <is>
          <t>JÖNKÖPINGS LÄN</t>
        </is>
      </c>
      <c r="E324" t="inlineStr">
        <is>
          <t>EKSJÖ</t>
        </is>
      </c>
      <c r="G324" t="n">
        <v>0.7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56704-2020</t>
        </is>
      </c>
      <c r="B325" s="1" t="n">
        <v>44137</v>
      </c>
      <c r="C325" s="1" t="n">
        <v>45962</v>
      </c>
      <c r="D325" t="inlineStr">
        <is>
          <t>JÖNKÖPINGS LÄN</t>
        </is>
      </c>
      <c r="E325" t="inlineStr">
        <is>
          <t>JÖNKÖPING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59305-2020</t>
        </is>
      </c>
      <c r="B326" s="1" t="n">
        <v>44147</v>
      </c>
      <c r="C326" s="1" t="n">
        <v>45962</v>
      </c>
      <c r="D326" t="inlineStr">
        <is>
          <t>JÖNKÖPINGS LÄN</t>
        </is>
      </c>
      <c r="E326" t="inlineStr">
        <is>
          <t>JÖNKÖPING</t>
        </is>
      </c>
      <c r="G326" t="n">
        <v>1.5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15388-2021</t>
        </is>
      </c>
      <c r="B327" s="1" t="n">
        <v>44284</v>
      </c>
      <c r="C327" s="1" t="n">
        <v>45962</v>
      </c>
      <c r="D327" t="inlineStr">
        <is>
          <t>JÖNKÖPINGS LÄN</t>
        </is>
      </c>
      <c r="E327" t="inlineStr">
        <is>
          <t>GISLAVED</t>
        </is>
      </c>
      <c r="G327" t="n">
        <v>13.2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23625-2021</t>
        </is>
      </c>
      <c r="B328" s="1" t="n">
        <v>44334</v>
      </c>
      <c r="C328" s="1" t="n">
        <v>45962</v>
      </c>
      <c r="D328" t="inlineStr">
        <is>
          <t>JÖNKÖPINGS LÄN</t>
        </is>
      </c>
      <c r="E328" t="inlineStr">
        <is>
          <t>HABO</t>
        </is>
      </c>
      <c r="G328" t="n">
        <v>0.4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18651-2021</t>
        </is>
      </c>
      <c r="B329" s="1" t="n">
        <v>44306</v>
      </c>
      <c r="C329" s="1" t="n">
        <v>45962</v>
      </c>
      <c r="D329" t="inlineStr">
        <is>
          <t>JÖNKÖPINGS LÄN</t>
        </is>
      </c>
      <c r="E329" t="inlineStr">
        <is>
          <t>JÖNKÖPING</t>
        </is>
      </c>
      <c r="G329" t="n">
        <v>4.7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21160-2021</t>
        </is>
      </c>
      <c r="B330" s="1" t="n">
        <v>44320</v>
      </c>
      <c r="C330" s="1" t="n">
        <v>45962</v>
      </c>
      <c r="D330" t="inlineStr">
        <is>
          <t>JÖNKÖPINGS LÄN</t>
        </is>
      </c>
      <c r="E330" t="inlineStr">
        <is>
          <t>EKSJÖ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14322-2021</t>
        </is>
      </c>
      <c r="B331" s="1" t="n">
        <v>44278.90318287037</v>
      </c>
      <c r="C331" s="1" t="n">
        <v>45962</v>
      </c>
      <c r="D331" t="inlineStr">
        <is>
          <t>JÖNKÖPINGS LÄN</t>
        </is>
      </c>
      <c r="E331" t="inlineStr">
        <is>
          <t>VÄRNAMO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29149-2021</t>
        </is>
      </c>
      <c r="B332" s="1" t="n">
        <v>44358.64619212963</v>
      </c>
      <c r="C332" s="1" t="n">
        <v>45962</v>
      </c>
      <c r="D332" t="inlineStr">
        <is>
          <t>JÖNKÖPINGS LÄN</t>
        </is>
      </c>
      <c r="E332" t="inlineStr">
        <is>
          <t>SÄVSJÖ</t>
        </is>
      </c>
      <c r="G332" t="n">
        <v>0.7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29154-2021</t>
        </is>
      </c>
      <c r="B333" s="1" t="n">
        <v>44358.65375</v>
      </c>
      <c r="C333" s="1" t="n">
        <v>45962</v>
      </c>
      <c r="D333" t="inlineStr">
        <is>
          <t>JÖNKÖPINGS LÄN</t>
        </is>
      </c>
      <c r="E333" t="inlineStr">
        <is>
          <t>SÄVSJÖ</t>
        </is>
      </c>
      <c r="G333" t="n">
        <v>0.4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17561-2021</t>
        </is>
      </c>
      <c r="B334" s="1" t="n">
        <v>44299</v>
      </c>
      <c r="C334" s="1" t="n">
        <v>45962</v>
      </c>
      <c r="D334" t="inlineStr">
        <is>
          <t>JÖNKÖPINGS LÄN</t>
        </is>
      </c>
      <c r="E334" t="inlineStr">
        <is>
          <t>ANEBY</t>
        </is>
      </c>
      <c r="G334" t="n">
        <v>1.1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19126-2021</t>
        </is>
      </c>
      <c r="B335" s="1" t="n">
        <v>44308</v>
      </c>
      <c r="C335" s="1" t="n">
        <v>45962</v>
      </c>
      <c r="D335" t="inlineStr">
        <is>
          <t>JÖNKÖPINGS LÄN</t>
        </is>
      </c>
      <c r="E335" t="inlineStr">
        <is>
          <t>JÖNKÖPING</t>
        </is>
      </c>
      <c r="F335" t="inlineStr">
        <is>
          <t>Sveaskog</t>
        </is>
      </c>
      <c r="G335" t="n">
        <v>1.4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59256-2020</t>
        </is>
      </c>
      <c r="B336" s="1" t="n">
        <v>44147</v>
      </c>
      <c r="C336" s="1" t="n">
        <v>45962</v>
      </c>
      <c r="D336" t="inlineStr">
        <is>
          <t>JÖNKÖPINGS LÄN</t>
        </is>
      </c>
      <c r="E336" t="inlineStr">
        <is>
          <t>VÄRNAMO</t>
        </is>
      </c>
      <c r="F336" t="inlineStr">
        <is>
          <t>Kyrkan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58007-2020</t>
        </is>
      </c>
      <c r="B337" s="1" t="n">
        <v>44144</v>
      </c>
      <c r="C337" s="1" t="n">
        <v>45962</v>
      </c>
      <c r="D337" t="inlineStr">
        <is>
          <t>JÖNKÖPINGS LÄN</t>
        </is>
      </c>
      <c r="E337" t="inlineStr">
        <is>
          <t>JÖNKÖPING</t>
        </is>
      </c>
      <c r="G337" t="n">
        <v>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57059-2020</t>
        </is>
      </c>
      <c r="B338" s="1" t="n">
        <v>44138.76761574074</v>
      </c>
      <c r="C338" s="1" t="n">
        <v>45962</v>
      </c>
      <c r="D338" t="inlineStr">
        <is>
          <t>JÖNKÖPINGS LÄN</t>
        </is>
      </c>
      <c r="E338" t="inlineStr">
        <is>
          <t>EKSJÖ</t>
        </is>
      </c>
      <c r="G338" t="n">
        <v>1.4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22818-2021</t>
        </is>
      </c>
      <c r="B339" s="1" t="n">
        <v>44328.35063657408</v>
      </c>
      <c r="C339" s="1" t="n">
        <v>45962</v>
      </c>
      <c r="D339" t="inlineStr">
        <is>
          <t>JÖNKÖPINGS LÄN</t>
        </is>
      </c>
      <c r="E339" t="inlineStr">
        <is>
          <t>JÖNKÖPING</t>
        </is>
      </c>
      <c r="G339" t="n">
        <v>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5090-2021</t>
        </is>
      </c>
      <c r="B340" s="1" t="n">
        <v>44224</v>
      </c>
      <c r="C340" s="1" t="n">
        <v>45962</v>
      </c>
      <c r="D340" t="inlineStr">
        <is>
          <t>JÖNKÖPINGS LÄN</t>
        </is>
      </c>
      <c r="E340" t="inlineStr">
        <is>
          <t>TRANÅS</t>
        </is>
      </c>
      <c r="G340" t="n">
        <v>4.9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13609-2021</t>
        </is>
      </c>
      <c r="B341" s="1" t="n">
        <v>44274</v>
      </c>
      <c r="C341" s="1" t="n">
        <v>45962</v>
      </c>
      <c r="D341" t="inlineStr">
        <is>
          <t>JÖNKÖPINGS LÄN</t>
        </is>
      </c>
      <c r="E341" t="inlineStr">
        <is>
          <t>HABO</t>
        </is>
      </c>
      <c r="G341" t="n">
        <v>0.9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11556-2021</t>
        </is>
      </c>
      <c r="B342" s="1" t="n">
        <v>44264</v>
      </c>
      <c r="C342" s="1" t="n">
        <v>45962</v>
      </c>
      <c r="D342" t="inlineStr">
        <is>
          <t>JÖNKÖPINGS LÄN</t>
        </is>
      </c>
      <c r="E342" t="inlineStr">
        <is>
          <t>NÄSSJÖ</t>
        </is>
      </c>
      <c r="G342" t="n">
        <v>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7531-2021</t>
        </is>
      </c>
      <c r="B343" s="1" t="n">
        <v>44239</v>
      </c>
      <c r="C343" s="1" t="n">
        <v>45962</v>
      </c>
      <c r="D343" t="inlineStr">
        <is>
          <t>JÖNKÖPINGS LÄN</t>
        </is>
      </c>
      <c r="E343" t="inlineStr">
        <is>
          <t>VÄRNAMO</t>
        </is>
      </c>
      <c r="G343" t="n">
        <v>2.2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45611-2021</t>
        </is>
      </c>
      <c r="B344" s="1" t="n">
        <v>44440</v>
      </c>
      <c r="C344" s="1" t="n">
        <v>45962</v>
      </c>
      <c r="D344" t="inlineStr">
        <is>
          <t>JÖNKÖPINGS LÄN</t>
        </is>
      </c>
      <c r="E344" t="inlineStr">
        <is>
          <t>GNOSJÖ</t>
        </is>
      </c>
      <c r="G344" t="n">
        <v>2.9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65608-2020</t>
        </is>
      </c>
      <c r="B345" s="1" t="n">
        <v>44173</v>
      </c>
      <c r="C345" s="1" t="n">
        <v>45962</v>
      </c>
      <c r="D345" t="inlineStr">
        <is>
          <t>JÖNKÖPINGS LÄN</t>
        </is>
      </c>
      <c r="E345" t="inlineStr">
        <is>
          <t>SÄVSJÖ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42206-2021</t>
        </is>
      </c>
      <c r="B346" s="1" t="n">
        <v>44426.73547453704</v>
      </c>
      <c r="C346" s="1" t="n">
        <v>45962</v>
      </c>
      <c r="D346" t="inlineStr">
        <is>
          <t>JÖNKÖPINGS LÄN</t>
        </is>
      </c>
      <c r="E346" t="inlineStr">
        <is>
          <t>NÄSSJÖ</t>
        </is>
      </c>
      <c r="G346" t="n">
        <v>0.9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68837-2020</t>
        </is>
      </c>
      <c r="B347" s="1" t="n">
        <v>44187</v>
      </c>
      <c r="C347" s="1" t="n">
        <v>45962</v>
      </c>
      <c r="D347" t="inlineStr">
        <is>
          <t>JÖNKÖPINGS LÄN</t>
        </is>
      </c>
      <c r="E347" t="inlineStr">
        <is>
          <t>MULLSJÖ</t>
        </is>
      </c>
      <c r="G347" t="n">
        <v>0.4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7329-2021</t>
        </is>
      </c>
      <c r="B348" s="1" t="n">
        <v>44239.33525462963</v>
      </c>
      <c r="C348" s="1" t="n">
        <v>45962</v>
      </c>
      <c r="D348" t="inlineStr">
        <is>
          <t>JÖNKÖPINGS LÄN</t>
        </is>
      </c>
      <c r="E348" t="inlineStr">
        <is>
          <t>JÖNKÖPING</t>
        </is>
      </c>
      <c r="G348" t="n">
        <v>2.1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45463-2021</t>
        </is>
      </c>
      <c r="B349" s="1" t="n">
        <v>44440.45909722222</v>
      </c>
      <c r="C349" s="1" t="n">
        <v>45962</v>
      </c>
      <c r="D349" t="inlineStr">
        <is>
          <t>JÖNKÖPINGS LÄN</t>
        </is>
      </c>
      <c r="E349" t="inlineStr">
        <is>
          <t>VÄRNAMO</t>
        </is>
      </c>
      <c r="G349" t="n">
        <v>0.7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58654-2021</t>
        </is>
      </c>
      <c r="B350" s="1" t="n">
        <v>44489.38467592592</v>
      </c>
      <c r="C350" s="1" t="n">
        <v>45962</v>
      </c>
      <c r="D350" t="inlineStr">
        <is>
          <t>JÖNKÖPINGS LÄN</t>
        </is>
      </c>
      <c r="E350" t="inlineStr">
        <is>
          <t>VAGGERYD</t>
        </is>
      </c>
      <c r="G350" t="n">
        <v>0.5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63405-2020</t>
        </is>
      </c>
      <c r="B351" s="1" t="n">
        <v>44165</v>
      </c>
      <c r="C351" s="1" t="n">
        <v>45962</v>
      </c>
      <c r="D351" t="inlineStr">
        <is>
          <t>JÖNKÖPINGS LÄN</t>
        </is>
      </c>
      <c r="E351" t="inlineStr">
        <is>
          <t>VÄRNAMO</t>
        </is>
      </c>
      <c r="G351" t="n">
        <v>0.5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2016-2022</t>
        </is>
      </c>
      <c r="B352" s="1" t="n">
        <v>44575</v>
      </c>
      <c r="C352" s="1" t="n">
        <v>45962</v>
      </c>
      <c r="D352" t="inlineStr">
        <is>
          <t>JÖNKÖPINGS LÄN</t>
        </is>
      </c>
      <c r="E352" t="inlineStr">
        <is>
          <t>GISLAVED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42058-2021</t>
        </is>
      </c>
      <c r="B353" s="1" t="n">
        <v>44426</v>
      </c>
      <c r="C353" s="1" t="n">
        <v>45962</v>
      </c>
      <c r="D353" t="inlineStr">
        <is>
          <t>JÖNKÖPINGS LÄN</t>
        </is>
      </c>
      <c r="E353" t="inlineStr">
        <is>
          <t>VETLANDA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60720-2021</t>
        </is>
      </c>
      <c r="B354" s="1" t="n">
        <v>44496</v>
      </c>
      <c r="C354" s="1" t="n">
        <v>45962</v>
      </c>
      <c r="D354" t="inlineStr">
        <is>
          <t>JÖNKÖPINGS LÄN</t>
        </is>
      </c>
      <c r="E354" t="inlineStr">
        <is>
          <t>JÖNKÖPING</t>
        </is>
      </c>
      <c r="G354" t="n">
        <v>2.1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41133-2021</t>
        </is>
      </c>
      <c r="B355" s="1" t="n">
        <v>44423</v>
      </c>
      <c r="C355" s="1" t="n">
        <v>45962</v>
      </c>
      <c r="D355" t="inlineStr">
        <is>
          <t>JÖNKÖPINGS LÄN</t>
        </is>
      </c>
      <c r="E355" t="inlineStr">
        <is>
          <t>GNOSJÖ</t>
        </is>
      </c>
      <c r="G355" t="n">
        <v>1.2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8520-2022</t>
        </is>
      </c>
      <c r="B356" s="1" t="n">
        <v>44613.44670138889</v>
      </c>
      <c r="C356" s="1" t="n">
        <v>45962</v>
      </c>
      <c r="D356" t="inlineStr">
        <is>
          <t>JÖNKÖPINGS LÄN</t>
        </is>
      </c>
      <c r="E356" t="inlineStr">
        <is>
          <t>NÄSSJÖ</t>
        </is>
      </c>
      <c r="F356" t="inlineStr">
        <is>
          <t>Sveaskog</t>
        </is>
      </c>
      <c r="G356" t="n">
        <v>2.8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38082-2021</t>
        </is>
      </c>
      <c r="B357" s="1" t="n">
        <v>44404.84280092592</v>
      </c>
      <c r="C357" s="1" t="n">
        <v>45962</v>
      </c>
      <c r="D357" t="inlineStr">
        <is>
          <t>JÖNKÖPINGS LÄN</t>
        </is>
      </c>
      <c r="E357" t="inlineStr">
        <is>
          <t>JÖNKÖPING</t>
        </is>
      </c>
      <c r="G357" t="n">
        <v>0.7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38083-2021</t>
        </is>
      </c>
      <c r="B358" s="1" t="n">
        <v>44404.84659722223</v>
      </c>
      <c r="C358" s="1" t="n">
        <v>45962</v>
      </c>
      <c r="D358" t="inlineStr">
        <is>
          <t>JÖNKÖPINGS LÄN</t>
        </is>
      </c>
      <c r="E358" t="inlineStr">
        <is>
          <t>JÖNKÖPING</t>
        </is>
      </c>
      <c r="G358" t="n">
        <v>0.8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36730-2021</t>
        </is>
      </c>
      <c r="B359" s="1" t="n">
        <v>44392</v>
      </c>
      <c r="C359" s="1" t="n">
        <v>45962</v>
      </c>
      <c r="D359" t="inlineStr">
        <is>
          <t>JÖNKÖPINGS LÄN</t>
        </is>
      </c>
      <c r="E359" t="inlineStr">
        <is>
          <t>VÄRNAMO</t>
        </is>
      </c>
      <c r="G359" t="n">
        <v>1.5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59259-2021</t>
        </is>
      </c>
      <c r="B360" s="1" t="n">
        <v>44490.66787037037</v>
      </c>
      <c r="C360" s="1" t="n">
        <v>45962</v>
      </c>
      <c r="D360" t="inlineStr">
        <is>
          <t>JÖNKÖPINGS LÄN</t>
        </is>
      </c>
      <c r="E360" t="inlineStr">
        <is>
          <t>VETLANDA</t>
        </is>
      </c>
      <c r="G360" t="n">
        <v>7.4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14141-2021</t>
        </is>
      </c>
      <c r="B361" s="1" t="n">
        <v>44278.3859375</v>
      </c>
      <c r="C361" s="1" t="n">
        <v>45962</v>
      </c>
      <c r="D361" t="inlineStr">
        <is>
          <t>JÖNKÖPINGS LÄN</t>
        </is>
      </c>
      <c r="E361" t="inlineStr">
        <is>
          <t>JÖNKÖPING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44987-2021</t>
        </is>
      </c>
      <c r="B362" s="1" t="n">
        <v>44438.86667824074</v>
      </c>
      <c r="C362" s="1" t="n">
        <v>45962</v>
      </c>
      <c r="D362" t="inlineStr">
        <is>
          <t>JÖNKÖPINGS LÄN</t>
        </is>
      </c>
      <c r="E362" t="inlineStr">
        <is>
          <t>VETLANDA</t>
        </is>
      </c>
      <c r="G362" t="n">
        <v>0.9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2011-2022</t>
        </is>
      </c>
      <c r="B363" s="1" t="n">
        <v>44575</v>
      </c>
      <c r="C363" s="1" t="n">
        <v>45962</v>
      </c>
      <c r="D363" t="inlineStr">
        <is>
          <t>JÖNKÖPINGS LÄN</t>
        </is>
      </c>
      <c r="E363" t="inlineStr">
        <is>
          <t>GISLAVED</t>
        </is>
      </c>
      <c r="G363" t="n">
        <v>0.9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31901-2021</t>
        </is>
      </c>
      <c r="B364" s="1" t="n">
        <v>44370.46506944444</v>
      </c>
      <c r="C364" s="1" t="n">
        <v>45962</v>
      </c>
      <c r="D364" t="inlineStr">
        <is>
          <t>JÖNKÖPINGS LÄN</t>
        </is>
      </c>
      <c r="E364" t="inlineStr">
        <is>
          <t>SÄVSJÖ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30662-2021</t>
        </is>
      </c>
      <c r="B365" s="1" t="n">
        <v>44365</v>
      </c>
      <c r="C365" s="1" t="n">
        <v>45962</v>
      </c>
      <c r="D365" t="inlineStr">
        <is>
          <t>JÖNKÖPINGS LÄN</t>
        </is>
      </c>
      <c r="E365" t="inlineStr">
        <is>
          <t>EKSJÖ</t>
        </is>
      </c>
      <c r="G365" t="n">
        <v>0.6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6758-2022</t>
        </is>
      </c>
      <c r="B366" s="1" t="n">
        <v>44602.48578703704</v>
      </c>
      <c r="C366" s="1" t="n">
        <v>45962</v>
      </c>
      <c r="D366" t="inlineStr">
        <is>
          <t>JÖNKÖPINGS LÄN</t>
        </is>
      </c>
      <c r="E366" t="inlineStr">
        <is>
          <t>VÄRNAMO</t>
        </is>
      </c>
      <c r="G366" t="n">
        <v>0.6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2067-2022</t>
        </is>
      </c>
      <c r="B367" s="1" t="n">
        <v>44575.80925925926</v>
      </c>
      <c r="C367" s="1" t="n">
        <v>45962</v>
      </c>
      <c r="D367" t="inlineStr">
        <is>
          <t>JÖNKÖPINGS LÄN</t>
        </is>
      </c>
      <c r="E367" t="inlineStr">
        <is>
          <t>JÖNKÖPING</t>
        </is>
      </c>
      <c r="G367" t="n">
        <v>1.4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33449-2021</t>
        </is>
      </c>
      <c r="B368" s="1" t="n">
        <v>44377.63120370371</v>
      </c>
      <c r="C368" s="1" t="n">
        <v>45962</v>
      </c>
      <c r="D368" t="inlineStr">
        <is>
          <t>JÖNKÖPINGS LÄN</t>
        </is>
      </c>
      <c r="E368" t="inlineStr">
        <is>
          <t>VAGGERYD</t>
        </is>
      </c>
      <c r="F368" t="inlineStr">
        <is>
          <t>Sveaskog</t>
        </is>
      </c>
      <c r="G368" t="n">
        <v>1.2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33451-2021</t>
        </is>
      </c>
      <c r="B369" s="1" t="n">
        <v>44377.63462962963</v>
      </c>
      <c r="C369" s="1" t="n">
        <v>45962</v>
      </c>
      <c r="D369" t="inlineStr">
        <is>
          <t>JÖNKÖPINGS LÄN</t>
        </is>
      </c>
      <c r="E369" t="inlineStr">
        <is>
          <t>VAGGERYD</t>
        </is>
      </c>
      <c r="F369" t="inlineStr">
        <is>
          <t>Sveaskog</t>
        </is>
      </c>
      <c r="G369" t="n">
        <v>0.7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518-2022</t>
        </is>
      </c>
      <c r="B370" s="1" t="n">
        <v>44566.56325231482</v>
      </c>
      <c r="C370" s="1" t="n">
        <v>45962</v>
      </c>
      <c r="D370" t="inlineStr">
        <is>
          <t>JÖNKÖPINGS LÄN</t>
        </is>
      </c>
      <c r="E370" t="inlineStr">
        <is>
          <t>VÄRNAMO</t>
        </is>
      </c>
      <c r="G370" t="n">
        <v>3.7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15602-2022</t>
        </is>
      </c>
      <c r="B371" s="1" t="n">
        <v>44662</v>
      </c>
      <c r="C371" s="1" t="n">
        <v>45962</v>
      </c>
      <c r="D371" t="inlineStr">
        <is>
          <t>JÖNKÖPINGS LÄN</t>
        </is>
      </c>
      <c r="E371" t="inlineStr">
        <is>
          <t>JÖNKÖPING</t>
        </is>
      </c>
      <c r="G371" t="n">
        <v>1.6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33662-2021</t>
        </is>
      </c>
      <c r="B372" s="1" t="n">
        <v>44378.3903587963</v>
      </c>
      <c r="C372" s="1" t="n">
        <v>45962</v>
      </c>
      <c r="D372" t="inlineStr">
        <is>
          <t>JÖNKÖPINGS LÄN</t>
        </is>
      </c>
      <c r="E372" t="inlineStr">
        <is>
          <t>GISLAVED</t>
        </is>
      </c>
      <c r="G372" t="n">
        <v>0.5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14029-2022</t>
        </is>
      </c>
      <c r="B373" s="1" t="n">
        <v>44650</v>
      </c>
      <c r="C373" s="1" t="n">
        <v>45962</v>
      </c>
      <c r="D373" t="inlineStr">
        <is>
          <t>JÖNKÖPINGS LÄN</t>
        </is>
      </c>
      <c r="E373" t="inlineStr">
        <is>
          <t>VAGGERYD</t>
        </is>
      </c>
      <c r="G373" t="n">
        <v>1.6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68819-2021</t>
        </is>
      </c>
      <c r="B374" s="1" t="n">
        <v>44530</v>
      </c>
      <c r="C374" s="1" t="n">
        <v>45962</v>
      </c>
      <c r="D374" t="inlineStr">
        <is>
          <t>JÖNKÖPINGS LÄN</t>
        </is>
      </c>
      <c r="E374" t="inlineStr">
        <is>
          <t>GNOSJÖ</t>
        </is>
      </c>
      <c r="G374" t="n">
        <v>0.4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69990-2021</t>
        </is>
      </c>
      <c r="B375" s="1" t="n">
        <v>44533.4324537037</v>
      </c>
      <c r="C375" s="1" t="n">
        <v>45962</v>
      </c>
      <c r="D375" t="inlineStr">
        <is>
          <t>JÖNKÖPINGS LÄN</t>
        </is>
      </c>
      <c r="E375" t="inlineStr">
        <is>
          <t>SÄVSJÖ</t>
        </is>
      </c>
      <c r="G375" t="n">
        <v>3.2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11199-2022</t>
        </is>
      </c>
      <c r="B376" s="1" t="n">
        <v>44629</v>
      </c>
      <c r="C376" s="1" t="n">
        <v>45962</v>
      </c>
      <c r="D376" t="inlineStr">
        <is>
          <t>JÖNKÖPINGS LÄN</t>
        </is>
      </c>
      <c r="E376" t="inlineStr">
        <is>
          <t>VÄRNAMO</t>
        </is>
      </c>
      <c r="F376" t="inlineStr">
        <is>
          <t>Kyrkan</t>
        </is>
      </c>
      <c r="G376" t="n">
        <v>1.9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40959-2021</t>
        </is>
      </c>
      <c r="B377" s="1" t="n">
        <v>44421.57394675926</v>
      </c>
      <c r="C377" s="1" t="n">
        <v>45962</v>
      </c>
      <c r="D377" t="inlineStr">
        <is>
          <t>JÖNKÖPINGS LÄN</t>
        </is>
      </c>
      <c r="E377" t="inlineStr">
        <is>
          <t>NÄSSJÖ</t>
        </is>
      </c>
      <c r="G377" t="n">
        <v>6.7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40968-2021</t>
        </is>
      </c>
      <c r="B378" s="1" t="n">
        <v>44421</v>
      </c>
      <c r="C378" s="1" t="n">
        <v>45962</v>
      </c>
      <c r="D378" t="inlineStr">
        <is>
          <t>JÖNKÖPINGS LÄN</t>
        </is>
      </c>
      <c r="E378" t="inlineStr">
        <is>
          <t>VÄRNAMO</t>
        </is>
      </c>
      <c r="G378" t="n">
        <v>0.7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58072-2021</t>
        </is>
      </c>
      <c r="B379" s="1" t="n">
        <v>44487</v>
      </c>
      <c r="C379" s="1" t="n">
        <v>45962</v>
      </c>
      <c r="D379" t="inlineStr">
        <is>
          <t>JÖNKÖPINGS LÄN</t>
        </is>
      </c>
      <c r="E379" t="inlineStr">
        <is>
          <t>JÖNKÖPING</t>
        </is>
      </c>
      <c r="G379" t="n">
        <v>0.5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11016-2022</t>
        </is>
      </c>
      <c r="B380" s="1" t="n">
        <v>44628</v>
      </c>
      <c r="C380" s="1" t="n">
        <v>45962</v>
      </c>
      <c r="D380" t="inlineStr">
        <is>
          <t>JÖNKÖPINGS LÄN</t>
        </is>
      </c>
      <c r="E380" t="inlineStr">
        <is>
          <t>VÄRNAMO</t>
        </is>
      </c>
      <c r="G380" t="n">
        <v>0.6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22796-2021</t>
        </is>
      </c>
      <c r="B381" s="1" t="n">
        <v>44327</v>
      </c>
      <c r="C381" s="1" t="n">
        <v>45962</v>
      </c>
      <c r="D381" t="inlineStr">
        <is>
          <t>JÖNKÖPINGS LÄN</t>
        </is>
      </c>
      <c r="E381" t="inlineStr">
        <is>
          <t>ANEBY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45898-2021</t>
        </is>
      </c>
      <c r="B382" s="1" t="n">
        <v>44441.59993055555</v>
      </c>
      <c r="C382" s="1" t="n">
        <v>45962</v>
      </c>
      <c r="D382" t="inlineStr">
        <is>
          <t>JÖNKÖPINGS LÄN</t>
        </is>
      </c>
      <c r="E382" t="inlineStr">
        <is>
          <t>GISLAVED</t>
        </is>
      </c>
      <c r="G382" t="n">
        <v>5.4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42852-2021</t>
        </is>
      </c>
      <c r="B383" s="1" t="n">
        <v>44430</v>
      </c>
      <c r="C383" s="1" t="n">
        <v>45962</v>
      </c>
      <c r="D383" t="inlineStr">
        <is>
          <t>JÖNKÖPINGS LÄN</t>
        </is>
      </c>
      <c r="E383" t="inlineStr">
        <is>
          <t>MULLSJÖ</t>
        </is>
      </c>
      <c r="G383" t="n">
        <v>3.3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2664-2021</t>
        </is>
      </c>
      <c r="B384" s="1" t="n">
        <v>44215</v>
      </c>
      <c r="C384" s="1" t="n">
        <v>45962</v>
      </c>
      <c r="D384" t="inlineStr">
        <is>
          <t>JÖNKÖPINGS LÄN</t>
        </is>
      </c>
      <c r="E384" t="inlineStr">
        <is>
          <t>TRANÅS</t>
        </is>
      </c>
      <c r="G384" t="n">
        <v>1.1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48212-2022</t>
        </is>
      </c>
      <c r="B385" s="1" t="n">
        <v>44858.42625</v>
      </c>
      <c r="C385" s="1" t="n">
        <v>45962</v>
      </c>
      <c r="D385" t="inlineStr">
        <is>
          <t>JÖNKÖPINGS LÄN</t>
        </is>
      </c>
      <c r="E385" t="inlineStr">
        <is>
          <t>VETLANDA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43286-2021</t>
        </is>
      </c>
      <c r="B386" s="1" t="n">
        <v>44432.39827546296</v>
      </c>
      <c r="C386" s="1" t="n">
        <v>45962</v>
      </c>
      <c r="D386" t="inlineStr">
        <is>
          <t>JÖNKÖPINGS LÄN</t>
        </is>
      </c>
      <c r="E386" t="inlineStr">
        <is>
          <t>VAGGERYD</t>
        </is>
      </c>
      <c r="G386" t="n">
        <v>1.6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46078-2022</t>
        </is>
      </c>
      <c r="B387" s="1" t="n">
        <v>44847.35423611111</v>
      </c>
      <c r="C387" s="1" t="n">
        <v>45962</v>
      </c>
      <c r="D387" t="inlineStr">
        <is>
          <t>JÖNKÖPINGS LÄN</t>
        </is>
      </c>
      <c r="E387" t="inlineStr">
        <is>
          <t>HABO</t>
        </is>
      </c>
      <c r="G387" t="n">
        <v>3.4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1442-2021</t>
        </is>
      </c>
      <c r="B388" s="1" t="n">
        <v>44208.71043981481</v>
      </c>
      <c r="C388" s="1" t="n">
        <v>45962</v>
      </c>
      <c r="D388" t="inlineStr">
        <is>
          <t>JÖNKÖPINGS LÄN</t>
        </is>
      </c>
      <c r="E388" t="inlineStr">
        <is>
          <t>SÄVSJÖ</t>
        </is>
      </c>
      <c r="G388" t="n">
        <v>0.4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12813-2022</t>
        </is>
      </c>
      <c r="B389" s="1" t="n">
        <v>44642</v>
      </c>
      <c r="C389" s="1" t="n">
        <v>45962</v>
      </c>
      <c r="D389" t="inlineStr">
        <is>
          <t>JÖNKÖPINGS LÄN</t>
        </is>
      </c>
      <c r="E389" t="inlineStr">
        <is>
          <t>VAGGERYD</t>
        </is>
      </c>
      <c r="G389" t="n">
        <v>1.4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10468-2022</t>
        </is>
      </c>
      <c r="B390" s="1" t="n">
        <v>44623.60351851852</v>
      </c>
      <c r="C390" s="1" t="n">
        <v>45962</v>
      </c>
      <c r="D390" t="inlineStr">
        <is>
          <t>JÖNKÖPINGS LÄN</t>
        </is>
      </c>
      <c r="E390" t="inlineStr">
        <is>
          <t>TRANÅS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28910-2022</t>
        </is>
      </c>
      <c r="B391" s="1" t="n">
        <v>44749.55936342593</v>
      </c>
      <c r="C391" s="1" t="n">
        <v>45962</v>
      </c>
      <c r="D391" t="inlineStr">
        <is>
          <t>JÖNKÖPINGS LÄN</t>
        </is>
      </c>
      <c r="E391" t="inlineStr">
        <is>
          <t>JÖNKÖPING</t>
        </is>
      </c>
      <c r="G391" t="n">
        <v>0.8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32270-2022</t>
        </is>
      </c>
      <c r="B392" s="1" t="n">
        <v>44781</v>
      </c>
      <c r="C392" s="1" t="n">
        <v>45962</v>
      </c>
      <c r="D392" t="inlineStr">
        <is>
          <t>JÖNKÖPINGS LÄN</t>
        </is>
      </c>
      <c r="E392" t="inlineStr">
        <is>
          <t>VETLANDA</t>
        </is>
      </c>
      <c r="G392" t="n">
        <v>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31907-2021</t>
        </is>
      </c>
      <c r="B393" s="1" t="n">
        <v>44370.47137731482</v>
      </c>
      <c r="C393" s="1" t="n">
        <v>45962</v>
      </c>
      <c r="D393" t="inlineStr">
        <is>
          <t>JÖNKÖPINGS LÄN</t>
        </is>
      </c>
      <c r="E393" t="inlineStr">
        <is>
          <t>SÄVSJÖ</t>
        </is>
      </c>
      <c r="G393" t="n">
        <v>0.6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31910-2021</t>
        </is>
      </c>
      <c r="B394" s="1" t="n">
        <v>44370.47902777778</v>
      </c>
      <c r="C394" s="1" t="n">
        <v>45962</v>
      </c>
      <c r="D394" t="inlineStr">
        <is>
          <t>JÖNKÖPINGS LÄN</t>
        </is>
      </c>
      <c r="E394" t="inlineStr">
        <is>
          <t>SÄVSJÖ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28907-2022</t>
        </is>
      </c>
      <c r="B395" s="1" t="n">
        <v>44749.55703703704</v>
      </c>
      <c r="C395" s="1" t="n">
        <v>45962</v>
      </c>
      <c r="D395" t="inlineStr">
        <is>
          <t>JÖNKÖPINGS LÄN</t>
        </is>
      </c>
      <c r="E395" t="inlineStr">
        <is>
          <t>JÖNKÖPING</t>
        </is>
      </c>
      <c r="G395" t="n">
        <v>0.7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28908-2022</t>
        </is>
      </c>
      <c r="B396" s="1" t="n">
        <v>44749.55707175926</v>
      </c>
      <c r="C396" s="1" t="n">
        <v>45962</v>
      </c>
      <c r="D396" t="inlineStr">
        <is>
          <t>JÖNKÖPINGS LÄN</t>
        </is>
      </c>
      <c r="E396" t="inlineStr">
        <is>
          <t>SÄVSJÖ</t>
        </is>
      </c>
      <c r="G396" t="n">
        <v>0.7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47440-2022</t>
        </is>
      </c>
      <c r="B397" s="1" t="n">
        <v>44853</v>
      </c>
      <c r="C397" s="1" t="n">
        <v>45962</v>
      </c>
      <c r="D397" t="inlineStr">
        <is>
          <t>JÖNKÖPINGS LÄN</t>
        </is>
      </c>
      <c r="E397" t="inlineStr">
        <is>
          <t>HABO</t>
        </is>
      </c>
      <c r="G397" t="n">
        <v>1.4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5445-2021</t>
        </is>
      </c>
      <c r="B398" s="1" t="n">
        <v>44229</v>
      </c>
      <c r="C398" s="1" t="n">
        <v>45962</v>
      </c>
      <c r="D398" t="inlineStr">
        <is>
          <t>JÖNKÖPINGS LÄN</t>
        </is>
      </c>
      <c r="E398" t="inlineStr">
        <is>
          <t>NÄSSJÖ</t>
        </is>
      </c>
      <c r="G398" t="n">
        <v>4.7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38080-2021</t>
        </is>
      </c>
      <c r="B399" s="1" t="n">
        <v>44404</v>
      </c>
      <c r="C399" s="1" t="n">
        <v>45962</v>
      </c>
      <c r="D399" t="inlineStr">
        <is>
          <t>JÖNKÖPINGS LÄN</t>
        </is>
      </c>
      <c r="E399" t="inlineStr">
        <is>
          <t>VETLANDA</t>
        </is>
      </c>
      <c r="G399" t="n">
        <v>1.5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66444-2020</t>
        </is>
      </c>
      <c r="B400" s="1" t="n">
        <v>44176.68295138889</v>
      </c>
      <c r="C400" s="1" t="n">
        <v>45962</v>
      </c>
      <c r="D400" t="inlineStr">
        <is>
          <t>JÖNKÖPINGS LÄN</t>
        </is>
      </c>
      <c r="E400" t="inlineStr">
        <is>
          <t>HABO</t>
        </is>
      </c>
      <c r="G400" t="n">
        <v>6.9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56005-2022</t>
        </is>
      </c>
      <c r="B401" s="1" t="n">
        <v>44889</v>
      </c>
      <c r="C401" s="1" t="n">
        <v>45962</v>
      </c>
      <c r="D401" t="inlineStr">
        <is>
          <t>JÖNKÖPINGS LÄN</t>
        </is>
      </c>
      <c r="E401" t="inlineStr">
        <is>
          <t>EKSJÖ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43901-2022</t>
        </is>
      </c>
      <c r="B402" s="1" t="n">
        <v>44838.49244212963</v>
      </c>
      <c r="C402" s="1" t="n">
        <v>45962</v>
      </c>
      <c r="D402" t="inlineStr">
        <is>
          <t>JÖNKÖPINGS LÄN</t>
        </is>
      </c>
      <c r="E402" t="inlineStr">
        <is>
          <t>VETLANDA</t>
        </is>
      </c>
      <c r="G402" t="n">
        <v>1.1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47313-2022</t>
        </is>
      </c>
      <c r="B403" s="1" t="n">
        <v>44853.34524305556</v>
      </c>
      <c r="C403" s="1" t="n">
        <v>45962</v>
      </c>
      <c r="D403" t="inlineStr">
        <is>
          <t>JÖNKÖPINGS LÄN</t>
        </is>
      </c>
      <c r="E403" t="inlineStr">
        <is>
          <t>VÄRNAMO</t>
        </is>
      </c>
      <c r="G403" t="n">
        <v>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32338-2022</t>
        </is>
      </c>
      <c r="B404" s="1" t="n">
        <v>44781.78630787037</v>
      </c>
      <c r="C404" s="1" t="n">
        <v>45962</v>
      </c>
      <c r="D404" t="inlineStr">
        <is>
          <t>JÖNKÖPINGS LÄN</t>
        </is>
      </c>
      <c r="E404" t="inlineStr">
        <is>
          <t>EKSJÖ</t>
        </is>
      </c>
      <c r="G404" t="n">
        <v>0.6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32372-2022</t>
        </is>
      </c>
      <c r="B405" s="1" t="n">
        <v>44781</v>
      </c>
      <c r="C405" s="1" t="n">
        <v>45962</v>
      </c>
      <c r="D405" t="inlineStr">
        <is>
          <t>JÖNKÖPINGS LÄN</t>
        </is>
      </c>
      <c r="E405" t="inlineStr">
        <is>
          <t>VETLANDA</t>
        </is>
      </c>
      <c r="G405" t="n">
        <v>1.1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5142-2022</t>
        </is>
      </c>
      <c r="B406" s="1" t="n">
        <v>44594</v>
      </c>
      <c r="C406" s="1" t="n">
        <v>45962</v>
      </c>
      <c r="D406" t="inlineStr">
        <is>
          <t>JÖNKÖPINGS LÄN</t>
        </is>
      </c>
      <c r="E406" t="inlineStr">
        <is>
          <t>NÄSSJÖ</t>
        </is>
      </c>
      <c r="G406" t="n">
        <v>1.1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33381-2022</t>
        </is>
      </c>
      <c r="B407" s="1" t="n">
        <v>44788.54672453704</v>
      </c>
      <c r="C407" s="1" t="n">
        <v>45962</v>
      </c>
      <c r="D407" t="inlineStr">
        <is>
          <t>JÖNKÖPINGS LÄN</t>
        </is>
      </c>
      <c r="E407" t="inlineStr">
        <is>
          <t>VÄRNAMO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36778-2022</t>
        </is>
      </c>
      <c r="B408" s="1" t="n">
        <v>44805.46810185185</v>
      </c>
      <c r="C408" s="1" t="n">
        <v>45962</v>
      </c>
      <c r="D408" t="inlineStr">
        <is>
          <t>JÖNKÖPINGS LÄN</t>
        </is>
      </c>
      <c r="E408" t="inlineStr">
        <is>
          <t>SÄVSJÖ</t>
        </is>
      </c>
      <c r="G408" t="n">
        <v>0.4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48958-2021</t>
        </is>
      </c>
      <c r="B409" s="1" t="n">
        <v>44453.38615740741</v>
      </c>
      <c r="C409" s="1" t="n">
        <v>45962</v>
      </c>
      <c r="D409" t="inlineStr">
        <is>
          <t>JÖNKÖPINGS LÄN</t>
        </is>
      </c>
      <c r="E409" t="inlineStr">
        <is>
          <t>NÄSSJÖ</t>
        </is>
      </c>
      <c r="G409" t="n">
        <v>0.5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64021-2021</t>
        </is>
      </c>
      <c r="B410" s="1" t="n">
        <v>44510.34935185185</v>
      </c>
      <c r="C410" s="1" t="n">
        <v>45962</v>
      </c>
      <c r="D410" t="inlineStr">
        <is>
          <t>JÖNKÖPINGS LÄN</t>
        </is>
      </c>
      <c r="E410" t="inlineStr">
        <is>
          <t>SÄVSJÖ</t>
        </is>
      </c>
      <c r="G410" t="n">
        <v>4.1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53109-2022</t>
        </is>
      </c>
      <c r="B411" s="1" t="n">
        <v>44873</v>
      </c>
      <c r="C411" s="1" t="n">
        <v>45962</v>
      </c>
      <c r="D411" t="inlineStr">
        <is>
          <t>JÖNKÖPINGS LÄN</t>
        </is>
      </c>
      <c r="E411" t="inlineStr">
        <is>
          <t>EKSJÖ</t>
        </is>
      </c>
      <c r="G411" t="n">
        <v>2.8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41532-2022</t>
        </is>
      </c>
      <c r="B412" s="1" t="n">
        <v>44827</v>
      </c>
      <c r="C412" s="1" t="n">
        <v>45962</v>
      </c>
      <c r="D412" t="inlineStr">
        <is>
          <t>JÖNKÖPINGS LÄN</t>
        </is>
      </c>
      <c r="E412" t="inlineStr">
        <is>
          <t>EKSJÖ</t>
        </is>
      </c>
      <c r="G412" t="n">
        <v>0.8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37634-2022</t>
        </is>
      </c>
      <c r="B413" s="1" t="n">
        <v>44810</v>
      </c>
      <c r="C413" s="1" t="n">
        <v>45962</v>
      </c>
      <c r="D413" t="inlineStr">
        <is>
          <t>JÖNKÖPINGS LÄN</t>
        </is>
      </c>
      <c r="E413" t="inlineStr">
        <is>
          <t>GISLAVED</t>
        </is>
      </c>
      <c r="G413" t="n">
        <v>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53402-2021</t>
        </is>
      </c>
      <c r="B414" s="1" t="n">
        <v>44468</v>
      </c>
      <c r="C414" s="1" t="n">
        <v>45962</v>
      </c>
      <c r="D414" t="inlineStr">
        <is>
          <t>JÖNKÖPINGS LÄN</t>
        </is>
      </c>
      <c r="E414" t="inlineStr">
        <is>
          <t>VÄRNAMO</t>
        </is>
      </c>
      <c r="G414" t="n">
        <v>1.2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43870-2022</t>
        </is>
      </c>
      <c r="B415" s="1" t="n">
        <v>44837</v>
      </c>
      <c r="C415" s="1" t="n">
        <v>45962</v>
      </c>
      <c r="D415" t="inlineStr">
        <is>
          <t>JÖNKÖPINGS LÄN</t>
        </is>
      </c>
      <c r="E415" t="inlineStr">
        <is>
          <t>GNOSJÖ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35840-2021</t>
        </is>
      </c>
      <c r="B416" s="1" t="n">
        <v>44386.86407407407</v>
      </c>
      <c r="C416" s="1" t="n">
        <v>45962</v>
      </c>
      <c r="D416" t="inlineStr">
        <is>
          <t>JÖNKÖPINGS LÄN</t>
        </is>
      </c>
      <c r="E416" t="inlineStr">
        <is>
          <t>GISLAVED</t>
        </is>
      </c>
      <c r="G416" t="n">
        <v>0.6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52015-2021</t>
        </is>
      </c>
      <c r="B417" s="1" t="n">
        <v>44463.3428125</v>
      </c>
      <c r="C417" s="1" t="n">
        <v>45962</v>
      </c>
      <c r="D417" t="inlineStr">
        <is>
          <t>JÖNKÖPINGS LÄN</t>
        </is>
      </c>
      <c r="E417" t="inlineStr">
        <is>
          <t>NÄSSJÖ</t>
        </is>
      </c>
      <c r="G417" t="n">
        <v>5.8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47957-2022</t>
        </is>
      </c>
      <c r="B418" s="1" t="n">
        <v>44855.58278935185</v>
      </c>
      <c r="C418" s="1" t="n">
        <v>45962</v>
      </c>
      <c r="D418" t="inlineStr">
        <is>
          <t>JÖNKÖPINGS LÄN</t>
        </is>
      </c>
      <c r="E418" t="inlineStr">
        <is>
          <t>SÄVSJÖ</t>
        </is>
      </c>
      <c r="F418" t="inlineStr">
        <is>
          <t>Sveaskog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50519-2021</t>
        </is>
      </c>
      <c r="B419" s="1" t="n">
        <v>44459.59157407407</v>
      </c>
      <c r="C419" s="1" t="n">
        <v>45962</v>
      </c>
      <c r="D419" t="inlineStr">
        <is>
          <t>JÖNKÖPINGS LÄN</t>
        </is>
      </c>
      <c r="E419" t="inlineStr">
        <is>
          <t>VÄRNAMO</t>
        </is>
      </c>
      <c r="G419" t="n">
        <v>0.5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4186-2021</t>
        </is>
      </c>
      <c r="B420" s="1" t="n">
        <v>44221</v>
      </c>
      <c r="C420" s="1" t="n">
        <v>45962</v>
      </c>
      <c r="D420" t="inlineStr">
        <is>
          <t>JÖNKÖPINGS LÄN</t>
        </is>
      </c>
      <c r="E420" t="inlineStr">
        <is>
          <t>NÄSSJÖ</t>
        </is>
      </c>
      <c r="G420" t="n">
        <v>1.9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54472-2021</t>
        </is>
      </c>
      <c r="B421" s="1" t="n">
        <v>44473.48329861111</v>
      </c>
      <c r="C421" s="1" t="n">
        <v>45962</v>
      </c>
      <c r="D421" t="inlineStr">
        <is>
          <t>JÖNKÖPINGS LÄN</t>
        </is>
      </c>
      <c r="E421" t="inlineStr">
        <is>
          <t>VÄRNAMO</t>
        </is>
      </c>
      <c r="G421" t="n">
        <v>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13478-2021</t>
        </is>
      </c>
      <c r="B422" s="1" t="n">
        <v>44273.62572916667</v>
      </c>
      <c r="C422" s="1" t="n">
        <v>45962</v>
      </c>
      <c r="D422" t="inlineStr">
        <is>
          <t>JÖNKÖPINGS LÄN</t>
        </is>
      </c>
      <c r="E422" t="inlineStr">
        <is>
          <t>JÖNKÖPING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9409-2021</t>
        </is>
      </c>
      <c r="B423" s="1" t="n">
        <v>44250</v>
      </c>
      <c r="C423" s="1" t="n">
        <v>45962</v>
      </c>
      <c r="D423" t="inlineStr">
        <is>
          <t>JÖNKÖPINGS LÄN</t>
        </is>
      </c>
      <c r="E423" t="inlineStr">
        <is>
          <t>GISLAVED</t>
        </is>
      </c>
      <c r="G423" t="n">
        <v>0.8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50872-2021</t>
        </is>
      </c>
      <c r="B424" s="1" t="n">
        <v>44459</v>
      </c>
      <c r="C424" s="1" t="n">
        <v>45962</v>
      </c>
      <c r="D424" t="inlineStr">
        <is>
          <t>JÖNKÖPINGS LÄN</t>
        </is>
      </c>
      <c r="E424" t="inlineStr">
        <is>
          <t>NÄSSJÖ</t>
        </is>
      </c>
      <c r="G424" t="n">
        <v>4.3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8673-2021</t>
        </is>
      </c>
      <c r="B425" s="1" t="n">
        <v>44246.36898148148</v>
      </c>
      <c r="C425" s="1" t="n">
        <v>45962</v>
      </c>
      <c r="D425" t="inlineStr">
        <is>
          <t>JÖNKÖPINGS LÄN</t>
        </is>
      </c>
      <c r="E425" t="inlineStr">
        <is>
          <t>VÄRNAMO</t>
        </is>
      </c>
      <c r="G425" t="n">
        <v>0.7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12181-2021</t>
        </is>
      </c>
      <c r="B426" s="1" t="n">
        <v>44266.62798611111</v>
      </c>
      <c r="C426" s="1" t="n">
        <v>45962</v>
      </c>
      <c r="D426" t="inlineStr">
        <is>
          <t>JÖNKÖPINGS LÄN</t>
        </is>
      </c>
      <c r="E426" t="inlineStr">
        <is>
          <t>GISLAVED</t>
        </is>
      </c>
      <c r="G426" t="n">
        <v>3.1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61678-2020</t>
        </is>
      </c>
      <c r="B427" s="1" t="n">
        <v>44155</v>
      </c>
      <c r="C427" s="1" t="n">
        <v>45962</v>
      </c>
      <c r="D427" t="inlineStr">
        <is>
          <t>JÖNKÖPINGS LÄN</t>
        </is>
      </c>
      <c r="E427" t="inlineStr">
        <is>
          <t>NÄSSJÖ</t>
        </is>
      </c>
      <c r="G427" t="n">
        <v>0.7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28692-2021</t>
        </is>
      </c>
      <c r="B428" s="1" t="n">
        <v>44357.42416666666</v>
      </c>
      <c r="C428" s="1" t="n">
        <v>45962</v>
      </c>
      <c r="D428" t="inlineStr">
        <is>
          <t>JÖNKÖPINGS LÄN</t>
        </is>
      </c>
      <c r="E428" t="inlineStr">
        <is>
          <t>VAGGERYD</t>
        </is>
      </c>
      <c r="G428" t="n">
        <v>17.2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49435-2021</t>
        </is>
      </c>
      <c r="B429" s="1" t="n">
        <v>44454</v>
      </c>
      <c r="C429" s="1" t="n">
        <v>45962</v>
      </c>
      <c r="D429" t="inlineStr">
        <is>
          <t>JÖNKÖPINGS LÄN</t>
        </is>
      </c>
      <c r="E429" t="inlineStr">
        <is>
          <t>EKSJÖ</t>
        </is>
      </c>
      <c r="G429" t="n">
        <v>0.9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28927-2021</t>
        </is>
      </c>
      <c r="B430" s="1" t="n">
        <v>44358.30866898148</v>
      </c>
      <c r="C430" s="1" t="n">
        <v>45962</v>
      </c>
      <c r="D430" t="inlineStr">
        <is>
          <t>JÖNKÖPINGS LÄN</t>
        </is>
      </c>
      <c r="E430" t="inlineStr">
        <is>
          <t>GISLAVED</t>
        </is>
      </c>
      <c r="G430" t="n">
        <v>1.1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64014-2021</t>
        </is>
      </c>
      <c r="B431" s="1" t="n">
        <v>44508</v>
      </c>
      <c r="C431" s="1" t="n">
        <v>45962</v>
      </c>
      <c r="D431" t="inlineStr">
        <is>
          <t>JÖNKÖPINGS LÄN</t>
        </is>
      </c>
      <c r="E431" t="inlineStr">
        <is>
          <t>GISLAVED</t>
        </is>
      </c>
      <c r="G431" t="n">
        <v>0.8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19165-2021</t>
        </is>
      </c>
      <c r="B432" s="1" t="n">
        <v>44308</v>
      </c>
      <c r="C432" s="1" t="n">
        <v>45962</v>
      </c>
      <c r="D432" t="inlineStr">
        <is>
          <t>JÖNKÖPINGS LÄN</t>
        </is>
      </c>
      <c r="E432" t="inlineStr">
        <is>
          <t>JÖNKÖPING</t>
        </is>
      </c>
      <c r="F432" t="inlineStr">
        <is>
          <t>Sveaskog</t>
        </is>
      </c>
      <c r="G432" t="n">
        <v>2.5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63116-2020</t>
        </is>
      </c>
      <c r="B433" s="1" t="n">
        <v>44162</v>
      </c>
      <c r="C433" s="1" t="n">
        <v>45962</v>
      </c>
      <c r="D433" t="inlineStr">
        <is>
          <t>JÖNKÖPINGS LÄN</t>
        </is>
      </c>
      <c r="E433" t="inlineStr">
        <is>
          <t>NÄSSJÖ</t>
        </is>
      </c>
      <c r="G433" t="n">
        <v>1.3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65306-2021</t>
        </is>
      </c>
      <c r="B434" s="1" t="n">
        <v>44515.61378472222</v>
      </c>
      <c r="C434" s="1" t="n">
        <v>45962</v>
      </c>
      <c r="D434" t="inlineStr">
        <is>
          <t>JÖNKÖPINGS LÄN</t>
        </is>
      </c>
      <c r="E434" t="inlineStr">
        <is>
          <t>VETLANDA</t>
        </is>
      </c>
      <c r="G434" t="n">
        <v>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57274-2020</t>
        </is>
      </c>
      <c r="B435" s="1" t="n">
        <v>44139</v>
      </c>
      <c r="C435" s="1" t="n">
        <v>45962</v>
      </c>
      <c r="D435" t="inlineStr">
        <is>
          <t>JÖNKÖPINGS LÄN</t>
        </is>
      </c>
      <c r="E435" t="inlineStr">
        <is>
          <t>VÄRNAMO</t>
        </is>
      </c>
      <c r="G435" t="n">
        <v>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13099-2021</t>
        </is>
      </c>
      <c r="B436" s="1" t="n">
        <v>44272</v>
      </c>
      <c r="C436" s="1" t="n">
        <v>45962</v>
      </c>
      <c r="D436" t="inlineStr">
        <is>
          <t>JÖNKÖPINGS LÄN</t>
        </is>
      </c>
      <c r="E436" t="inlineStr">
        <is>
          <t>MULLSJÖ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13101-2021</t>
        </is>
      </c>
      <c r="B437" s="1" t="n">
        <v>44272</v>
      </c>
      <c r="C437" s="1" t="n">
        <v>45962</v>
      </c>
      <c r="D437" t="inlineStr">
        <is>
          <t>JÖNKÖPINGS LÄN</t>
        </is>
      </c>
      <c r="E437" t="inlineStr">
        <is>
          <t>MULLSJÖ</t>
        </is>
      </c>
      <c r="G437" t="n">
        <v>1.6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27584-2021</t>
        </is>
      </c>
      <c r="B438" s="1" t="n">
        <v>44353</v>
      </c>
      <c r="C438" s="1" t="n">
        <v>45962</v>
      </c>
      <c r="D438" t="inlineStr">
        <is>
          <t>JÖNKÖPINGS LÄN</t>
        </is>
      </c>
      <c r="E438" t="inlineStr">
        <is>
          <t>GISLAVED</t>
        </is>
      </c>
      <c r="G438" t="n">
        <v>2.2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74126-2021</t>
        </is>
      </c>
      <c r="B439" s="1" t="n">
        <v>44557</v>
      </c>
      <c r="C439" s="1" t="n">
        <v>45962</v>
      </c>
      <c r="D439" t="inlineStr">
        <is>
          <t>JÖNKÖPINGS LÄN</t>
        </is>
      </c>
      <c r="E439" t="inlineStr">
        <is>
          <t>VÄRNAMO</t>
        </is>
      </c>
      <c r="F439" t="inlineStr">
        <is>
          <t>Sveaskog</t>
        </is>
      </c>
      <c r="G439" t="n">
        <v>3.8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4733-2021</t>
        </is>
      </c>
      <c r="B440" s="1" t="n">
        <v>44225</v>
      </c>
      <c r="C440" s="1" t="n">
        <v>45962</v>
      </c>
      <c r="D440" t="inlineStr">
        <is>
          <t>JÖNKÖPINGS LÄN</t>
        </is>
      </c>
      <c r="E440" t="inlineStr">
        <is>
          <t>JÖNKÖPING</t>
        </is>
      </c>
      <c r="G440" t="n">
        <v>0.9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3446-2021</t>
        </is>
      </c>
      <c r="B441" s="1" t="n">
        <v>44218</v>
      </c>
      <c r="C441" s="1" t="n">
        <v>45962</v>
      </c>
      <c r="D441" t="inlineStr">
        <is>
          <t>JÖNKÖPINGS LÄN</t>
        </is>
      </c>
      <c r="E441" t="inlineStr">
        <is>
          <t>EKSJÖ</t>
        </is>
      </c>
      <c r="G441" t="n">
        <v>1.1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63459-2021</t>
        </is>
      </c>
      <c r="B442" s="1" t="n">
        <v>44508.59416666667</v>
      </c>
      <c r="C442" s="1" t="n">
        <v>45962</v>
      </c>
      <c r="D442" t="inlineStr">
        <is>
          <t>JÖNKÖPINGS LÄN</t>
        </is>
      </c>
      <c r="E442" t="inlineStr">
        <is>
          <t>VETLANDA</t>
        </is>
      </c>
      <c r="G442" t="n">
        <v>0.8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15723-2021</t>
        </is>
      </c>
      <c r="B443" s="1" t="n">
        <v>44286</v>
      </c>
      <c r="C443" s="1" t="n">
        <v>45962</v>
      </c>
      <c r="D443" t="inlineStr">
        <is>
          <t>JÖNKÖPINGS LÄN</t>
        </is>
      </c>
      <c r="E443" t="inlineStr">
        <is>
          <t>VETLANDA</t>
        </is>
      </c>
      <c r="G443" t="n">
        <v>1.1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9386-2021</t>
        </is>
      </c>
      <c r="B444" s="1" t="n">
        <v>44250</v>
      </c>
      <c r="C444" s="1" t="n">
        <v>45962</v>
      </c>
      <c r="D444" t="inlineStr">
        <is>
          <t>JÖNKÖPINGS LÄN</t>
        </is>
      </c>
      <c r="E444" t="inlineStr">
        <is>
          <t>VETLANDA</t>
        </is>
      </c>
      <c r="G444" t="n">
        <v>0.4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15293-2021</t>
        </is>
      </c>
      <c r="B445" s="1" t="n">
        <v>44284.59857638889</v>
      </c>
      <c r="C445" s="1" t="n">
        <v>45962</v>
      </c>
      <c r="D445" t="inlineStr">
        <is>
          <t>JÖNKÖPINGS LÄN</t>
        </is>
      </c>
      <c r="E445" t="inlineStr">
        <is>
          <t>VÄRNAMO</t>
        </is>
      </c>
      <c r="G445" t="n">
        <v>2.4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72737-2021</t>
        </is>
      </c>
      <c r="B446" s="1" t="n">
        <v>44546</v>
      </c>
      <c r="C446" s="1" t="n">
        <v>45962</v>
      </c>
      <c r="D446" t="inlineStr">
        <is>
          <t>JÖNKÖPINGS LÄN</t>
        </is>
      </c>
      <c r="E446" t="inlineStr">
        <is>
          <t>NÄSSJÖ</t>
        </is>
      </c>
      <c r="G446" t="n">
        <v>3.1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72742-2021</t>
        </is>
      </c>
      <c r="B447" s="1" t="n">
        <v>44546</v>
      </c>
      <c r="C447" s="1" t="n">
        <v>45962</v>
      </c>
      <c r="D447" t="inlineStr">
        <is>
          <t>JÖNKÖPINGS LÄN</t>
        </is>
      </c>
      <c r="E447" t="inlineStr">
        <is>
          <t>EKSJÖ</t>
        </is>
      </c>
      <c r="G447" t="n">
        <v>1.2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68668-2021</t>
        </is>
      </c>
      <c r="B448" s="1" t="n">
        <v>44529.63019675926</v>
      </c>
      <c r="C448" s="1" t="n">
        <v>45962</v>
      </c>
      <c r="D448" t="inlineStr">
        <is>
          <t>JÖNKÖPINGS LÄN</t>
        </is>
      </c>
      <c r="E448" t="inlineStr">
        <is>
          <t>NÄSSJÖ</t>
        </is>
      </c>
      <c r="G448" t="n">
        <v>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20979-2021</t>
        </is>
      </c>
      <c r="B449" s="1" t="n">
        <v>44319</v>
      </c>
      <c r="C449" s="1" t="n">
        <v>45962</v>
      </c>
      <c r="D449" t="inlineStr">
        <is>
          <t>JÖNKÖPINGS LÄN</t>
        </is>
      </c>
      <c r="E449" t="inlineStr">
        <is>
          <t>EKSJÖ</t>
        </is>
      </c>
      <c r="F449" t="inlineStr">
        <is>
          <t>Sveaskog</t>
        </is>
      </c>
      <c r="G449" t="n">
        <v>2.7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5617-2021</t>
        </is>
      </c>
      <c r="B450" s="1" t="n">
        <v>44230</v>
      </c>
      <c r="C450" s="1" t="n">
        <v>45962</v>
      </c>
      <c r="D450" t="inlineStr">
        <is>
          <t>JÖNKÖPINGS LÄN</t>
        </is>
      </c>
      <c r="E450" t="inlineStr">
        <is>
          <t>VÄRNAMO</t>
        </is>
      </c>
      <c r="G450" t="n">
        <v>0.5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67969-2020</t>
        </is>
      </c>
      <c r="B451" s="1" t="n">
        <v>44182</v>
      </c>
      <c r="C451" s="1" t="n">
        <v>45962</v>
      </c>
      <c r="D451" t="inlineStr">
        <is>
          <t>JÖNKÖPINGS LÄN</t>
        </is>
      </c>
      <c r="E451" t="inlineStr">
        <is>
          <t>NÄSSJÖ</t>
        </is>
      </c>
      <c r="G451" t="n">
        <v>3.9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22676-2021</t>
        </is>
      </c>
      <c r="B452" s="1" t="n">
        <v>44323</v>
      </c>
      <c r="C452" s="1" t="n">
        <v>45962</v>
      </c>
      <c r="D452" t="inlineStr">
        <is>
          <t>JÖNKÖPINGS LÄN</t>
        </is>
      </c>
      <c r="E452" t="inlineStr">
        <is>
          <t>GISLAVED</t>
        </is>
      </c>
      <c r="G452" t="n">
        <v>1.9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32854-2021</t>
        </is>
      </c>
      <c r="B453" s="1" t="n">
        <v>44375</v>
      </c>
      <c r="C453" s="1" t="n">
        <v>45962</v>
      </c>
      <c r="D453" t="inlineStr">
        <is>
          <t>JÖNKÖPINGS LÄN</t>
        </is>
      </c>
      <c r="E453" t="inlineStr">
        <is>
          <t>EKSJÖ</t>
        </is>
      </c>
      <c r="G453" t="n">
        <v>0.6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25073-2021</t>
        </is>
      </c>
      <c r="B454" s="1" t="n">
        <v>44341</v>
      </c>
      <c r="C454" s="1" t="n">
        <v>45962</v>
      </c>
      <c r="D454" t="inlineStr">
        <is>
          <t>JÖNKÖPINGS LÄN</t>
        </is>
      </c>
      <c r="E454" t="inlineStr">
        <is>
          <t>VETLANDA</t>
        </is>
      </c>
      <c r="G454" t="n">
        <v>9.1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19163-2021</t>
        </is>
      </c>
      <c r="B455" s="1" t="n">
        <v>44308</v>
      </c>
      <c r="C455" s="1" t="n">
        <v>45962</v>
      </c>
      <c r="D455" t="inlineStr">
        <is>
          <t>JÖNKÖPINGS LÄN</t>
        </is>
      </c>
      <c r="E455" t="inlineStr">
        <is>
          <t>JÖNKÖPING</t>
        </is>
      </c>
      <c r="F455" t="inlineStr">
        <is>
          <t>Sveaskog</t>
        </is>
      </c>
      <c r="G455" t="n">
        <v>3.9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32242-2021</t>
        </is>
      </c>
      <c r="B456" s="1" t="n">
        <v>44371</v>
      </c>
      <c r="C456" s="1" t="n">
        <v>45962</v>
      </c>
      <c r="D456" t="inlineStr">
        <is>
          <t>JÖNKÖPINGS LÄN</t>
        </is>
      </c>
      <c r="E456" t="inlineStr">
        <is>
          <t>NÄSSJÖ</t>
        </is>
      </c>
      <c r="F456" t="inlineStr">
        <is>
          <t>Kommuner</t>
        </is>
      </c>
      <c r="G456" t="n">
        <v>5.6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62681-2021</t>
        </is>
      </c>
      <c r="B457" s="1" t="n">
        <v>44504.28572916667</v>
      </c>
      <c r="C457" s="1" t="n">
        <v>45962</v>
      </c>
      <c r="D457" t="inlineStr">
        <is>
          <t>JÖNKÖPINGS LÄN</t>
        </is>
      </c>
      <c r="E457" t="inlineStr">
        <is>
          <t>VETLANDA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13409-2021</t>
        </is>
      </c>
      <c r="B458" s="1" t="n">
        <v>44273</v>
      </c>
      <c r="C458" s="1" t="n">
        <v>45962</v>
      </c>
      <c r="D458" t="inlineStr">
        <is>
          <t>JÖNKÖPINGS LÄN</t>
        </is>
      </c>
      <c r="E458" t="inlineStr">
        <is>
          <t>VETLANDA</t>
        </is>
      </c>
      <c r="G458" t="n">
        <v>1.1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26872-2021</t>
        </is>
      </c>
      <c r="B459" s="1" t="n">
        <v>44349.61519675926</v>
      </c>
      <c r="C459" s="1" t="n">
        <v>45962</v>
      </c>
      <c r="D459" t="inlineStr">
        <is>
          <t>JÖNKÖPINGS LÄN</t>
        </is>
      </c>
      <c r="E459" t="inlineStr">
        <is>
          <t>SÄVSJÖ</t>
        </is>
      </c>
      <c r="G459" t="n">
        <v>2.5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28947-2021</t>
        </is>
      </c>
      <c r="B460" s="1" t="n">
        <v>44358.3443287037</v>
      </c>
      <c r="C460" s="1" t="n">
        <v>45962</v>
      </c>
      <c r="D460" t="inlineStr">
        <is>
          <t>JÖNKÖPINGS LÄN</t>
        </is>
      </c>
      <c r="E460" t="inlineStr">
        <is>
          <t>EKSJÖ</t>
        </is>
      </c>
      <c r="G460" t="n">
        <v>2.8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28948-2021</t>
        </is>
      </c>
      <c r="B461" s="1" t="n">
        <v>44358.34570601852</v>
      </c>
      <c r="C461" s="1" t="n">
        <v>45962</v>
      </c>
      <c r="D461" t="inlineStr">
        <is>
          <t>JÖNKÖPINGS LÄN</t>
        </is>
      </c>
      <c r="E461" t="inlineStr">
        <is>
          <t>GISLAVED</t>
        </is>
      </c>
      <c r="G461" t="n">
        <v>0.9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62637-2021</t>
        </is>
      </c>
      <c r="B462" s="1" t="n">
        <v>44503.85619212963</v>
      </c>
      <c r="C462" s="1" t="n">
        <v>45962</v>
      </c>
      <c r="D462" t="inlineStr">
        <is>
          <t>JÖNKÖPINGS LÄN</t>
        </is>
      </c>
      <c r="E462" t="inlineStr">
        <is>
          <t>NÄSSJÖ</t>
        </is>
      </c>
      <c r="G462" t="n">
        <v>0.5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13221-2021</t>
        </is>
      </c>
      <c r="B463" s="1" t="n">
        <v>44272.58525462963</v>
      </c>
      <c r="C463" s="1" t="n">
        <v>45962</v>
      </c>
      <c r="D463" t="inlineStr">
        <is>
          <t>JÖNKÖPINGS LÄN</t>
        </is>
      </c>
      <c r="E463" t="inlineStr">
        <is>
          <t>VETLANDA</t>
        </is>
      </c>
      <c r="G463" t="n">
        <v>1.7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60373-2021</t>
        </is>
      </c>
      <c r="B464" s="1" t="n">
        <v>44496.35259259259</v>
      </c>
      <c r="C464" s="1" t="n">
        <v>45962</v>
      </c>
      <c r="D464" t="inlineStr">
        <is>
          <t>JÖNKÖPINGS LÄN</t>
        </is>
      </c>
      <c r="E464" t="inlineStr">
        <is>
          <t>VETLANDA</t>
        </is>
      </c>
      <c r="G464" t="n">
        <v>6.2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29530-2022</t>
        </is>
      </c>
      <c r="B465" s="1" t="n">
        <v>44753</v>
      </c>
      <c r="C465" s="1" t="n">
        <v>45962</v>
      </c>
      <c r="D465" t="inlineStr">
        <is>
          <t>JÖNKÖPINGS LÄN</t>
        </is>
      </c>
      <c r="E465" t="inlineStr">
        <is>
          <t>EKSJÖ</t>
        </is>
      </c>
      <c r="G465" t="n">
        <v>0.6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65585-2021</t>
        </is>
      </c>
      <c r="B466" s="1" t="n">
        <v>44516.49395833333</v>
      </c>
      <c r="C466" s="1" t="n">
        <v>45962</v>
      </c>
      <c r="D466" t="inlineStr">
        <is>
          <t>JÖNKÖPINGS LÄN</t>
        </is>
      </c>
      <c r="E466" t="inlineStr">
        <is>
          <t>EKSJÖ</t>
        </is>
      </c>
      <c r="G466" t="n">
        <v>0.7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19131-2022</t>
        </is>
      </c>
      <c r="B467" s="1" t="n">
        <v>44691</v>
      </c>
      <c r="C467" s="1" t="n">
        <v>45962</v>
      </c>
      <c r="D467" t="inlineStr">
        <is>
          <t>JÖNKÖPINGS LÄN</t>
        </is>
      </c>
      <c r="E467" t="inlineStr">
        <is>
          <t>TRANÅS</t>
        </is>
      </c>
      <c r="G467" t="n">
        <v>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13670-2022</t>
        </is>
      </c>
      <c r="B468" s="1" t="n">
        <v>44648</v>
      </c>
      <c r="C468" s="1" t="n">
        <v>45962</v>
      </c>
      <c r="D468" t="inlineStr">
        <is>
          <t>JÖNKÖPINGS LÄN</t>
        </is>
      </c>
      <c r="E468" t="inlineStr">
        <is>
          <t>GISLAVED</t>
        </is>
      </c>
      <c r="G468" t="n">
        <v>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7725-2022</t>
        </is>
      </c>
      <c r="B469" s="1" t="n">
        <v>44608</v>
      </c>
      <c r="C469" s="1" t="n">
        <v>45962</v>
      </c>
      <c r="D469" t="inlineStr">
        <is>
          <t>JÖNKÖPINGS LÄN</t>
        </is>
      </c>
      <c r="E469" t="inlineStr">
        <is>
          <t>VÄRNAMO</t>
        </is>
      </c>
      <c r="G469" t="n">
        <v>2.7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41129-2021</t>
        </is>
      </c>
      <c r="B470" s="1" t="n">
        <v>44423.73550925926</v>
      </c>
      <c r="C470" s="1" t="n">
        <v>45962</v>
      </c>
      <c r="D470" t="inlineStr">
        <is>
          <t>JÖNKÖPINGS LÄN</t>
        </is>
      </c>
      <c r="E470" t="inlineStr">
        <is>
          <t>GNOSJÖ</t>
        </is>
      </c>
      <c r="G470" t="n">
        <v>1.2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26753-2021</t>
        </is>
      </c>
      <c r="B471" s="1" t="n">
        <v>44349</v>
      </c>
      <c r="C471" s="1" t="n">
        <v>45962</v>
      </c>
      <c r="D471" t="inlineStr">
        <is>
          <t>JÖNKÖPINGS LÄN</t>
        </is>
      </c>
      <c r="E471" t="inlineStr">
        <is>
          <t>JÖNKÖPING</t>
        </is>
      </c>
      <c r="G471" t="n">
        <v>2.1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3399-2022</t>
        </is>
      </c>
      <c r="B472" s="1" t="n">
        <v>44585</v>
      </c>
      <c r="C472" s="1" t="n">
        <v>45962</v>
      </c>
      <c r="D472" t="inlineStr">
        <is>
          <t>JÖNKÖPINGS LÄN</t>
        </is>
      </c>
      <c r="E472" t="inlineStr">
        <is>
          <t>NÄSSJÖ</t>
        </is>
      </c>
      <c r="G472" t="n">
        <v>1.8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57054-2021</t>
        </is>
      </c>
      <c r="B473" s="1" t="n">
        <v>44482</v>
      </c>
      <c r="C473" s="1" t="n">
        <v>45962</v>
      </c>
      <c r="D473" t="inlineStr">
        <is>
          <t>JÖNKÖPINGS LÄN</t>
        </is>
      </c>
      <c r="E473" t="inlineStr">
        <is>
          <t>GNOSJÖ</t>
        </is>
      </c>
      <c r="G473" t="n">
        <v>0.7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7176-2021</t>
        </is>
      </c>
      <c r="B474" s="1" t="n">
        <v>44238</v>
      </c>
      <c r="C474" s="1" t="n">
        <v>45962</v>
      </c>
      <c r="D474" t="inlineStr">
        <is>
          <t>JÖNKÖPINGS LÄN</t>
        </is>
      </c>
      <c r="E474" t="inlineStr">
        <is>
          <t>MULLSJÖ</t>
        </is>
      </c>
      <c r="G474" t="n">
        <v>0.6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2401-2022</t>
        </is>
      </c>
      <c r="B475" s="1" t="n">
        <v>44579</v>
      </c>
      <c r="C475" s="1" t="n">
        <v>45962</v>
      </c>
      <c r="D475" t="inlineStr">
        <is>
          <t>JÖNKÖPINGS LÄN</t>
        </is>
      </c>
      <c r="E475" t="inlineStr">
        <is>
          <t>VETLANDA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5955-2022</t>
        </is>
      </c>
      <c r="B476" s="1" t="n">
        <v>44599</v>
      </c>
      <c r="C476" s="1" t="n">
        <v>45962</v>
      </c>
      <c r="D476" t="inlineStr">
        <is>
          <t>JÖNKÖPINGS LÄN</t>
        </is>
      </c>
      <c r="E476" t="inlineStr">
        <is>
          <t>TRANÅS</t>
        </is>
      </c>
      <c r="G476" t="n">
        <v>0.5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56004-2022</t>
        </is>
      </c>
      <c r="B477" s="1" t="n">
        <v>44889.49348379629</v>
      </c>
      <c r="C477" s="1" t="n">
        <v>45962</v>
      </c>
      <c r="D477" t="inlineStr">
        <is>
          <t>JÖNKÖPINGS LÄN</t>
        </is>
      </c>
      <c r="E477" t="inlineStr">
        <is>
          <t>VETLANDA</t>
        </is>
      </c>
      <c r="G477" t="n">
        <v>0.6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6547-2022</t>
        </is>
      </c>
      <c r="B478" s="1" t="n">
        <v>44601.54201388889</v>
      </c>
      <c r="C478" s="1" t="n">
        <v>45962</v>
      </c>
      <c r="D478" t="inlineStr">
        <is>
          <t>JÖNKÖPINGS LÄN</t>
        </is>
      </c>
      <c r="E478" t="inlineStr">
        <is>
          <t>VETLANDA</t>
        </is>
      </c>
      <c r="G478" t="n">
        <v>0.4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55695-2021</t>
        </is>
      </c>
      <c r="B479" s="1" t="n">
        <v>44475</v>
      </c>
      <c r="C479" s="1" t="n">
        <v>45962</v>
      </c>
      <c r="D479" t="inlineStr">
        <is>
          <t>JÖNKÖPINGS LÄN</t>
        </is>
      </c>
      <c r="E479" t="inlineStr">
        <is>
          <t>VAGGERYD</t>
        </is>
      </c>
      <c r="G479" t="n">
        <v>3.6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40012-2021</t>
        </is>
      </c>
      <c r="B480" s="1" t="n">
        <v>44418.4027199074</v>
      </c>
      <c r="C480" s="1" t="n">
        <v>45962</v>
      </c>
      <c r="D480" t="inlineStr">
        <is>
          <t>JÖNKÖPINGS LÄN</t>
        </is>
      </c>
      <c r="E480" t="inlineStr">
        <is>
          <t>VETLANDA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72138-2021</t>
        </is>
      </c>
      <c r="B481" s="1" t="n">
        <v>44544.60025462963</v>
      </c>
      <c r="C481" s="1" t="n">
        <v>45962</v>
      </c>
      <c r="D481" t="inlineStr">
        <is>
          <t>JÖNKÖPINGS LÄN</t>
        </is>
      </c>
      <c r="E481" t="inlineStr">
        <is>
          <t>VETLANDA</t>
        </is>
      </c>
      <c r="G481" t="n">
        <v>0.5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14972-2021</t>
        </is>
      </c>
      <c r="B482" s="1" t="n">
        <v>44281</v>
      </c>
      <c r="C482" s="1" t="n">
        <v>45962</v>
      </c>
      <c r="D482" t="inlineStr">
        <is>
          <t>JÖNKÖPINGS LÄN</t>
        </is>
      </c>
      <c r="E482" t="inlineStr">
        <is>
          <t>EKSJÖ</t>
        </is>
      </c>
      <c r="G482" t="n">
        <v>1.8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3531-2021</t>
        </is>
      </c>
      <c r="B483" s="1" t="n">
        <v>44218</v>
      </c>
      <c r="C483" s="1" t="n">
        <v>45962</v>
      </c>
      <c r="D483" t="inlineStr">
        <is>
          <t>JÖNKÖPINGS LÄN</t>
        </is>
      </c>
      <c r="E483" t="inlineStr">
        <is>
          <t>VETLANDA</t>
        </is>
      </c>
      <c r="G483" t="n">
        <v>1.3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39836-2021</t>
        </is>
      </c>
      <c r="B484" s="1" t="n">
        <v>44417.62429398148</v>
      </c>
      <c r="C484" s="1" t="n">
        <v>45962</v>
      </c>
      <c r="D484" t="inlineStr">
        <is>
          <t>JÖNKÖPINGS LÄN</t>
        </is>
      </c>
      <c r="E484" t="inlineStr">
        <is>
          <t>GISLAVED</t>
        </is>
      </c>
      <c r="G484" t="n">
        <v>0.6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50541-2022</t>
        </is>
      </c>
      <c r="B485" s="1" t="n">
        <v>44866.60554398148</v>
      </c>
      <c r="C485" s="1" t="n">
        <v>45962</v>
      </c>
      <c r="D485" t="inlineStr">
        <is>
          <t>JÖNKÖPINGS LÄN</t>
        </is>
      </c>
      <c r="E485" t="inlineStr">
        <is>
          <t>GISLAVED</t>
        </is>
      </c>
      <c r="G485" t="n">
        <v>1.2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34405-2022</t>
        </is>
      </c>
      <c r="B486" s="1" t="n">
        <v>44792.53711805555</v>
      </c>
      <c r="C486" s="1" t="n">
        <v>45962</v>
      </c>
      <c r="D486" t="inlineStr">
        <is>
          <t>JÖNKÖPINGS LÄN</t>
        </is>
      </c>
      <c r="E486" t="inlineStr">
        <is>
          <t>JÖNKÖPING</t>
        </is>
      </c>
      <c r="G486" t="n">
        <v>0.5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9407-2021</t>
        </is>
      </c>
      <c r="B487" s="1" t="n">
        <v>44250</v>
      </c>
      <c r="C487" s="1" t="n">
        <v>45962</v>
      </c>
      <c r="D487" t="inlineStr">
        <is>
          <t>JÖNKÖPINGS LÄN</t>
        </is>
      </c>
      <c r="E487" t="inlineStr">
        <is>
          <t>GISLAVED</t>
        </is>
      </c>
      <c r="G487" t="n">
        <v>5.5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12078-2021</t>
        </is>
      </c>
      <c r="B488" s="1" t="n">
        <v>44266.49640046297</v>
      </c>
      <c r="C488" s="1" t="n">
        <v>45962</v>
      </c>
      <c r="D488" t="inlineStr">
        <is>
          <t>JÖNKÖPINGS LÄN</t>
        </is>
      </c>
      <c r="E488" t="inlineStr">
        <is>
          <t>GISLAVED</t>
        </is>
      </c>
      <c r="F488" t="inlineStr">
        <is>
          <t>Sveaskog</t>
        </is>
      </c>
      <c r="G488" t="n">
        <v>1.8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38865-2021</t>
        </is>
      </c>
      <c r="B489" s="1" t="n">
        <v>44411</v>
      </c>
      <c r="C489" s="1" t="n">
        <v>45962</v>
      </c>
      <c r="D489" t="inlineStr">
        <is>
          <t>JÖNKÖPINGS LÄN</t>
        </is>
      </c>
      <c r="E489" t="inlineStr">
        <is>
          <t>JÖNKÖPING</t>
        </is>
      </c>
      <c r="G489" t="n">
        <v>1.5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20686-2021</t>
        </is>
      </c>
      <c r="B490" s="1" t="n">
        <v>44313</v>
      </c>
      <c r="C490" s="1" t="n">
        <v>45962</v>
      </c>
      <c r="D490" t="inlineStr">
        <is>
          <t>JÖNKÖPINGS LÄN</t>
        </is>
      </c>
      <c r="E490" t="inlineStr">
        <is>
          <t>VAGGERYD</t>
        </is>
      </c>
      <c r="G490" t="n">
        <v>0.6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45942-2021</t>
        </is>
      </c>
      <c r="B491" s="1" t="n">
        <v>44441.64387731482</v>
      </c>
      <c r="C491" s="1" t="n">
        <v>45962</v>
      </c>
      <c r="D491" t="inlineStr">
        <is>
          <t>JÖNKÖPINGS LÄN</t>
        </is>
      </c>
      <c r="E491" t="inlineStr">
        <is>
          <t>VETLANDA</t>
        </is>
      </c>
      <c r="G491" t="n">
        <v>0.9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9839-2022</t>
        </is>
      </c>
      <c r="B492" s="1" t="n">
        <v>44620</v>
      </c>
      <c r="C492" s="1" t="n">
        <v>45962</v>
      </c>
      <c r="D492" t="inlineStr">
        <is>
          <t>JÖNKÖPINGS LÄN</t>
        </is>
      </c>
      <c r="E492" t="inlineStr">
        <is>
          <t>EKSJÖ</t>
        </is>
      </c>
      <c r="G492" t="n">
        <v>1.2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25429-2021</t>
        </is>
      </c>
      <c r="B493" s="1" t="n">
        <v>44342.65137731482</v>
      </c>
      <c r="C493" s="1" t="n">
        <v>45962</v>
      </c>
      <c r="D493" t="inlineStr">
        <is>
          <t>JÖNKÖPINGS LÄN</t>
        </is>
      </c>
      <c r="E493" t="inlineStr">
        <is>
          <t>VETLANDA</t>
        </is>
      </c>
      <c r="G493" t="n">
        <v>1.3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10584-2021</t>
        </is>
      </c>
      <c r="B494" s="1" t="n">
        <v>44258</v>
      </c>
      <c r="C494" s="1" t="n">
        <v>45962</v>
      </c>
      <c r="D494" t="inlineStr">
        <is>
          <t>JÖNKÖPINGS LÄN</t>
        </is>
      </c>
      <c r="E494" t="inlineStr">
        <is>
          <t>VÄRNAMO</t>
        </is>
      </c>
      <c r="G494" t="n">
        <v>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65501-2020</t>
        </is>
      </c>
      <c r="B495" s="1" t="n">
        <v>44173</v>
      </c>
      <c r="C495" s="1" t="n">
        <v>45962</v>
      </c>
      <c r="D495" t="inlineStr">
        <is>
          <t>JÖNKÖPINGS LÄN</t>
        </is>
      </c>
      <c r="E495" t="inlineStr">
        <is>
          <t>VETLANDA</t>
        </is>
      </c>
      <c r="F495" t="inlineStr">
        <is>
          <t>Övriga Aktiebolag</t>
        </is>
      </c>
      <c r="G495" t="n">
        <v>1.3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19316-2021</t>
        </is>
      </c>
      <c r="B496" s="1" t="n">
        <v>44309.53456018519</v>
      </c>
      <c r="C496" s="1" t="n">
        <v>45962</v>
      </c>
      <c r="D496" t="inlineStr">
        <is>
          <t>JÖNKÖPINGS LÄN</t>
        </is>
      </c>
      <c r="E496" t="inlineStr">
        <is>
          <t>EKSJÖ</t>
        </is>
      </c>
      <c r="G496" t="n">
        <v>0.8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42935-2021</t>
        </is>
      </c>
      <c r="B497" s="1" t="n">
        <v>44431.3840162037</v>
      </c>
      <c r="C497" s="1" t="n">
        <v>45962</v>
      </c>
      <c r="D497" t="inlineStr">
        <is>
          <t>JÖNKÖPINGS LÄN</t>
        </is>
      </c>
      <c r="E497" t="inlineStr">
        <is>
          <t>EKSJÖ</t>
        </is>
      </c>
      <c r="G497" t="n">
        <v>0.7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42950-2021</t>
        </is>
      </c>
      <c r="B498" s="1" t="n">
        <v>44431.39714120371</v>
      </c>
      <c r="C498" s="1" t="n">
        <v>45962</v>
      </c>
      <c r="D498" t="inlineStr">
        <is>
          <t>JÖNKÖPINGS LÄN</t>
        </is>
      </c>
      <c r="E498" t="inlineStr">
        <is>
          <t>VETLANDA</t>
        </is>
      </c>
      <c r="G498" t="n">
        <v>1.8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25599-2022</t>
        </is>
      </c>
      <c r="B499" s="1" t="n">
        <v>44732</v>
      </c>
      <c r="C499" s="1" t="n">
        <v>45962</v>
      </c>
      <c r="D499" t="inlineStr">
        <is>
          <t>JÖNKÖPINGS LÄN</t>
        </is>
      </c>
      <c r="E499" t="inlineStr">
        <is>
          <t>VETLANDA</t>
        </is>
      </c>
      <c r="G499" t="n">
        <v>2.8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68616-2021</t>
        </is>
      </c>
      <c r="B500" s="1" t="n">
        <v>44529.56993055555</v>
      </c>
      <c r="C500" s="1" t="n">
        <v>45962</v>
      </c>
      <c r="D500" t="inlineStr">
        <is>
          <t>JÖNKÖPINGS LÄN</t>
        </is>
      </c>
      <c r="E500" t="inlineStr">
        <is>
          <t>GISLAVED</t>
        </is>
      </c>
      <c r="G500" t="n">
        <v>0.9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43371-2021</t>
        </is>
      </c>
      <c r="B501" s="1" t="n">
        <v>44432</v>
      </c>
      <c r="C501" s="1" t="n">
        <v>45962</v>
      </c>
      <c r="D501" t="inlineStr">
        <is>
          <t>JÖNKÖPINGS LÄN</t>
        </is>
      </c>
      <c r="E501" t="inlineStr">
        <is>
          <t>NÄSSJÖ</t>
        </is>
      </c>
      <c r="G501" t="n">
        <v>0.3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68331-2021</t>
        </is>
      </c>
      <c r="B502" s="1" t="n">
        <v>44527</v>
      </c>
      <c r="C502" s="1" t="n">
        <v>45962</v>
      </c>
      <c r="D502" t="inlineStr">
        <is>
          <t>JÖNKÖPINGS LÄN</t>
        </is>
      </c>
      <c r="E502" t="inlineStr">
        <is>
          <t>HABO</t>
        </is>
      </c>
      <c r="G502" t="n">
        <v>0.4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53499-2021</t>
        </is>
      </c>
      <c r="B503" s="1" t="n">
        <v>44468.90585648148</v>
      </c>
      <c r="C503" s="1" t="n">
        <v>45962</v>
      </c>
      <c r="D503" t="inlineStr">
        <is>
          <t>JÖNKÖPINGS LÄN</t>
        </is>
      </c>
      <c r="E503" t="inlineStr">
        <is>
          <t>VAGGERYD</t>
        </is>
      </c>
      <c r="F503" t="inlineStr">
        <is>
          <t>Sveaskog</t>
        </is>
      </c>
      <c r="G503" t="n">
        <v>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55888-2021</t>
        </is>
      </c>
      <c r="B504" s="1" t="n">
        <v>44476</v>
      </c>
      <c r="C504" s="1" t="n">
        <v>45962</v>
      </c>
      <c r="D504" t="inlineStr">
        <is>
          <t>JÖNKÖPINGS LÄN</t>
        </is>
      </c>
      <c r="E504" t="inlineStr">
        <is>
          <t>MULLSJÖ</t>
        </is>
      </c>
      <c r="G504" t="n">
        <v>3.3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55897-2021</t>
        </is>
      </c>
      <c r="B505" s="1" t="n">
        <v>44476.84085648148</v>
      </c>
      <c r="C505" s="1" t="n">
        <v>45962</v>
      </c>
      <c r="D505" t="inlineStr">
        <is>
          <t>JÖNKÖPINGS LÄN</t>
        </is>
      </c>
      <c r="E505" t="inlineStr">
        <is>
          <t>MULLSJÖ</t>
        </is>
      </c>
      <c r="G505" t="n">
        <v>4.3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9963-2022</t>
        </is>
      </c>
      <c r="B506" s="1" t="n">
        <v>44621</v>
      </c>
      <c r="C506" s="1" t="n">
        <v>45962</v>
      </c>
      <c r="D506" t="inlineStr">
        <is>
          <t>JÖNKÖPINGS LÄN</t>
        </is>
      </c>
      <c r="E506" t="inlineStr">
        <is>
          <t>VAGGERYD</t>
        </is>
      </c>
      <c r="G506" t="n">
        <v>0.5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49813-2021</t>
        </is>
      </c>
      <c r="B507" s="1" t="n">
        <v>44455.61589120371</v>
      </c>
      <c r="C507" s="1" t="n">
        <v>45962</v>
      </c>
      <c r="D507" t="inlineStr">
        <is>
          <t>JÖNKÖPINGS LÄN</t>
        </is>
      </c>
      <c r="E507" t="inlineStr">
        <is>
          <t>ANEBY</t>
        </is>
      </c>
      <c r="G507" t="n">
        <v>1.3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24817-2021</t>
        </is>
      </c>
      <c r="B508" s="1" t="n">
        <v>44340.69202546297</v>
      </c>
      <c r="C508" s="1" t="n">
        <v>45962</v>
      </c>
      <c r="D508" t="inlineStr">
        <is>
          <t>JÖNKÖPINGS LÄN</t>
        </is>
      </c>
      <c r="E508" t="inlineStr">
        <is>
          <t>MULLSJÖ</t>
        </is>
      </c>
      <c r="G508" t="n">
        <v>0.7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34415-2021</t>
        </is>
      </c>
      <c r="B509" s="1" t="n">
        <v>44380</v>
      </c>
      <c r="C509" s="1" t="n">
        <v>45962</v>
      </c>
      <c r="D509" t="inlineStr">
        <is>
          <t>JÖNKÖPINGS LÄN</t>
        </is>
      </c>
      <c r="E509" t="inlineStr">
        <is>
          <t>NÄSSJÖ</t>
        </is>
      </c>
      <c r="G509" t="n">
        <v>0.7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34416-2021</t>
        </is>
      </c>
      <c r="B510" s="1" t="n">
        <v>44380.30938657407</v>
      </c>
      <c r="C510" s="1" t="n">
        <v>45962</v>
      </c>
      <c r="D510" t="inlineStr">
        <is>
          <t>JÖNKÖPINGS LÄN</t>
        </is>
      </c>
      <c r="E510" t="inlineStr">
        <is>
          <t>NÄSSJÖ</t>
        </is>
      </c>
      <c r="G510" t="n">
        <v>0.5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59035-2021</t>
        </is>
      </c>
      <c r="B511" s="1" t="n">
        <v>44490.35126157408</v>
      </c>
      <c r="C511" s="1" t="n">
        <v>45962</v>
      </c>
      <c r="D511" t="inlineStr">
        <is>
          <t>JÖNKÖPINGS LÄN</t>
        </is>
      </c>
      <c r="E511" t="inlineStr">
        <is>
          <t>VAGGERYD</t>
        </is>
      </c>
      <c r="F511" t="inlineStr">
        <is>
          <t>Sveaskog</t>
        </is>
      </c>
      <c r="G511" t="n">
        <v>1.8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65495-2021</t>
        </is>
      </c>
      <c r="B512" s="1" t="n">
        <v>44516</v>
      </c>
      <c r="C512" s="1" t="n">
        <v>45962</v>
      </c>
      <c r="D512" t="inlineStr">
        <is>
          <t>JÖNKÖPINGS LÄN</t>
        </is>
      </c>
      <c r="E512" t="inlineStr">
        <is>
          <t>MULLSJÖ</t>
        </is>
      </c>
      <c r="F512" t="inlineStr">
        <is>
          <t>Kyrkan</t>
        </is>
      </c>
      <c r="G512" t="n">
        <v>7.3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33971-2022</t>
        </is>
      </c>
      <c r="B513" s="1" t="n">
        <v>44790.7184837963</v>
      </c>
      <c r="C513" s="1" t="n">
        <v>45962</v>
      </c>
      <c r="D513" t="inlineStr">
        <is>
          <t>JÖNKÖPINGS LÄN</t>
        </is>
      </c>
      <c r="E513" t="inlineStr">
        <is>
          <t>EKSJÖ</t>
        </is>
      </c>
      <c r="G513" t="n">
        <v>0.6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65957-2021</t>
        </is>
      </c>
      <c r="B514" s="1" t="n">
        <v>44517</v>
      </c>
      <c r="C514" s="1" t="n">
        <v>45962</v>
      </c>
      <c r="D514" t="inlineStr">
        <is>
          <t>JÖNKÖPINGS LÄN</t>
        </is>
      </c>
      <c r="E514" t="inlineStr">
        <is>
          <t>VETLANDA</t>
        </is>
      </c>
      <c r="G514" t="n">
        <v>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37372-2022</t>
        </is>
      </c>
      <c r="B515" s="1" t="n">
        <v>44809</v>
      </c>
      <c r="C515" s="1" t="n">
        <v>45962</v>
      </c>
      <c r="D515" t="inlineStr">
        <is>
          <t>JÖNKÖPINGS LÄN</t>
        </is>
      </c>
      <c r="E515" t="inlineStr">
        <is>
          <t>JÖNKÖPING</t>
        </is>
      </c>
      <c r="G515" t="n">
        <v>1.4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69566-2020</t>
        </is>
      </c>
      <c r="B516" s="1" t="n">
        <v>44194</v>
      </c>
      <c r="C516" s="1" t="n">
        <v>45962</v>
      </c>
      <c r="D516" t="inlineStr">
        <is>
          <t>JÖNKÖPINGS LÄN</t>
        </is>
      </c>
      <c r="E516" t="inlineStr">
        <is>
          <t>JÖNKÖPING</t>
        </is>
      </c>
      <c r="G516" t="n">
        <v>1.4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361-2021</t>
        </is>
      </c>
      <c r="B517" s="1" t="n">
        <v>44201</v>
      </c>
      <c r="C517" s="1" t="n">
        <v>45962</v>
      </c>
      <c r="D517" t="inlineStr">
        <is>
          <t>JÖNKÖPINGS LÄN</t>
        </is>
      </c>
      <c r="E517" t="inlineStr">
        <is>
          <t>VETLANDA</t>
        </is>
      </c>
      <c r="G517" t="n">
        <v>2.2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43618-2021</t>
        </is>
      </c>
      <c r="B518" s="1" t="n">
        <v>44433.50209490741</v>
      </c>
      <c r="C518" s="1" t="n">
        <v>45962</v>
      </c>
      <c r="D518" t="inlineStr">
        <is>
          <t>JÖNKÖPINGS LÄN</t>
        </is>
      </c>
      <c r="E518" t="inlineStr">
        <is>
          <t>SÄVSJÖ</t>
        </is>
      </c>
      <c r="G518" t="n">
        <v>1.2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44393-2022</t>
        </is>
      </c>
      <c r="B519" s="1" t="n">
        <v>44838</v>
      </c>
      <c r="C519" s="1" t="n">
        <v>45962</v>
      </c>
      <c r="D519" t="inlineStr">
        <is>
          <t>JÖNKÖPINGS LÄN</t>
        </is>
      </c>
      <c r="E519" t="inlineStr">
        <is>
          <t>NÄSSJÖ</t>
        </is>
      </c>
      <c r="G519" t="n">
        <v>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8631-2022</t>
        </is>
      </c>
      <c r="B520" s="1" t="n">
        <v>44613</v>
      </c>
      <c r="C520" s="1" t="n">
        <v>45962</v>
      </c>
      <c r="D520" t="inlineStr">
        <is>
          <t>JÖNKÖPINGS LÄN</t>
        </is>
      </c>
      <c r="E520" t="inlineStr">
        <is>
          <t>TRANÅS</t>
        </is>
      </c>
      <c r="G520" t="n">
        <v>1.5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9071-2022</t>
        </is>
      </c>
      <c r="B521" s="1" t="n">
        <v>44615</v>
      </c>
      <c r="C521" s="1" t="n">
        <v>45962</v>
      </c>
      <c r="D521" t="inlineStr">
        <is>
          <t>JÖNKÖPINGS LÄN</t>
        </is>
      </c>
      <c r="E521" t="inlineStr">
        <is>
          <t>GISLAVED</t>
        </is>
      </c>
      <c r="G521" t="n">
        <v>1.8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42575-2022</t>
        </is>
      </c>
      <c r="B522" s="1" t="n">
        <v>44831.67644675926</v>
      </c>
      <c r="C522" s="1" t="n">
        <v>45962</v>
      </c>
      <c r="D522" t="inlineStr">
        <is>
          <t>JÖNKÖPINGS LÄN</t>
        </is>
      </c>
      <c r="E522" t="inlineStr">
        <is>
          <t>VÄRNAMO</t>
        </is>
      </c>
      <c r="G522" t="n">
        <v>1.5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35960-2022</t>
        </is>
      </c>
      <c r="B523" s="1" t="n">
        <v>44802</v>
      </c>
      <c r="C523" s="1" t="n">
        <v>45962</v>
      </c>
      <c r="D523" t="inlineStr">
        <is>
          <t>JÖNKÖPINGS LÄN</t>
        </is>
      </c>
      <c r="E523" t="inlineStr">
        <is>
          <t>GISLAVED</t>
        </is>
      </c>
      <c r="G523" t="n">
        <v>0.7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4167-2022</t>
        </is>
      </c>
      <c r="B524" s="1" t="n">
        <v>44588</v>
      </c>
      <c r="C524" s="1" t="n">
        <v>45962</v>
      </c>
      <c r="D524" t="inlineStr">
        <is>
          <t>JÖNKÖPINGS LÄN</t>
        </is>
      </c>
      <c r="E524" t="inlineStr">
        <is>
          <t>NÄSSJÖ</t>
        </is>
      </c>
      <c r="G524" t="n">
        <v>0.9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64190-2021</t>
        </is>
      </c>
      <c r="B525" s="1" t="n">
        <v>44510.59653935185</v>
      </c>
      <c r="C525" s="1" t="n">
        <v>45962</v>
      </c>
      <c r="D525" t="inlineStr">
        <is>
          <t>JÖNKÖPINGS LÄN</t>
        </is>
      </c>
      <c r="E525" t="inlineStr">
        <is>
          <t>VETLANDA</t>
        </is>
      </c>
      <c r="G525" t="n">
        <v>0.7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4308-2022</t>
        </is>
      </c>
      <c r="B526" s="1" t="n">
        <v>44588.81457175926</v>
      </c>
      <c r="C526" s="1" t="n">
        <v>45962</v>
      </c>
      <c r="D526" t="inlineStr">
        <is>
          <t>JÖNKÖPINGS LÄN</t>
        </is>
      </c>
      <c r="E526" t="inlineStr">
        <is>
          <t>VAGGERYD</t>
        </is>
      </c>
      <c r="G526" t="n">
        <v>1.7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4688-2021</t>
        </is>
      </c>
      <c r="B527" s="1" t="n">
        <v>44225</v>
      </c>
      <c r="C527" s="1" t="n">
        <v>45962</v>
      </c>
      <c r="D527" t="inlineStr">
        <is>
          <t>JÖNKÖPINGS LÄN</t>
        </is>
      </c>
      <c r="E527" t="inlineStr">
        <is>
          <t>JÖNKÖPING</t>
        </is>
      </c>
      <c r="G527" t="n">
        <v>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53207-2021</t>
        </is>
      </c>
      <c r="B528" s="1" t="n">
        <v>44468.40091435185</v>
      </c>
      <c r="C528" s="1" t="n">
        <v>45962</v>
      </c>
      <c r="D528" t="inlineStr">
        <is>
          <t>JÖNKÖPINGS LÄN</t>
        </is>
      </c>
      <c r="E528" t="inlineStr">
        <is>
          <t>VETLANDA</t>
        </is>
      </c>
      <c r="G528" t="n">
        <v>0.6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46430-2021</t>
        </is>
      </c>
      <c r="B529" s="1" t="n">
        <v>44442</v>
      </c>
      <c r="C529" s="1" t="n">
        <v>45962</v>
      </c>
      <c r="D529" t="inlineStr">
        <is>
          <t>JÖNKÖPINGS LÄN</t>
        </is>
      </c>
      <c r="E529" t="inlineStr">
        <is>
          <t>JÖNKÖPING</t>
        </is>
      </c>
      <c r="G529" t="n">
        <v>1.5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30790-2022</t>
        </is>
      </c>
      <c r="B530" s="1" t="n">
        <v>44764.63974537037</v>
      </c>
      <c r="C530" s="1" t="n">
        <v>45962</v>
      </c>
      <c r="D530" t="inlineStr">
        <is>
          <t>JÖNKÖPINGS LÄN</t>
        </is>
      </c>
      <c r="E530" t="inlineStr">
        <is>
          <t>VETLANDA</t>
        </is>
      </c>
      <c r="G530" t="n">
        <v>0.5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53583-2022</t>
        </is>
      </c>
      <c r="B531" s="1" t="n">
        <v>44879.67621527778</v>
      </c>
      <c r="C531" s="1" t="n">
        <v>45962</v>
      </c>
      <c r="D531" t="inlineStr">
        <is>
          <t>JÖNKÖPINGS LÄN</t>
        </is>
      </c>
      <c r="E531" t="inlineStr">
        <is>
          <t>VÄRNAMO</t>
        </is>
      </c>
      <c r="G531" t="n">
        <v>0.6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34496-2022</t>
        </is>
      </c>
      <c r="B532" s="1" t="n">
        <v>44792</v>
      </c>
      <c r="C532" s="1" t="n">
        <v>45962</v>
      </c>
      <c r="D532" t="inlineStr">
        <is>
          <t>JÖNKÖPINGS LÄN</t>
        </is>
      </c>
      <c r="E532" t="inlineStr">
        <is>
          <t>EKSJÖ</t>
        </is>
      </c>
      <c r="G532" t="n">
        <v>2.6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57614-2021</t>
        </is>
      </c>
      <c r="B533" s="1" t="n">
        <v>44483</v>
      </c>
      <c r="C533" s="1" t="n">
        <v>45962</v>
      </c>
      <c r="D533" t="inlineStr">
        <is>
          <t>JÖNKÖPINGS LÄN</t>
        </is>
      </c>
      <c r="E533" t="inlineStr">
        <is>
          <t>NÄSSJÖ</t>
        </is>
      </c>
      <c r="F533" t="inlineStr">
        <is>
          <t>Kommuner</t>
        </is>
      </c>
      <c r="G533" t="n">
        <v>7.4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35940-2022</t>
        </is>
      </c>
      <c r="B534" s="1" t="n">
        <v>44802</v>
      </c>
      <c r="C534" s="1" t="n">
        <v>45962</v>
      </c>
      <c r="D534" t="inlineStr">
        <is>
          <t>JÖNKÖPINGS LÄN</t>
        </is>
      </c>
      <c r="E534" t="inlineStr">
        <is>
          <t>GISLAVED</t>
        </is>
      </c>
      <c r="G534" t="n">
        <v>0.7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35963-2022</t>
        </is>
      </c>
      <c r="B535" s="1" t="n">
        <v>44802</v>
      </c>
      <c r="C535" s="1" t="n">
        <v>45962</v>
      </c>
      <c r="D535" t="inlineStr">
        <is>
          <t>JÖNKÖPINGS LÄN</t>
        </is>
      </c>
      <c r="E535" t="inlineStr">
        <is>
          <t>GISLAVED</t>
        </is>
      </c>
      <c r="G535" t="n">
        <v>1.2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57136-2021</t>
        </is>
      </c>
      <c r="B536" s="1" t="n">
        <v>44482.68408564815</v>
      </c>
      <c r="C536" s="1" t="n">
        <v>45962</v>
      </c>
      <c r="D536" t="inlineStr">
        <is>
          <t>JÖNKÖPINGS LÄN</t>
        </is>
      </c>
      <c r="E536" t="inlineStr">
        <is>
          <t>EKSJÖ</t>
        </is>
      </c>
      <c r="G536" t="n">
        <v>1.9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64192-2021</t>
        </is>
      </c>
      <c r="B537" s="1" t="n">
        <v>44510.59922453704</v>
      </c>
      <c r="C537" s="1" t="n">
        <v>45962</v>
      </c>
      <c r="D537" t="inlineStr">
        <is>
          <t>JÖNKÖPINGS LÄN</t>
        </is>
      </c>
      <c r="E537" t="inlineStr">
        <is>
          <t>VETLANDA</t>
        </is>
      </c>
      <c r="G537" t="n">
        <v>0.6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50154-2021</t>
        </is>
      </c>
      <c r="B538" s="1" t="n">
        <v>44456</v>
      </c>
      <c r="C538" s="1" t="n">
        <v>45962</v>
      </c>
      <c r="D538" t="inlineStr">
        <is>
          <t>JÖNKÖPINGS LÄN</t>
        </is>
      </c>
      <c r="E538" t="inlineStr">
        <is>
          <t>GNOSJÖ</t>
        </is>
      </c>
      <c r="G538" t="n">
        <v>1.5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19654-2021</t>
        </is>
      </c>
      <c r="B539" s="1" t="n">
        <v>44312</v>
      </c>
      <c r="C539" s="1" t="n">
        <v>45962</v>
      </c>
      <c r="D539" t="inlineStr">
        <is>
          <t>JÖNKÖPINGS LÄN</t>
        </is>
      </c>
      <c r="E539" t="inlineStr">
        <is>
          <t>GNOSJÖ</t>
        </is>
      </c>
      <c r="G539" t="n">
        <v>2.9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21290-2021</t>
        </is>
      </c>
      <c r="B540" s="1" t="n">
        <v>44320.64670138889</v>
      </c>
      <c r="C540" s="1" t="n">
        <v>45962</v>
      </c>
      <c r="D540" t="inlineStr">
        <is>
          <t>JÖNKÖPINGS LÄN</t>
        </is>
      </c>
      <c r="E540" t="inlineStr">
        <is>
          <t>VETLANDA</t>
        </is>
      </c>
      <c r="G540" t="n">
        <v>5.6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62740-2021</t>
        </is>
      </c>
      <c r="B541" s="1" t="n">
        <v>44503</v>
      </c>
      <c r="C541" s="1" t="n">
        <v>45962</v>
      </c>
      <c r="D541" t="inlineStr">
        <is>
          <t>JÖNKÖPINGS LÄN</t>
        </is>
      </c>
      <c r="E541" t="inlineStr">
        <is>
          <t>VETLANDA</t>
        </is>
      </c>
      <c r="G541" t="n">
        <v>2.8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47073-2022</t>
        </is>
      </c>
      <c r="B542" s="1" t="n">
        <v>44852.43765046296</v>
      </c>
      <c r="C542" s="1" t="n">
        <v>45962</v>
      </c>
      <c r="D542" t="inlineStr">
        <is>
          <t>JÖNKÖPINGS LÄN</t>
        </is>
      </c>
      <c r="E542" t="inlineStr">
        <is>
          <t>VÄRNAMO</t>
        </is>
      </c>
      <c r="G542" t="n">
        <v>0.8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37323-2022</t>
        </is>
      </c>
      <c r="B543" s="1" t="n">
        <v>44809.32931712963</v>
      </c>
      <c r="C543" s="1" t="n">
        <v>45962</v>
      </c>
      <c r="D543" t="inlineStr">
        <is>
          <t>JÖNKÖPINGS LÄN</t>
        </is>
      </c>
      <c r="E543" t="inlineStr">
        <is>
          <t>SÄVSJÖ</t>
        </is>
      </c>
      <c r="G543" t="n">
        <v>0.7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28312-2021</t>
        </is>
      </c>
      <c r="B544" s="1" t="n">
        <v>44356</v>
      </c>
      <c r="C544" s="1" t="n">
        <v>45962</v>
      </c>
      <c r="D544" t="inlineStr">
        <is>
          <t>JÖNKÖPINGS LÄN</t>
        </is>
      </c>
      <c r="E544" t="inlineStr">
        <is>
          <t>TRANÅS</t>
        </is>
      </c>
      <c r="G544" t="n">
        <v>0.5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25835-2021</t>
        </is>
      </c>
      <c r="B545" s="1" t="n">
        <v>44343</v>
      </c>
      <c r="C545" s="1" t="n">
        <v>45962</v>
      </c>
      <c r="D545" t="inlineStr">
        <is>
          <t>JÖNKÖPINGS LÄN</t>
        </is>
      </c>
      <c r="E545" t="inlineStr">
        <is>
          <t>VETLANDA</t>
        </is>
      </c>
      <c r="G545" t="n">
        <v>2.7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50690-2021</t>
        </is>
      </c>
      <c r="B546" s="1" t="n">
        <v>44459</v>
      </c>
      <c r="C546" s="1" t="n">
        <v>45962</v>
      </c>
      <c r="D546" t="inlineStr">
        <is>
          <t>JÖNKÖPINGS LÄN</t>
        </is>
      </c>
      <c r="E546" t="inlineStr">
        <is>
          <t>VETLANDA</t>
        </is>
      </c>
      <c r="G546" t="n">
        <v>5.5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2155-2022</t>
        </is>
      </c>
      <c r="B547" s="1" t="n">
        <v>44578.43284722222</v>
      </c>
      <c r="C547" s="1" t="n">
        <v>45962</v>
      </c>
      <c r="D547" t="inlineStr">
        <is>
          <t>JÖNKÖPINGS LÄN</t>
        </is>
      </c>
      <c r="E547" t="inlineStr">
        <is>
          <t>GISLAVED</t>
        </is>
      </c>
      <c r="G547" t="n">
        <v>0.6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49577-2021</t>
        </is>
      </c>
      <c r="B548" s="1" t="n">
        <v>44455.3859375</v>
      </c>
      <c r="C548" s="1" t="n">
        <v>45962</v>
      </c>
      <c r="D548" t="inlineStr">
        <is>
          <t>JÖNKÖPINGS LÄN</t>
        </is>
      </c>
      <c r="E548" t="inlineStr">
        <is>
          <t>HABO</t>
        </is>
      </c>
      <c r="G548" t="n">
        <v>1.4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44851-2021</t>
        </is>
      </c>
      <c r="B549" s="1" t="n">
        <v>44438</v>
      </c>
      <c r="C549" s="1" t="n">
        <v>45962</v>
      </c>
      <c r="D549" t="inlineStr">
        <is>
          <t>JÖNKÖPINGS LÄN</t>
        </is>
      </c>
      <c r="E549" t="inlineStr">
        <is>
          <t>VÄRNAMO</t>
        </is>
      </c>
      <c r="G549" t="n">
        <v>2.3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39736-2022</t>
        </is>
      </c>
      <c r="B550" s="1" t="n">
        <v>44819.35295138889</v>
      </c>
      <c r="C550" s="1" t="n">
        <v>45962</v>
      </c>
      <c r="D550" t="inlineStr">
        <is>
          <t>JÖNKÖPINGS LÄN</t>
        </is>
      </c>
      <c r="E550" t="inlineStr">
        <is>
          <t>VETLANDA</t>
        </is>
      </c>
      <c r="G550" t="n">
        <v>0.8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39765-2022</t>
        </is>
      </c>
      <c r="B551" s="1" t="n">
        <v>44819.44469907408</v>
      </c>
      <c r="C551" s="1" t="n">
        <v>45962</v>
      </c>
      <c r="D551" t="inlineStr">
        <is>
          <t>JÖNKÖPINGS LÄN</t>
        </is>
      </c>
      <c r="E551" t="inlineStr">
        <is>
          <t>VAGGERYD</t>
        </is>
      </c>
      <c r="G551" t="n">
        <v>0.8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58006-2021</t>
        </is>
      </c>
      <c r="B552" s="1" t="n">
        <v>44487</v>
      </c>
      <c r="C552" s="1" t="n">
        <v>45962</v>
      </c>
      <c r="D552" t="inlineStr">
        <is>
          <t>JÖNKÖPINGS LÄN</t>
        </is>
      </c>
      <c r="E552" t="inlineStr">
        <is>
          <t>JÖNKÖPING</t>
        </is>
      </c>
      <c r="G552" t="n">
        <v>0.3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58079-2021</t>
        </is>
      </c>
      <c r="B553" s="1" t="n">
        <v>44487.49392361111</v>
      </c>
      <c r="C553" s="1" t="n">
        <v>45962</v>
      </c>
      <c r="D553" t="inlineStr">
        <is>
          <t>JÖNKÖPINGS LÄN</t>
        </is>
      </c>
      <c r="E553" t="inlineStr">
        <is>
          <t>JÖNKÖPING</t>
        </is>
      </c>
      <c r="G553" t="n">
        <v>0.4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36329-2021</t>
        </is>
      </c>
      <c r="B554" s="1" t="n">
        <v>44390.47409722222</v>
      </c>
      <c r="C554" s="1" t="n">
        <v>45962</v>
      </c>
      <c r="D554" t="inlineStr">
        <is>
          <t>JÖNKÖPINGS LÄN</t>
        </is>
      </c>
      <c r="E554" t="inlineStr">
        <is>
          <t>VETLANDA</t>
        </is>
      </c>
      <c r="G554" t="n">
        <v>0.9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36334-2021</t>
        </is>
      </c>
      <c r="B555" s="1" t="n">
        <v>44390.49347222222</v>
      </c>
      <c r="C555" s="1" t="n">
        <v>45962</v>
      </c>
      <c r="D555" t="inlineStr">
        <is>
          <t>JÖNKÖPINGS LÄN</t>
        </is>
      </c>
      <c r="E555" t="inlineStr">
        <is>
          <t>VETLANDA</t>
        </is>
      </c>
      <c r="G555" t="n">
        <v>2.3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24105-2021</t>
        </is>
      </c>
      <c r="B556" s="1" t="n">
        <v>44336.46193287037</v>
      </c>
      <c r="C556" s="1" t="n">
        <v>45962</v>
      </c>
      <c r="D556" t="inlineStr">
        <is>
          <t>JÖNKÖPINGS LÄN</t>
        </is>
      </c>
      <c r="E556" t="inlineStr">
        <is>
          <t>GNOSJÖ</t>
        </is>
      </c>
      <c r="G556" t="n">
        <v>1.5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4643-2022</t>
        </is>
      </c>
      <c r="B557" s="1" t="n">
        <v>44592</v>
      </c>
      <c r="C557" s="1" t="n">
        <v>45962</v>
      </c>
      <c r="D557" t="inlineStr">
        <is>
          <t>JÖNKÖPINGS LÄN</t>
        </is>
      </c>
      <c r="E557" t="inlineStr">
        <is>
          <t>VETLANDA</t>
        </is>
      </c>
      <c r="G557" t="n">
        <v>0.6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27392-2021</t>
        </is>
      </c>
      <c r="B558" s="1" t="n">
        <v>44351</v>
      </c>
      <c r="C558" s="1" t="n">
        <v>45962</v>
      </c>
      <c r="D558" t="inlineStr">
        <is>
          <t>JÖNKÖPINGS LÄN</t>
        </is>
      </c>
      <c r="E558" t="inlineStr">
        <is>
          <t>SÄVSJÖ</t>
        </is>
      </c>
      <c r="G558" t="n">
        <v>0.8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59018-2021</t>
        </is>
      </c>
      <c r="B559" s="1" t="n">
        <v>44490.33898148148</v>
      </c>
      <c r="C559" s="1" t="n">
        <v>45962</v>
      </c>
      <c r="D559" t="inlineStr">
        <is>
          <t>JÖNKÖPINGS LÄN</t>
        </is>
      </c>
      <c r="E559" t="inlineStr">
        <is>
          <t>VAGGERYD</t>
        </is>
      </c>
      <c r="F559" t="inlineStr">
        <is>
          <t>Sveaskog</t>
        </is>
      </c>
      <c r="G559" t="n">
        <v>1.5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59028-2021</t>
        </is>
      </c>
      <c r="B560" s="1" t="n">
        <v>44490.34688657407</v>
      </c>
      <c r="C560" s="1" t="n">
        <v>45962</v>
      </c>
      <c r="D560" t="inlineStr">
        <is>
          <t>JÖNKÖPINGS LÄN</t>
        </is>
      </c>
      <c r="E560" t="inlineStr">
        <is>
          <t>VAGGERYD</t>
        </is>
      </c>
      <c r="F560" t="inlineStr">
        <is>
          <t>Sveaskog</t>
        </is>
      </c>
      <c r="G560" t="n">
        <v>1.2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59033-2021</t>
        </is>
      </c>
      <c r="B561" s="1" t="n">
        <v>44490</v>
      </c>
      <c r="C561" s="1" t="n">
        <v>45962</v>
      </c>
      <c r="D561" t="inlineStr">
        <is>
          <t>JÖNKÖPINGS LÄN</t>
        </is>
      </c>
      <c r="E561" t="inlineStr">
        <is>
          <t>VAGGERYD</t>
        </is>
      </c>
      <c r="F561" t="inlineStr">
        <is>
          <t>Sveaskog</t>
        </is>
      </c>
      <c r="G561" t="n">
        <v>1.4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65493-2021</t>
        </is>
      </c>
      <c r="B562" s="1" t="n">
        <v>44516</v>
      </c>
      <c r="C562" s="1" t="n">
        <v>45962</v>
      </c>
      <c r="D562" t="inlineStr">
        <is>
          <t>JÖNKÖPINGS LÄN</t>
        </is>
      </c>
      <c r="E562" t="inlineStr">
        <is>
          <t>MULLSJÖ</t>
        </is>
      </c>
      <c r="F562" t="inlineStr">
        <is>
          <t>Kyrkan</t>
        </is>
      </c>
      <c r="G562" t="n">
        <v>0.8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36587-2021</t>
        </is>
      </c>
      <c r="B563" s="1" t="n">
        <v>44391.61811342592</v>
      </c>
      <c r="C563" s="1" t="n">
        <v>45962</v>
      </c>
      <c r="D563" t="inlineStr">
        <is>
          <t>JÖNKÖPINGS LÄN</t>
        </is>
      </c>
      <c r="E563" t="inlineStr">
        <is>
          <t>NÄSSJÖ</t>
        </is>
      </c>
      <c r="G563" t="n">
        <v>5.3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36599-2021</t>
        </is>
      </c>
      <c r="B564" s="1" t="n">
        <v>44391</v>
      </c>
      <c r="C564" s="1" t="n">
        <v>45962</v>
      </c>
      <c r="D564" t="inlineStr">
        <is>
          <t>JÖNKÖPINGS LÄN</t>
        </is>
      </c>
      <c r="E564" t="inlineStr">
        <is>
          <t>EKSJÖ</t>
        </is>
      </c>
      <c r="G564" t="n">
        <v>0.8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27581-2021</t>
        </is>
      </c>
      <c r="B565" s="1" t="n">
        <v>44353.85783564814</v>
      </c>
      <c r="C565" s="1" t="n">
        <v>45962</v>
      </c>
      <c r="D565" t="inlineStr">
        <is>
          <t>JÖNKÖPINGS LÄN</t>
        </is>
      </c>
      <c r="E565" t="inlineStr">
        <is>
          <t>GISLAVED</t>
        </is>
      </c>
      <c r="G565" t="n">
        <v>2.8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67951-2021</t>
        </is>
      </c>
      <c r="B566" s="1" t="n">
        <v>44525.63767361111</v>
      </c>
      <c r="C566" s="1" t="n">
        <v>45962</v>
      </c>
      <c r="D566" t="inlineStr">
        <is>
          <t>JÖNKÖPINGS LÄN</t>
        </is>
      </c>
      <c r="E566" t="inlineStr">
        <is>
          <t>EKSJÖ</t>
        </is>
      </c>
      <c r="G566" t="n">
        <v>0.6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56500-2021</t>
        </is>
      </c>
      <c r="B567" s="1" t="n">
        <v>44480.57546296297</v>
      </c>
      <c r="C567" s="1" t="n">
        <v>45962</v>
      </c>
      <c r="D567" t="inlineStr">
        <is>
          <t>JÖNKÖPINGS LÄN</t>
        </is>
      </c>
      <c r="E567" t="inlineStr">
        <is>
          <t>VÄRNAMO</t>
        </is>
      </c>
      <c r="G567" t="n">
        <v>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63448-2021</t>
        </is>
      </c>
      <c r="B568" s="1" t="n">
        <v>44507</v>
      </c>
      <c r="C568" s="1" t="n">
        <v>45962</v>
      </c>
      <c r="D568" t="inlineStr">
        <is>
          <t>JÖNKÖPINGS LÄN</t>
        </is>
      </c>
      <c r="E568" t="inlineStr">
        <is>
          <t>GISLAVED</t>
        </is>
      </c>
      <c r="G568" t="n">
        <v>1.5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70353-2021</t>
        </is>
      </c>
      <c r="B569" s="1" t="n">
        <v>44533</v>
      </c>
      <c r="C569" s="1" t="n">
        <v>45962</v>
      </c>
      <c r="D569" t="inlineStr">
        <is>
          <t>JÖNKÖPINGS LÄN</t>
        </is>
      </c>
      <c r="E569" t="inlineStr">
        <is>
          <t>ANEBY</t>
        </is>
      </c>
      <c r="G569" t="n">
        <v>1.1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39339-2022</t>
        </is>
      </c>
      <c r="B570" s="1" t="n">
        <v>44817.72686342592</v>
      </c>
      <c r="C570" s="1" t="n">
        <v>45962</v>
      </c>
      <c r="D570" t="inlineStr">
        <is>
          <t>JÖNKÖPINGS LÄN</t>
        </is>
      </c>
      <c r="E570" t="inlineStr">
        <is>
          <t>GISLAVED</t>
        </is>
      </c>
      <c r="G570" t="n">
        <v>0.4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39354-2022</t>
        </is>
      </c>
      <c r="B571" s="1" t="n">
        <v>44817</v>
      </c>
      <c r="C571" s="1" t="n">
        <v>45962</v>
      </c>
      <c r="D571" t="inlineStr">
        <is>
          <t>JÖNKÖPINGS LÄN</t>
        </is>
      </c>
      <c r="E571" t="inlineStr">
        <is>
          <t>MULLSJÖ</t>
        </is>
      </c>
      <c r="G571" t="n">
        <v>0.4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28758-2022</t>
        </is>
      </c>
      <c r="B572" s="1" t="n">
        <v>44749.32716435185</v>
      </c>
      <c r="C572" s="1" t="n">
        <v>45962</v>
      </c>
      <c r="D572" t="inlineStr">
        <is>
          <t>JÖNKÖPINGS LÄN</t>
        </is>
      </c>
      <c r="E572" t="inlineStr">
        <is>
          <t>JÖNKÖPING</t>
        </is>
      </c>
      <c r="G572" t="n">
        <v>0.6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72791-2021</t>
        </is>
      </c>
      <c r="B573" s="1" t="n">
        <v>44547.36016203704</v>
      </c>
      <c r="C573" s="1" t="n">
        <v>45962</v>
      </c>
      <c r="D573" t="inlineStr">
        <is>
          <t>JÖNKÖPINGS LÄN</t>
        </is>
      </c>
      <c r="E573" t="inlineStr">
        <is>
          <t>GISLAVED</t>
        </is>
      </c>
      <c r="G573" t="n">
        <v>3.5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41605-2022</t>
        </is>
      </c>
      <c r="B574" s="1" t="n">
        <v>44825</v>
      </c>
      <c r="C574" s="1" t="n">
        <v>45962</v>
      </c>
      <c r="D574" t="inlineStr">
        <is>
          <t>JÖNKÖPINGS LÄN</t>
        </is>
      </c>
      <c r="E574" t="inlineStr">
        <is>
          <t>VETLANDA</t>
        </is>
      </c>
      <c r="G574" t="n">
        <v>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29415-2022</t>
        </is>
      </c>
      <c r="B575" s="1" t="n">
        <v>44750</v>
      </c>
      <c r="C575" s="1" t="n">
        <v>45962</v>
      </c>
      <c r="D575" t="inlineStr">
        <is>
          <t>JÖNKÖPINGS LÄN</t>
        </is>
      </c>
      <c r="E575" t="inlineStr">
        <is>
          <t>VETLANDA</t>
        </is>
      </c>
      <c r="G575" t="n">
        <v>2.3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67328-2021</t>
        </is>
      </c>
      <c r="B576" s="1" t="n">
        <v>44523</v>
      </c>
      <c r="C576" s="1" t="n">
        <v>45962</v>
      </c>
      <c r="D576" t="inlineStr">
        <is>
          <t>JÖNKÖPINGS LÄN</t>
        </is>
      </c>
      <c r="E576" t="inlineStr">
        <is>
          <t>VÄRNAMO</t>
        </is>
      </c>
      <c r="G576" t="n">
        <v>4.1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32523-2021</t>
        </is>
      </c>
      <c r="B577" s="1" t="n">
        <v>44374.81724537037</v>
      </c>
      <c r="C577" s="1" t="n">
        <v>45962</v>
      </c>
      <c r="D577" t="inlineStr">
        <is>
          <t>JÖNKÖPINGS LÄN</t>
        </is>
      </c>
      <c r="E577" t="inlineStr">
        <is>
          <t>SÄVSJÖ</t>
        </is>
      </c>
      <c r="G577" t="n">
        <v>2.2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69843-2021</t>
        </is>
      </c>
      <c r="B578" s="1" t="n">
        <v>44532.66270833334</v>
      </c>
      <c r="C578" s="1" t="n">
        <v>45962</v>
      </c>
      <c r="D578" t="inlineStr">
        <is>
          <t>JÖNKÖPINGS LÄN</t>
        </is>
      </c>
      <c r="E578" t="inlineStr">
        <is>
          <t>ANEBY</t>
        </is>
      </c>
      <c r="G578" t="n">
        <v>0.4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42039-2022</t>
        </is>
      </c>
      <c r="B579" s="1" t="n">
        <v>44827</v>
      </c>
      <c r="C579" s="1" t="n">
        <v>45962</v>
      </c>
      <c r="D579" t="inlineStr">
        <is>
          <t>JÖNKÖPINGS LÄN</t>
        </is>
      </c>
      <c r="E579" t="inlineStr">
        <is>
          <t>NÄSSJÖ</t>
        </is>
      </c>
      <c r="G579" t="n">
        <v>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45283-2021</t>
        </is>
      </c>
      <c r="B580" s="1" t="n">
        <v>44439.65362268518</v>
      </c>
      <c r="C580" s="1" t="n">
        <v>45962</v>
      </c>
      <c r="D580" t="inlineStr">
        <is>
          <t>JÖNKÖPINGS LÄN</t>
        </is>
      </c>
      <c r="E580" t="inlineStr">
        <is>
          <t>ANEBY</t>
        </is>
      </c>
      <c r="G580" t="n">
        <v>0.8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53329-2022</t>
        </is>
      </c>
      <c r="B581" s="1" t="n">
        <v>44879.30196759259</v>
      </c>
      <c r="C581" s="1" t="n">
        <v>45962</v>
      </c>
      <c r="D581" t="inlineStr">
        <is>
          <t>JÖNKÖPINGS LÄN</t>
        </is>
      </c>
      <c r="E581" t="inlineStr">
        <is>
          <t>TRANÅS</t>
        </is>
      </c>
      <c r="G581" t="n">
        <v>0.6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1391-2022</t>
        </is>
      </c>
      <c r="B582" s="1" t="n">
        <v>44573.39283564815</v>
      </c>
      <c r="C582" s="1" t="n">
        <v>45962</v>
      </c>
      <c r="D582" t="inlineStr">
        <is>
          <t>JÖNKÖPINGS LÄN</t>
        </is>
      </c>
      <c r="E582" t="inlineStr">
        <is>
          <t>SÄVSJÖ</t>
        </is>
      </c>
      <c r="G582" t="n">
        <v>0.5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1485-2022</t>
        </is>
      </c>
      <c r="B583" s="1" t="n">
        <v>44573</v>
      </c>
      <c r="C583" s="1" t="n">
        <v>45962</v>
      </c>
      <c r="D583" t="inlineStr">
        <is>
          <t>JÖNKÖPINGS LÄN</t>
        </is>
      </c>
      <c r="E583" t="inlineStr">
        <is>
          <t>NÄSSJÖ</t>
        </is>
      </c>
      <c r="G583" t="n">
        <v>1.1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7115-2022</t>
        </is>
      </c>
      <c r="B584" s="1" t="n">
        <v>44603.64659722222</v>
      </c>
      <c r="C584" s="1" t="n">
        <v>45962</v>
      </c>
      <c r="D584" t="inlineStr">
        <is>
          <t>JÖNKÖPINGS LÄN</t>
        </is>
      </c>
      <c r="E584" t="inlineStr">
        <is>
          <t>SÄVSJÖ</t>
        </is>
      </c>
      <c r="G584" t="n">
        <v>1.3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52062-2022</t>
        </is>
      </c>
      <c r="B585" s="1" t="n">
        <v>44873</v>
      </c>
      <c r="C585" s="1" t="n">
        <v>45962</v>
      </c>
      <c r="D585" t="inlineStr">
        <is>
          <t>JÖNKÖPINGS LÄN</t>
        </is>
      </c>
      <c r="E585" t="inlineStr">
        <is>
          <t>MULLSJÖ</t>
        </is>
      </c>
      <c r="G585" t="n">
        <v>0.1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65015-2020</t>
        </is>
      </c>
      <c r="B586" s="1" t="n">
        <v>44172</v>
      </c>
      <c r="C586" s="1" t="n">
        <v>45962</v>
      </c>
      <c r="D586" t="inlineStr">
        <is>
          <t>JÖNKÖPINGS LÄN</t>
        </is>
      </c>
      <c r="E586" t="inlineStr">
        <is>
          <t>VÄRNAMO</t>
        </is>
      </c>
      <c r="G586" t="n">
        <v>0.5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66213-2020</t>
        </is>
      </c>
      <c r="B587" s="1" t="n">
        <v>44175</v>
      </c>
      <c r="C587" s="1" t="n">
        <v>45962</v>
      </c>
      <c r="D587" t="inlineStr">
        <is>
          <t>JÖNKÖPINGS LÄN</t>
        </is>
      </c>
      <c r="E587" t="inlineStr">
        <is>
          <t>SÄVSJÖ</t>
        </is>
      </c>
      <c r="G587" t="n">
        <v>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38081-2021</t>
        </is>
      </c>
      <c r="B588" s="1" t="n">
        <v>44404.84138888889</v>
      </c>
      <c r="C588" s="1" t="n">
        <v>45962</v>
      </c>
      <c r="D588" t="inlineStr">
        <is>
          <t>JÖNKÖPINGS LÄN</t>
        </is>
      </c>
      <c r="E588" t="inlineStr">
        <is>
          <t>JÖNKÖPING</t>
        </is>
      </c>
      <c r="G588" t="n">
        <v>0.7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19077-2022</t>
        </is>
      </c>
      <c r="B589" s="1" t="n">
        <v>44691</v>
      </c>
      <c r="C589" s="1" t="n">
        <v>45962</v>
      </c>
      <c r="D589" t="inlineStr">
        <is>
          <t>JÖNKÖPINGS LÄN</t>
        </is>
      </c>
      <c r="E589" t="inlineStr">
        <is>
          <t>NÄSSJÖ</t>
        </is>
      </c>
      <c r="G589" t="n">
        <v>0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38189-2021</t>
        </is>
      </c>
      <c r="B590" s="1" t="n">
        <v>44405</v>
      </c>
      <c r="C590" s="1" t="n">
        <v>45962</v>
      </c>
      <c r="D590" t="inlineStr">
        <is>
          <t>JÖNKÖPINGS LÄN</t>
        </is>
      </c>
      <c r="E590" t="inlineStr">
        <is>
          <t>SÄVSJÖ</t>
        </is>
      </c>
      <c r="G590" t="n">
        <v>0.4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12167-2021</t>
        </is>
      </c>
      <c r="B591" s="1" t="n">
        <v>44266</v>
      </c>
      <c r="C591" s="1" t="n">
        <v>45962</v>
      </c>
      <c r="D591" t="inlineStr">
        <is>
          <t>JÖNKÖPINGS LÄN</t>
        </is>
      </c>
      <c r="E591" t="inlineStr">
        <is>
          <t>JÖNKÖPING</t>
        </is>
      </c>
      <c r="G591" t="n">
        <v>2.9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55069-2021</t>
        </is>
      </c>
      <c r="B592" s="1" t="n">
        <v>44474.63831018518</v>
      </c>
      <c r="C592" s="1" t="n">
        <v>45962</v>
      </c>
      <c r="D592" t="inlineStr">
        <is>
          <t>JÖNKÖPINGS LÄN</t>
        </is>
      </c>
      <c r="E592" t="inlineStr">
        <is>
          <t>GNOSJÖ</t>
        </is>
      </c>
      <c r="G592" t="n">
        <v>0.7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19114-2022</t>
        </is>
      </c>
      <c r="B593" s="1" t="n">
        <v>44691</v>
      </c>
      <c r="C593" s="1" t="n">
        <v>45962</v>
      </c>
      <c r="D593" t="inlineStr">
        <is>
          <t>JÖNKÖPINGS LÄN</t>
        </is>
      </c>
      <c r="E593" t="inlineStr">
        <is>
          <t>GISLAVED</t>
        </is>
      </c>
      <c r="G593" t="n">
        <v>0.6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31112-2022</t>
        </is>
      </c>
      <c r="B594" s="1" t="n">
        <v>44769</v>
      </c>
      <c r="C594" s="1" t="n">
        <v>45962</v>
      </c>
      <c r="D594" t="inlineStr">
        <is>
          <t>JÖNKÖPINGS LÄN</t>
        </is>
      </c>
      <c r="E594" t="inlineStr">
        <is>
          <t>HABO</t>
        </is>
      </c>
      <c r="F594" t="inlineStr">
        <is>
          <t>Kyrkan</t>
        </is>
      </c>
      <c r="G594" t="n">
        <v>4.3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31202-2022</t>
        </is>
      </c>
      <c r="B595" s="1" t="n">
        <v>44770</v>
      </c>
      <c r="C595" s="1" t="n">
        <v>45962</v>
      </c>
      <c r="D595" t="inlineStr">
        <is>
          <t>JÖNKÖPINGS LÄN</t>
        </is>
      </c>
      <c r="E595" t="inlineStr">
        <is>
          <t>VÄRNAMO</t>
        </is>
      </c>
      <c r="F595" t="inlineStr">
        <is>
          <t>Kommuner</t>
        </is>
      </c>
      <c r="G595" t="n">
        <v>3.4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1546-2021</t>
        </is>
      </c>
      <c r="B596" s="1" t="n">
        <v>44209</v>
      </c>
      <c r="C596" s="1" t="n">
        <v>45962</v>
      </c>
      <c r="D596" t="inlineStr">
        <is>
          <t>JÖNKÖPINGS LÄN</t>
        </is>
      </c>
      <c r="E596" t="inlineStr">
        <is>
          <t>VAGGERYD</t>
        </is>
      </c>
      <c r="G596" t="n">
        <v>0.2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3418-2022</t>
        </is>
      </c>
      <c r="B597" s="1" t="n">
        <v>44585.49423611111</v>
      </c>
      <c r="C597" s="1" t="n">
        <v>45962</v>
      </c>
      <c r="D597" t="inlineStr">
        <is>
          <t>JÖNKÖPINGS LÄN</t>
        </is>
      </c>
      <c r="E597" t="inlineStr">
        <is>
          <t>GNOSJÖ</t>
        </is>
      </c>
      <c r="F597" t="inlineStr">
        <is>
          <t>Sveaskog</t>
        </is>
      </c>
      <c r="G597" t="n">
        <v>1.4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50444-2022</t>
        </is>
      </c>
      <c r="B598" s="1" t="n">
        <v>44866.47050925926</v>
      </c>
      <c r="C598" s="1" t="n">
        <v>45962</v>
      </c>
      <c r="D598" t="inlineStr">
        <is>
          <t>JÖNKÖPINGS LÄN</t>
        </is>
      </c>
      <c r="E598" t="inlineStr">
        <is>
          <t>GNOSJÖ</t>
        </is>
      </c>
      <c r="G598" t="n">
        <v>0.6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40176-2021</t>
        </is>
      </c>
      <c r="B599" s="1" t="n">
        <v>44418.68799768519</v>
      </c>
      <c r="C599" s="1" t="n">
        <v>45962</v>
      </c>
      <c r="D599" t="inlineStr">
        <is>
          <t>JÖNKÖPINGS LÄN</t>
        </is>
      </c>
      <c r="E599" t="inlineStr">
        <is>
          <t>VETLANDA</t>
        </is>
      </c>
      <c r="G599" t="n">
        <v>2.2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20156-2021</t>
        </is>
      </c>
      <c r="B600" s="1" t="n">
        <v>44314.52516203704</v>
      </c>
      <c r="C600" s="1" t="n">
        <v>45962</v>
      </c>
      <c r="D600" t="inlineStr">
        <is>
          <t>JÖNKÖPINGS LÄN</t>
        </is>
      </c>
      <c r="E600" t="inlineStr">
        <is>
          <t>VAGGERYD</t>
        </is>
      </c>
      <c r="G600" t="n">
        <v>12.2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40715-2021</t>
        </is>
      </c>
      <c r="B601" s="1" t="n">
        <v>44420.64608796296</v>
      </c>
      <c r="C601" s="1" t="n">
        <v>45962</v>
      </c>
      <c r="D601" t="inlineStr">
        <is>
          <t>JÖNKÖPINGS LÄN</t>
        </is>
      </c>
      <c r="E601" t="inlineStr">
        <is>
          <t>SÄVSJÖ</t>
        </is>
      </c>
      <c r="G601" t="n">
        <v>8.199999999999999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17396-2021</t>
        </is>
      </c>
      <c r="B602" s="1" t="n">
        <v>44299.30657407407</v>
      </c>
      <c r="C602" s="1" t="n">
        <v>45962</v>
      </c>
      <c r="D602" t="inlineStr">
        <is>
          <t>JÖNKÖPINGS LÄN</t>
        </is>
      </c>
      <c r="E602" t="inlineStr">
        <is>
          <t>GNOSJÖ</t>
        </is>
      </c>
      <c r="G602" t="n">
        <v>0.5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7376-2021</t>
        </is>
      </c>
      <c r="B603" s="1" t="n">
        <v>44239</v>
      </c>
      <c r="C603" s="1" t="n">
        <v>45962</v>
      </c>
      <c r="D603" t="inlineStr">
        <is>
          <t>JÖNKÖPINGS LÄN</t>
        </is>
      </c>
      <c r="E603" t="inlineStr">
        <is>
          <t>TRANÅS</t>
        </is>
      </c>
      <c r="G603" t="n">
        <v>0.9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41632-2021</t>
        </is>
      </c>
      <c r="B604" s="1" t="n">
        <v>44424</v>
      </c>
      <c r="C604" s="1" t="n">
        <v>45962</v>
      </c>
      <c r="D604" t="inlineStr">
        <is>
          <t>JÖNKÖPINGS LÄN</t>
        </is>
      </c>
      <c r="E604" t="inlineStr">
        <is>
          <t>VETLANDA</t>
        </is>
      </c>
      <c r="G604" t="n">
        <v>3.6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54260-2021</t>
        </is>
      </c>
      <c r="B605" s="1" t="n">
        <v>44469</v>
      </c>
      <c r="C605" s="1" t="n">
        <v>45962</v>
      </c>
      <c r="D605" t="inlineStr">
        <is>
          <t>JÖNKÖPINGS LÄN</t>
        </is>
      </c>
      <c r="E605" t="inlineStr">
        <is>
          <t>VETLANDA</t>
        </is>
      </c>
      <c r="G605" t="n">
        <v>1.1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52907-2021</t>
        </is>
      </c>
      <c r="B606" s="1" t="n">
        <v>44467.52157407408</v>
      </c>
      <c r="C606" s="1" t="n">
        <v>45962</v>
      </c>
      <c r="D606" t="inlineStr">
        <is>
          <t>JÖNKÖPINGS LÄN</t>
        </is>
      </c>
      <c r="E606" t="inlineStr">
        <is>
          <t>VAGGERYD</t>
        </is>
      </c>
      <c r="G606" t="n">
        <v>1.2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51298-2021</t>
        </is>
      </c>
      <c r="B607" s="1" t="n">
        <v>44460</v>
      </c>
      <c r="C607" s="1" t="n">
        <v>45962</v>
      </c>
      <c r="D607" t="inlineStr">
        <is>
          <t>JÖNKÖPINGS LÄN</t>
        </is>
      </c>
      <c r="E607" t="inlineStr">
        <is>
          <t>VETLANDA</t>
        </is>
      </c>
      <c r="G607" t="n">
        <v>0.7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54219-2022</t>
        </is>
      </c>
      <c r="B608" s="1" t="n">
        <v>44881.81052083334</v>
      </c>
      <c r="C608" s="1" t="n">
        <v>45962</v>
      </c>
      <c r="D608" t="inlineStr">
        <is>
          <t>JÖNKÖPINGS LÄN</t>
        </is>
      </c>
      <c r="E608" t="inlineStr">
        <is>
          <t>JÖNKÖPING</t>
        </is>
      </c>
      <c r="G608" t="n">
        <v>1.2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57696-2021</t>
        </is>
      </c>
      <c r="B609" s="1" t="n">
        <v>44484</v>
      </c>
      <c r="C609" s="1" t="n">
        <v>45962</v>
      </c>
      <c r="D609" t="inlineStr">
        <is>
          <t>JÖNKÖPINGS LÄN</t>
        </is>
      </c>
      <c r="E609" t="inlineStr">
        <is>
          <t>VAGGERYD</t>
        </is>
      </c>
      <c r="F609" t="inlineStr">
        <is>
          <t>Sveaskog</t>
        </is>
      </c>
      <c r="G609" t="n">
        <v>0.9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51125-2021</t>
        </is>
      </c>
      <c r="B610" s="1" t="n">
        <v>44461</v>
      </c>
      <c r="C610" s="1" t="n">
        <v>45962</v>
      </c>
      <c r="D610" t="inlineStr">
        <is>
          <t>JÖNKÖPINGS LÄN</t>
        </is>
      </c>
      <c r="E610" t="inlineStr">
        <is>
          <t>EKSJÖ</t>
        </is>
      </c>
      <c r="G610" t="n">
        <v>3.3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74263-2021</t>
        </is>
      </c>
      <c r="B611" s="1" t="n">
        <v>44558.65778935186</v>
      </c>
      <c r="C611" s="1" t="n">
        <v>45962</v>
      </c>
      <c r="D611" t="inlineStr">
        <is>
          <t>JÖNKÖPINGS LÄN</t>
        </is>
      </c>
      <c r="E611" t="inlineStr">
        <is>
          <t>VÄRNAMO</t>
        </is>
      </c>
      <c r="G611" t="n">
        <v>0.4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18503-2021</t>
        </is>
      </c>
      <c r="B612" s="1" t="n">
        <v>44306.399375</v>
      </c>
      <c r="C612" s="1" t="n">
        <v>45962</v>
      </c>
      <c r="D612" t="inlineStr">
        <is>
          <t>JÖNKÖPINGS LÄN</t>
        </is>
      </c>
      <c r="E612" t="inlineStr">
        <is>
          <t>VETLANDA</t>
        </is>
      </c>
      <c r="G612" t="n">
        <v>0.8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2532-2022</t>
        </is>
      </c>
      <c r="B613" s="1" t="n">
        <v>44579</v>
      </c>
      <c r="C613" s="1" t="n">
        <v>45962</v>
      </c>
      <c r="D613" t="inlineStr">
        <is>
          <t>JÖNKÖPINGS LÄN</t>
        </is>
      </c>
      <c r="E613" t="inlineStr">
        <is>
          <t>NÄSSJÖ</t>
        </is>
      </c>
      <c r="G613" t="n">
        <v>1.3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66402-2021</t>
        </is>
      </c>
      <c r="B614" s="1" t="n">
        <v>44518.65459490741</v>
      </c>
      <c r="C614" s="1" t="n">
        <v>45962</v>
      </c>
      <c r="D614" t="inlineStr">
        <is>
          <t>JÖNKÖPINGS LÄN</t>
        </is>
      </c>
      <c r="E614" t="inlineStr">
        <is>
          <t>TRANÅS</t>
        </is>
      </c>
      <c r="G614" t="n">
        <v>0.8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41602-2021</t>
        </is>
      </c>
      <c r="B615" s="1" t="n">
        <v>44425.43228009259</v>
      </c>
      <c r="C615" s="1" t="n">
        <v>45962</v>
      </c>
      <c r="D615" t="inlineStr">
        <is>
          <t>JÖNKÖPINGS LÄN</t>
        </is>
      </c>
      <c r="E615" t="inlineStr">
        <is>
          <t>VÄRNAMO</t>
        </is>
      </c>
      <c r="G615" t="n">
        <v>1.5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58347-2021</t>
        </is>
      </c>
      <c r="B616" s="1" t="n">
        <v>44488.42238425926</v>
      </c>
      <c r="C616" s="1" t="n">
        <v>45962</v>
      </c>
      <c r="D616" t="inlineStr">
        <is>
          <t>JÖNKÖPINGS LÄN</t>
        </is>
      </c>
      <c r="E616" t="inlineStr">
        <is>
          <t>VETLANDA</t>
        </is>
      </c>
      <c r="G616" t="n">
        <v>0.7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51055-2021</t>
        </is>
      </c>
      <c r="B617" s="1" t="n">
        <v>44461</v>
      </c>
      <c r="C617" s="1" t="n">
        <v>45962</v>
      </c>
      <c r="D617" t="inlineStr">
        <is>
          <t>JÖNKÖPINGS LÄN</t>
        </is>
      </c>
      <c r="E617" t="inlineStr">
        <is>
          <t>ANEBY</t>
        </is>
      </c>
      <c r="G617" t="n">
        <v>1.5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60009-2020</t>
        </is>
      </c>
      <c r="B618" s="1" t="n">
        <v>44151</v>
      </c>
      <c r="C618" s="1" t="n">
        <v>45962</v>
      </c>
      <c r="D618" t="inlineStr">
        <is>
          <t>JÖNKÖPINGS LÄN</t>
        </is>
      </c>
      <c r="E618" t="inlineStr">
        <is>
          <t>NÄSSJÖ</t>
        </is>
      </c>
      <c r="G618" t="n">
        <v>3.5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48407-2021</t>
        </is>
      </c>
      <c r="B619" s="1" t="n">
        <v>44452</v>
      </c>
      <c r="C619" s="1" t="n">
        <v>45962</v>
      </c>
      <c r="D619" t="inlineStr">
        <is>
          <t>JÖNKÖPINGS LÄN</t>
        </is>
      </c>
      <c r="E619" t="inlineStr">
        <is>
          <t>EKSJÖ</t>
        </is>
      </c>
      <c r="G619" t="n">
        <v>0.7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7141-2022</t>
        </is>
      </c>
      <c r="B620" s="1" t="n">
        <v>44603</v>
      </c>
      <c r="C620" s="1" t="n">
        <v>45962</v>
      </c>
      <c r="D620" t="inlineStr">
        <is>
          <t>JÖNKÖPINGS LÄN</t>
        </is>
      </c>
      <c r="E620" t="inlineStr">
        <is>
          <t>NÄSSJÖ</t>
        </is>
      </c>
      <c r="G620" t="n">
        <v>0.5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1108-2022</t>
        </is>
      </c>
      <c r="B621" s="1" t="n">
        <v>44572</v>
      </c>
      <c r="C621" s="1" t="n">
        <v>45962</v>
      </c>
      <c r="D621" t="inlineStr">
        <is>
          <t>JÖNKÖPINGS LÄN</t>
        </is>
      </c>
      <c r="E621" t="inlineStr">
        <is>
          <t>EKSJÖ</t>
        </is>
      </c>
      <c r="G621" t="n">
        <v>6.2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40745-2021</t>
        </is>
      </c>
      <c r="B622" s="1" t="n">
        <v>44420.68987268519</v>
      </c>
      <c r="C622" s="1" t="n">
        <v>45962</v>
      </c>
      <c r="D622" t="inlineStr">
        <is>
          <t>JÖNKÖPINGS LÄN</t>
        </is>
      </c>
      <c r="E622" t="inlineStr">
        <is>
          <t>JÖNKÖPING</t>
        </is>
      </c>
      <c r="G622" t="n">
        <v>0.5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44643-2022</t>
        </is>
      </c>
      <c r="B623" s="1" t="n">
        <v>44840.60211805555</v>
      </c>
      <c r="C623" s="1" t="n">
        <v>45962</v>
      </c>
      <c r="D623" t="inlineStr">
        <is>
          <t>JÖNKÖPINGS LÄN</t>
        </is>
      </c>
      <c r="E623" t="inlineStr">
        <is>
          <t>VÄRNAMO</t>
        </is>
      </c>
      <c r="G623" t="n">
        <v>1.7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44675-2022</t>
        </is>
      </c>
      <c r="B624" s="1" t="n">
        <v>44840</v>
      </c>
      <c r="C624" s="1" t="n">
        <v>45962</v>
      </c>
      <c r="D624" t="inlineStr">
        <is>
          <t>JÖNKÖPINGS LÄN</t>
        </is>
      </c>
      <c r="E624" t="inlineStr">
        <is>
          <t>VÄRNAMO</t>
        </is>
      </c>
      <c r="G624" t="n">
        <v>1.1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60915-2021</t>
        </is>
      </c>
      <c r="B625" s="1" t="n">
        <v>44496</v>
      </c>
      <c r="C625" s="1" t="n">
        <v>45962</v>
      </c>
      <c r="D625" t="inlineStr">
        <is>
          <t>JÖNKÖPINGS LÄN</t>
        </is>
      </c>
      <c r="E625" t="inlineStr">
        <is>
          <t>EKSJÖ</t>
        </is>
      </c>
      <c r="G625" t="n">
        <v>0.5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47334-2022</t>
        </is>
      </c>
      <c r="B626" s="1" t="n">
        <v>44853.37575231482</v>
      </c>
      <c r="C626" s="1" t="n">
        <v>45962</v>
      </c>
      <c r="D626" t="inlineStr">
        <is>
          <t>JÖNKÖPINGS LÄN</t>
        </is>
      </c>
      <c r="E626" t="inlineStr">
        <is>
          <t>EKSJÖ</t>
        </is>
      </c>
      <c r="G626" t="n">
        <v>2.5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26771-2022</t>
        </is>
      </c>
      <c r="B627" s="1" t="n">
        <v>44739</v>
      </c>
      <c r="C627" s="1" t="n">
        <v>45962</v>
      </c>
      <c r="D627" t="inlineStr">
        <is>
          <t>JÖNKÖPINGS LÄN</t>
        </is>
      </c>
      <c r="E627" t="inlineStr">
        <is>
          <t>ANEBY</t>
        </is>
      </c>
      <c r="G627" t="n">
        <v>2.8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8838-2021</t>
        </is>
      </c>
      <c r="B628" s="1" t="n">
        <v>44246</v>
      </c>
      <c r="C628" s="1" t="n">
        <v>45962</v>
      </c>
      <c r="D628" t="inlineStr">
        <is>
          <t>JÖNKÖPINGS LÄN</t>
        </is>
      </c>
      <c r="E628" t="inlineStr">
        <is>
          <t>NÄSSJÖ</t>
        </is>
      </c>
      <c r="G628" t="n">
        <v>2.7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8872-2021</t>
        </is>
      </c>
      <c r="B629" s="1" t="n">
        <v>44247.44121527778</v>
      </c>
      <c r="C629" s="1" t="n">
        <v>45962</v>
      </c>
      <c r="D629" t="inlineStr">
        <is>
          <t>JÖNKÖPINGS LÄN</t>
        </is>
      </c>
      <c r="E629" t="inlineStr">
        <is>
          <t>VETLANDA</t>
        </is>
      </c>
      <c r="G629" t="n">
        <v>1.1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28022-2022</t>
        </is>
      </c>
      <c r="B630" s="1" t="n">
        <v>44746.36851851852</v>
      </c>
      <c r="C630" s="1" t="n">
        <v>45962</v>
      </c>
      <c r="D630" t="inlineStr">
        <is>
          <t>JÖNKÖPINGS LÄN</t>
        </is>
      </c>
      <c r="E630" t="inlineStr">
        <is>
          <t>EKSJÖ</t>
        </is>
      </c>
      <c r="G630" t="n">
        <v>0.5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6811-2022</t>
        </is>
      </c>
      <c r="B631" s="1" t="n">
        <v>44602</v>
      </c>
      <c r="C631" s="1" t="n">
        <v>45962</v>
      </c>
      <c r="D631" t="inlineStr">
        <is>
          <t>JÖNKÖPINGS LÄN</t>
        </is>
      </c>
      <c r="E631" t="inlineStr">
        <is>
          <t>VETLANDA</t>
        </is>
      </c>
      <c r="G631" t="n">
        <v>0.5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20063-2021</t>
        </is>
      </c>
      <c r="B632" s="1" t="n">
        <v>44313</v>
      </c>
      <c r="C632" s="1" t="n">
        <v>45962</v>
      </c>
      <c r="D632" t="inlineStr">
        <is>
          <t>JÖNKÖPINGS LÄN</t>
        </is>
      </c>
      <c r="E632" t="inlineStr">
        <is>
          <t>VAGGERYD</t>
        </is>
      </c>
      <c r="G632" t="n">
        <v>1.4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56371-2021</t>
        </is>
      </c>
      <c r="B633" s="1" t="n">
        <v>44480.43704861111</v>
      </c>
      <c r="C633" s="1" t="n">
        <v>45962</v>
      </c>
      <c r="D633" t="inlineStr">
        <is>
          <t>JÖNKÖPINGS LÄN</t>
        </is>
      </c>
      <c r="E633" t="inlineStr">
        <is>
          <t>VAGGERYD</t>
        </is>
      </c>
      <c r="F633" t="inlineStr">
        <is>
          <t>Sveaskog</t>
        </is>
      </c>
      <c r="G633" t="n">
        <v>0.7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13919-2022</t>
        </is>
      </c>
      <c r="B634" s="1" t="n">
        <v>44650.405</v>
      </c>
      <c r="C634" s="1" t="n">
        <v>45962</v>
      </c>
      <c r="D634" t="inlineStr">
        <is>
          <t>JÖNKÖPINGS LÄN</t>
        </is>
      </c>
      <c r="E634" t="inlineStr">
        <is>
          <t>EKSJÖ</t>
        </is>
      </c>
      <c r="G634" t="n">
        <v>1.1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34364-2021</t>
        </is>
      </c>
      <c r="B635" s="1" t="n">
        <v>44379.73503472222</v>
      </c>
      <c r="C635" s="1" t="n">
        <v>45962</v>
      </c>
      <c r="D635" t="inlineStr">
        <is>
          <t>JÖNKÖPINGS LÄN</t>
        </is>
      </c>
      <c r="E635" t="inlineStr">
        <is>
          <t>VETLANDA</t>
        </is>
      </c>
      <c r="G635" t="n">
        <v>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20680-2021</t>
        </is>
      </c>
      <c r="B636" s="1" t="n">
        <v>44313</v>
      </c>
      <c r="C636" s="1" t="n">
        <v>45962</v>
      </c>
      <c r="D636" t="inlineStr">
        <is>
          <t>JÖNKÖPINGS LÄN</t>
        </is>
      </c>
      <c r="E636" t="inlineStr">
        <is>
          <t>VAGGERYD</t>
        </is>
      </c>
      <c r="G636" t="n">
        <v>2.1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55136-2022</t>
        </is>
      </c>
      <c r="B637" s="1" t="n">
        <v>44886.66209490741</v>
      </c>
      <c r="C637" s="1" t="n">
        <v>45962</v>
      </c>
      <c r="D637" t="inlineStr">
        <is>
          <t>JÖNKÖPINGS LÄN</t>
        </is>
      </c>
      <c r="E637" t="inlineStr">
        <is>
          <t>SÄVSJÖ</t>
        </is>
      </c>
      <c r="G637" t="n">
        <v>1.7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20386-2021</t>
        </is>
      </c>
      <c r="B638" s="1" t="n">
        <v>44315</v>
      </c>
      <c r="C638" s="1" t="n">
        <v>45962</v>
      </c>
      <c r="D638" t="inlineStr">
        <is>
          <t>JÖNKÖPINGS LÄN</t>
        </is>
      </c>
      <c r="E638" t="inlineStr">
        <is>
          <t>NÄSSJÖ</t>
        </is>
      </c>
      <c r="G638" t="n">
        <v>1.9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12438-2022</t>
        </is>
      </c>
      <c r="B639" s="1" t="n">
        <v>44638</v>
      </c>
      <c r="C639" s="1" t="n">
        <v>45962</v>
      </c>
      <c r="D639" t="inlineStr">
        <is>
          <t>JÖNKÖPINGS LÄN</t>
        </is>
      </c>
      <c r="E639" t="inlineStr">
        <is>
          <t>VETLANDA</t>
        </is>
      </c>
      <c r="G639" t="n">
        <v>0.6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49814-2021</t>
        </is>
      </c>
      <c r="B640" s="1" t="n">
        <v>44455.61668981481</v>
      </c>
      <c r="C640" s="1" t="n">
        <v>45962</v>
      </c>
      <c r="D640" t="inlineStr">
        <is>
          <t>JÖNKÖPINGS LÄN</t>
        </is>
      </c>
      <c r="E640" t="inlineStr">
        <is>
          <t>ANEBY</t>
        </is>
      </c>
      <c r="G640" t="n">
        <v>0.6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52294-2022</t>
        </is>
      </c>
      <c r="B641" s="1" t="n">
        <v>44873</v>
      </c>
      <c r="C641" s="1" t="n">
        <v>45962</v>
      </c>
      <c r="D641" t="inlineStr">
        <is>
          <t>JÖNKÖPINGS LÄN</t>
        </is>
      </c>
      <c r="E641" t="inlineStr">
        <is>
          <t>EKSJÖ</t>
        </is>
      </c>
      <c r="G641" t="n">
        <v>1.1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11727-2021</t>
        </is>
      </c>
      <c r="B642" s="1" t="n">
        <v>44265</v>
      </c>
      <c r="C642" s="1" t="n">
        <v>45962</v>
      </c>
      <c r="D642" t="inlineStr">
        <is>
          <t>JÖNKÖPINGS LÄN</t>
        </is>
      </c>
      <c r="E642" t="inlineStr">
        <is>
          <t>NÄSSJÖ</t>
        </is>
      </c>
      <c r="G642" t="n">
        <v>3.8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44625-2022</t>
        </is>
      </c>
      <c r="B643" s="1" t="n">
        <v>44840.57934027778</v>
      </c>
      <c r="C643" s="1" t="n">
        <v>45962</v>
      </c>
      <c r="D643" t="inlineStr">
        <is>
          <t>JÖNKÖPINGS LÄN</t>
        </is>
      </c>
      <c r="E643" t="inlineStr">
        <is>
          <t>VÄRNAMO</t>
        </is>
      </c>
      <c r="G643" t="n">
        <v>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61179-2021</t>
        </is>
      </c>
      <c r="B644" s="1" t="n">
        <v>44498.45975694444</v>
      </c>
      <c r="C644" s="1" t="n">
        <v>45962</v>
      </c>
      <c r="D644" t="inlineStr">
        <is>
          <t>JÖNKÖPINGS LÄN</t>
        </is>
      </c>
      <c r="E644" t="inlineStr">
        <is>
          <t>TRANÅS</t>
        </is>
      </c>
      <c r="G644" t="n">
        <v>0.5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16769-2021</t>
        </is>
      </c>
      <c r="B645" s="1" t="n">
        <v>44294.90131944444</v>
      </c>
      <c r="C645" s="1" t="n">
        <v>45962</v>
      </c>
      <c r="D645" t="inlineStr">
        <is>
          <t>JÖNKÖPINGS LÄN</t>
        </is>
      </c>
      <c r="E645" t="inlineStr">
        <is>
          <t>EKSJÖ</t>
        </is>
      </c>
      <c r="G645" t="n">
        <v>0.8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64242-2021</t>
        </is>
      </c>
      <c r="B646" s="1" t="n">
        <v>44510</v>
      </c>
      <c r="C646" s="1" t="n">
        <v>45962</v>
      </c>
      <c r="D646" t="inlineStr">
        <is>
          <t>JÖNKÖPINGS LÄN</t>
        </is>
      </c>
      <c r="E646" t="inlineStr">
        <is>
          <t>VETLANDA</t>
        </is>
      </c>
      <c r="G646" t="n">
        <v>0.6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51446-2022</t>
        </is>
      </c>
      <c r="B647" s="1" t="n">
        <v>44869.49265046296</v>
      </c>
      <c r="C647" s="1" t="n">
        <v>45962</v>
      </c>
      <c r="D647" t="inlineStr">
        <is>
          <t>JÖNKÖPINGS LÄN</t>
        </is>
      </c>
      <c r="E647" t="inlineStr">
        <is>
          <t>JÖNKÖPING</t>
        </is>
      </c>
      <c r="F647" t="inlineStr">
        <is>
          <t>Sveaskog</t>
        </is>
      </c>
      <c r="G647" t="n">
        <v>2.1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35839-2021</t>
        </is>
      </c>
      <c r="B648" s="1" t="n">
        <v>44386</v>
      </c>
      <c r="C648" s="1" t="n">
        <v>45962</v>
      </c>
      <c r="D648" t="inlineStr">
        <is>
          <t>JÖNKÖPINGS LÄN</t>
        </is>
      </c>
      <c r="E648" t="inlineStr">
        <is>
          <t>GISLAVED</t>
        </is>
      </c>
      <c r="G648" t="n">
        <v>0.6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23519-2022</t>
        </is>
      </c>
      <c r="B649" s="1" t="n">
        <v>44721</v>
      </c>
      <c r="C649" s="1" t="n">
        <v>45962</v>
      </c>
      <c r="D649" t="inlineStr">
        <is>
          <t>JÖNKÖPINGS LÄN</t>
        </is>
      </c>
      <c r="E649" t="inlineStr">
        <is>
          <t>VETLANDA</t>
        </is>
      </c>
      <c r="G649" t="n">
        <v>3.1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11550-2022</t>
        </is>
      </c>
      <c r="B650" s="1" t="n">
        <v>44631.45094907407</v>
      </c>
      <c r="C650" s="1" t="n">
        <v>45962</v>
      </c>
      <c r="D650" t="inlineStr">
        <is>
          <t>JÖNKÖPINGS LÄN</t>
        </is>
      </c>
      <c r="E650" t="inlineStr">
        <is>
          <t>TRANÅS</t>
        </is>
      </c>
      <c r="G650" t="n">
        <v>1.2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21574-2021</t>
        </is>
      </c>
      <c r="B651" s="1" t="n">
        <v>44321.64940972222</v>
      </c>
      <c r="C651" s="1" t="n">
        <v>45962</v>
      </c>
      <c r="D651" t="inlineStr">
        <is>
          <t>JÖNKÖPINGS LÄN</t>
        </is>
      </c>
      <c r="E651" t="inlineStr">
        <is>
          <t>VETLANDA</t>
        </is>
      </c>
      <c r="G651" t="n">
        <v>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49653-2022</t>
        </is>
      </c>
      <c r="B652" s="1" t="n">
        <v>44862</v>
      </c>
      <c r="C652" s="1" t="n">
        <v>45962</v>
      </c>
      <c r="D652" t="inlineStr">
        <is>
          <t>JÖNKÖPINGS LÄN</t>
        </is>
      </c>
      <c r="E652" t="inlineStr">
        <is>
          <t>SÄVSJÖ</t>
        </is>
      </c>
      <c r="G652" t="n">
        <v>2.5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17934-2021</t>
        </is>
      </c>
      <c r="B653" s="1" t="n">
        <v>44301</v>
      </c>
      <c r="C653" s="1" t="n">
        <v>45962</v>
      </c>
      <c r="D653" t="inlineStr">
        <is>
          <t>JÖNKÖPINGS LÄN</t>
        </is>
      </c>
      <c r="E653" t="inlineStr">
        <is>
          <t>VETLANDA</t>
        </is>
      </c>
      <c r="G653" t="n">
        <v>0.6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65038-2021</t>
        </is>
      </c>
      <c r="B654" s="1" t="n">
        <v>44512</v>
      </c>
      <c r="C654" s="1" t="n">
        <v>45962</v>
      </c>
      <c r="D654" t="inlineStr">
        <is>
          <t>JÖNKÖPINGS LÄN</t>
        </is>
      </c>
      <c r="E654" t="inlineStr">
        <is>
          <t>EKSJÖ</t>
        </is>
      </c>
      <c r="G654" t="n">
        <v>0.8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65101-2021</t>
        </is>
      </c>
      <c r="B655" s="1" t="n">
        <v>44515.3962962963</v>
      </c>
      <c r="C655" s="1" t="n">
        <v>45962</v>
      </c>
      <c r="D655" t="inlineStr">
        <is>
          <t>JÖNKÖPINGS LÄN</t>
        </is>
      </c>
      <c r="E655" t="inlineStr">
        <is>
          <t>VÄRNAMO</t>
        </is>
      </c>
      <c r="G655" t="n">
        <v>0.8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73572-2021</t>
        </is>
      </c>
      <c r="B656" s="1" t="n">
        <v>44550</v>
      </c>
      <c r="C656" s="1" t="n">
        <v>45962</v>
      </c>
      <c r="D656" t="inlineStr">
        <is>
          <t>JÖNKÖPINGS LÄN</t>
        </is>
      </c>
      <c r="E656" t="inlineStr">
        <is>
          <t>ANEBY</t>
        </is>
      </c>
      <c r="F656" t="inlineStr">
        <is>
          <t>Övriga Aktiebolag</t>
        </is>
      </c>
      <c r="G656" t="n">
        <v>0.7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20693-2021</t>
        </is>
      </c>
      <c r="B657" s="1" t="n">
        <v>44313</v>
      </c>
      <c r="C657" s="1" t="n">
        <v>45962</v>
      </c>
      <c r="D657" t="inlineStr">
        <is>
          <t>JÖNKÖPINGS LÄN</t>
        </is>
      </c>
      <c r="E657" t="inlineStr">
        <is>
          <t>VAGGERYD</t>
        </is>
      </c>
      <c r="G657" t="n">
        <v>1.3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20694-2021</t>
        </is>
      </c>
      <c r="B658" s="1" t="n">
        <v>44313</v>
      </c>
      <c r="C658" s="1" t="n">
        <v>45962</v>
      </c>
      <c r="D658" t="inlineStr">
        <is>
          <t>JÖNKÖPINGS LÄN</t>
        </is>
      </c>
      <c r="E658" t="inlineStr">
        <is>
          <t>VAGGERYD</t>
        </is>
      </c>
      <c r="G658" t="n">
        <v>4.3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25179-2022</t>
        </is>
      </c>
      <c r="B659" s="1" t="n">
        <v>44729.60201388889</v>
      </c>
      <c r="C659" s="1" t="n">
        <v>45962</v>
      </c>
      <c r="D659" t="inlineStr">
        <is>
          <t>JÖNKÖPINGS LÄN</t>
        </is>
      </c>
      <c r="E659" t="inlineStr">
        <is>
          <t>VÄRNAMO</t>
        </is>
      </c>
      <c r="G659" t="n">
        <v>0.6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33021-2022</t>
        </is>
      </c>
      <c r="B660" s="1" t="n">
        <v>44785.33260416667</v>
      </c>
      <c r="C660" s="1" t="n">
        <v>45962</v>
      </c>
      <c r="D660" t="inlineStr">
        <is>
          <t>JÖNKÖPINGS LÄN</t>
        </is>
      </c>
      <c r="E660" t="inlineStr">
        <is>
          <t>VETLANDA</t>
        </is>
      </c>
      <c r="G660" t="n">
        <v>4.9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33026-2022</t>
        </is>
      </c>
      <c r="B661" s="1" t="n">
        <v>44785.3465162037</v>
      </c>
      <c r="C661" s="1" t="n">
        <v>45962</v>
      </c>
      <c r="D661" t="inlineStr">
        <is>
          <t>JÖNKÖPINGS LÄN</t>
        </is>
      </c>
      <c r="E661" t="inlineStr">
        <is>
          <t>VETLANDA</t>
        </is>
      </c>
      <c r="G661" t="n">
        <v>7.5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62168-2021</t>
        </is>
      </c>
      <c r="B662" s="1" t="n">
        <v>44502</v>
      </c>
      <c r="C662" s="1" t="n">
        <v>45962</v>
      </c>
      <c r="D662" t="inlineStr">
        <is>
          <t>JÖNKÖPINGS LÄN</t>
        </is>
      </c>
      <c r="E662" t="inlineStr">
        <is>
          <t>NÄSSJÖ</t>
        </is>
      </c>
      <c r="G662" t="n">
        <v>1.1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15829-2021</t>
        </is>
      </c>
      <c r="B663" s="1" t="n">
        <v>44286.64680555555</v>
      </c>
      <c r="C663" s="1" t="n">
        <v>45962</v>
      </c>
      <c r="D663" t="inlineStr">
        <is>
          <t>JÖNKÖPINGS LÄN</t>
        </is>
      </c>
      <c r="E663" t="inlineStr">
        <is>
          <t>VETLANDA</t>
        </is>
      </c>
      <c r="G663" t="n">
        <v>0.6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15898-2021</t>
        </is>
      </c>
      <c r="B664" s="1" t="n">
        <v>44287.27715277778</v>
      </c>
      <c r="C664" s="1" t="n">
        <v>45962</v>
      </c>
      <c r="D664" t="inlineStr">
        <is>
          <t>JÖNKÖPINGS LÄN</t>
        </is>
      </c>
      <c r="E664" t="inlineStr">
        <is>
          <t>VETLANDA</t>
        </is>
      </c>
      <c r="G664" t="n">
        <v>7.7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15947-2021</t>
        </is>
      </c>
      <c r="B665" s="1" t="n">
        <v>44287.45155092593</v>
      </c>
      <c r="C665" s="1" t="n">
        <v>45962</v>
      </c>
      <c r="D665" t="inlineStr">
        <is>
          <t>JÖNKÖPINGS LÄN</t>
        </is>
      </c>
      <c r="E665" t="inlineStr">
        <is>
          <t>SÄVSJÖ</t>
        </is>
      </c>
      <c r="G665" t="n">
        <v>0.7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26221-2022</t>
        </is>
      </c>
      <c r="B666" s="1" t="n">
        <v>44734</v>
      </c>
      <c r="C666" s="1" t="n">
        <v>45962</v>
      </c>
      <c r="D666" t="inlineStr">
        <is>
          <t>JÖNKÖPINGS LÄN</t>
        </is>
      </c>
      <c r="E666" t="inlineStr">
        <is>
          <t>JÖNKÖPING</t>
        </is>
      </c>
      <c r="F666" t="inlineStr">
        <is>
          <t>Kyrkan</t>
        </is>
      </c>
      <c r="G666" t="n">
        <v>0.8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29423-2022</t>
        </is>
      </c>
      <c r="B667" s="1" t="n">
        <v>44753.47351851852</v>
      </c>
      <c r="C667" s="1" t="n">
        <v>45962</v>
      </c>
      <c r="D667" t="inlineStr">
        <is>
          <t>JÖNKÖPINGS LÄN</t>
        </is>
      </c>
      <c r="E667" t="inlineStr">
        <is>
          <t>VÄRNAMO</t>
        </is>
      </c>
      <c r="G667" t="n">
        <v>1.1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15468-2021</t>
        </is>
      </c>
      <c r="B668" s="1" t="n">
        <v>44285.43929398148</v>
      </c>
      <c r="C668" s="1" t="n">
        <v>45962</v>
      </c>
      <c r="D668" t="inlineStr">
        <is>
          <t>JÖNKÖPINGS LÄN</t>
        </is>
      </c>
      <c r="E668" t="inlineStr">
        <is>
          <t>MULLSJÖ</t>
        </is>
      </c>
      <c r="G668" t="n">
        <v>3.8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4641-2022</t>
        </is>
      </c>
      <c r="B669" s="1" t="n">
        <v>44592.42363425926</v>
      </c>
      <c r="C669" s="1" t="n">
        <v>45962</v>
      </c>
      <c r="D669" t="inlineStr">
        <is>
          <t>JÖNKÖPINGS LÄN</t>
        </is>
      </c>
      <c r="E669" t="inlineStr">
        <is>
          <t>VETLANDA</t>
        </is>
      </c>
      <c r="G669" t="n">
        <v>0.7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15387-2021</t>
        </is>
      </c>
      <c r="B670" s="1" t="n">
        <v>44284</v>
      </c>
      <c r="C670" s="1" t="n">
        <v>45962</v>
      </c>
      <c r="D670" t="inlineStr">
        <is>
          <t>JÖNKÖPINGS LÄN</t>
        </is>
      </c>
      <c r="E670" t="inlineStr">
        <is>
          <t>GISLAVED</t>
        </is>
      </c>
      <c r="G670" t="n">
        <v>5.4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34411-2022</t>
        </is>
      </c>
      <c r="B671" s="1" t="n">
        <v>44792</v>
      </c>
      <c r="C671" s="1" t="n">
        <v>45962</v>
      </c>
      <c r="D671" t="inlineStr">
        <is>
          <t>JÖNKÖPINGS LÄN</t>
        </is>
      </c>
      <c r="E671" t="inlineStr">
        <is>
          <t>JÖNKÖPING</t>
        </is>
      </c>
      <c r="G671" t="n">
        <v>0.4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45492-2022</t>
        </is>
      </c>
      <c r="B672" s="1" t="n">
        <v>44845.41233796296</v>
      </c>
      <c r="C672" s="1" t="n">
        <v>45962</v>
      </c>
      <c r="D672" t="inlineStr">
        <is>
          <t>JÖNKÖPINGS LÄN</t>
        </is>
      </c>
      <c r="E672" t="inlineStr">
        <is>
          <t>EKSJÖ</t>
        </is>
      </c>
      <c r="G672" t="n">
        <v>0.5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40763-2022</t>
        </is>
      </c>
      <c r="B673" s="1" t="n">
        <v>44824.59596064815</v>
      </c>
      <c r="C673" s="1" t="n">
        <v>45962</v>
      </c>
      <c r="D673" t="inlineStr">
        <is>
          <t>JÖNKÖPINGS LÄN</t>
        </is>
      </c>
      <c r="E673" t="inlineStr">
        <is>
          <t>GISLAVED</t>
        </is>
      </c>
      <c r="G673" t="n">
        <v>0.5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3828-2022</t>
        </is>
      </c>
      <c r="B674" s="1" t="n">
        <v>44587</v>
      </c>
      <c r="C674" s="1" t="n">
        <v>45962</v>
      </c>
      <c r="D674" t="inlineStr">
        <is>
          <t>JÖNKÖPINGS LÄN</t>
        </is>
      </c>
      <c r="E674" t="inlineStr">
        <is>
          <t>VETLANDA</t>
        </is>
      </c>
      <c r="G674" t="n">
        <v>1.1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35458-2021</t>
        </is>
      </c>
      <c r="B675" s="1" t="n">
        <v>44385.55563657408</v>
      </c>
      <c r="C675" s="1" t="n">
        <v>45962</v>
      </c>
      <c r="D675" t="inlineStr">
        <is>
          <t>JÖNKÖPINGS LÄN</t>
        </is>
      </c>
      <c r="E675" t="inlineStr">
        <is>
          <t>VETLANDA</t>
        </is>
      </c>
      <c r="G675" t="n">
        <v>4.1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248-2022</t>
        </is>
      </c>
      <c r="B676" s="1" t="n">
        <v>44565</v>
      </c>
      <c r="C676" s="1" t="n">
        <v>45962</v>
      </c>
      <c r="D676" t="inlineStr">
        <is>
          <t>JÖNKÖPINGS LÄN</t>
        </is>
      </c>
      <c r="E676" t="inlineStr">
        <is>
          <t>TRANÅS</t>
        </is>
      </c>
      <c r="G676" t="n">
        <v>1.5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32398-2022</t>
        </is>
      </c>
      <c r="B677" s="1" t="n">
        <v>44782</v>
      </c>
      <c r="C677" s="1" t="n">
        <v>45962</v>
      </c>
      <c r="D677" t="inlineStr">
        <is>
          <t>JÖNKÖPINGS LÄN</t>
        </is>
      </c>
      <c r="E677" t="inlineStr">
        <is>
          <t>VETLANDA</t>
        </is>
      </c>
      <c r="G677" t="n">
        <v>1.1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6196-2022</t>
        </is>
      </c>
      <c r="B678" s="1" t="n">
        <v>44600.34596064815</v>
      </c>
      <c r="C678" s="1" t="n">
        <v>45962</v>
      </c>
      <c r="D678" t="inlineStr">
        <is>
          <t>JÖNKÖPINGS LÄN</t>
        </is>
      </c>
      <c r="E678" t="inlineStr">
        <is>
          <t>VÄRNAMO</t>
        </is>
      </c>
      <c r="G678" t="n">
        <v>1.6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7008-2022</t>
        </is>
      </c>
      <c r="B679" s="1" t="n">
        <v>44603</v>
      </c>
      <c r="C679" s="1" t="n">
        <v>45962</v>
      </c>
      <c r="D679" t="inlineStr">
        <is>
          <t>JÖNKÖPINGS LÄN</t>
        </is>
      </c>
      <c r="E679" t="inlineStr">
        <is>
          <t>TRANÅS</t>
        </is>
      </c>
      <c r="G679" t="n">
        <v>4.9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14571-2022</t>
        </is>
      </c>
      <c r="B680" s="1" t="n">
        <v>44655</v>
      </c>
      <c r="C680" s="1" t="n">
        <v>45962</v>
      </c>
      <c r="D680" t="inlineStr">
        <is>
          <t>JÖNKÖPINGS LÄN</t>
        </is>
      </c>
      <c r="E680" t="inlineStr">
        <is>
          <t>EKSJÖ</t>
        </is>
      </c>
      <c r="G680" t="n">
        <v>1.4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69638-2021</t>
        </is>
      </c>
      <c r="B681" s="1" t="n">
        <v>44532.42516203703</v>
      </c>
      <c r="C681" s="1" t="n">
        <v>45962</v>
      </c>
      <c r="D681" t="inlineStr">
        <is>
          <t>JÖNKÖPINGS LÄN</t>
        </is>
      </c>
      <c r="E681" t="inlineStr">
        <is>
          <t>SÄVSJÖ</t>
        </is>
      </c>
      <c r="G681" t="n">
        <v>0.7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3626-2022</t>
        </is>
      </c>
      <c r="B682" s="1" t="n">
        <v>44586.42604166667</v>
      </c>
      <c r="C682" s="1" t="n">
        <v>45962</v>
      </c>
      <c r="D682" t="inlineStr">
        <is>
          <t>JÖNKÖPINGS LÄN</t>
        </is>
      </c>
      <c r="E682" t="inlineStr">
        <is>
          <t>NÄSSJÖ</t>
        </is>
      </c>
      <c r="G682" t="n">
        <v>2.6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39643-2022</t>
        </is>
      </c>
      <c r="B683" s="1" t="n">
        <v>44818</v>
      </c>
      <c r="C683" s="1" t="n">
        <v>45962</v>
      </c>
      <c r="D683" t="inlineStr">
        <is>
          <t>JÖNKÖPINGS LÄN</t>
        </is>
      </c>
      <c r="E683" t="inlineStr">
        <is>
          <t>NÄSSJÖ</t>
        </is>
      </c>
      <c r="G683" t="n">
        <v>1.2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34726-2021</t>
        </is>
      </c>
      <c r="B684" s="1" t="n">
        <v>44382</v>
      </c>
      <c r="C684" s="1" t="n">
        <v>45962</v>
      </c>
      <c r="D684" t="inlineStr">
        <is>
          <t>JÖNKÖPINGS LÄN</t>
        </is>
      </c>
      <c r="E684" t="inlineStr">
        <is>
          <t>NÄSSJÖ</t>
        </is>
      </c>
      <c r="G684" t="n">
        <v>1.9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29860-2021</t>
        </is>
      </c>
      <c r="B685" s="1" t="n">
        <v>44362</v>
      </c>
      <c r="C685" s="1" t="n">
        <v>45962</v>
      </c>
      <c r="D685" t="inlineStr">
        <is>
          <t>JÖNKÖPINGS LÄN</t>
        </is>
      </c>
      <c r="E685" t="inlineStr">
        <is>
          <t>VAGGERYD</t>
        </is>
      </c>
      <c r="G685" t="n">
        <v>3.6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38723-2022</t>
        </is>
      </c>
      <c r="B686" s="1" t="n">
        <v>44815.8621875</v>
      </c>
      <c r="C686" s="1" t="n">
        <v>45962</v>
      </c>
      <c r="D686" t="inlineStr">
        <is>
          <t>JÖNKÖPINGS LÄN</t>
        </is>
      </c>
      <c r="E686" t="inlineStr">
        <is>
          <t>VETLANDA</t>
        </is>
      </c>
      <c r="G686" t="n">
        <v>0.2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7009-2022</t>
        </is>
      </c>
      <c r="B687" s="1" t="n">
        <v>44603</v>
      </c>
      <c r="C687" s="1" t="n">
        <v>45962</v>
      </c>
      <c r="D687" t="inlineStr">
        <is>
          <t>JÖNKÖPINGS LÄN</t>
        </is>
      </c>
      <c r="E687" t="inlineStr">
        <is>
          <t>TRANÅS</t>
        </is>
      </c>
      <c r="G687" t="n">
        <v>12.3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10349-2022</t>
        </is>
      </c>
      <c r="B688" s="1" t="n">
        <v>44623.34288194445</v>
      </c>
      <c r="C688" s="1" t="n">
        <v>45962</v>
      </c>
      <c r="D688" t="inlineStr">
        <is>
          <t>JÖNKÖPINGS LÄN</t>
        </is>
      </c>
      <c r="E688" t="inlineStr">
        <is>
          <t>EKSJÖ</t>
        </is>
      </c>
      <c r="F688" t="inlineStr">
        <is>
          <t>Sveaskog</t>
        </is>
      </c>
      <c r="G688" t="n">
        <v>1.8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60373-2020</t>
        </is>
      </c>
      <c r="B689" s="1" t="n">
        <v>44152</v>
      </c>
      <c r="C689" s="1" t="n">
        <v>45962</v>
      </c>
      <c r="D689" t="inlineStr">
        <is>
          <t>JÖNKÖPINGS LÄN</t>
        </is>
      </c>
      <c r="E689" t="inlineStr">
        <is>
          <t>SÄVSJÖ</t>
        </is>
      </c>
      <c r="G689" t="n">
        <v>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56917-2020</t>
        </is>
      </c>
      <c r="B690" s="1" t="n">
        <v>44137</v>
      </c>
      <c r="C690" s="1" t="n">
        <v>45962</v>
      </c>
      <c r="D690" t="inlineStr">
        <is>
          <t>JÖNKÖPINGS LÄN</t>
        </is>
      </c>
      <c r="E690" t="inlineStr">
        <is>
          <t>HABO</t>
        </is>
      </c>
      <c r="G690" t="n">
        <v>0.5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48245-2022</t>
        </is>
      </c>
      <c r="B691" s="1" t="n">
        <v>44858</v>
      </c>
      <c r="C691" s="1" t="n">
        <v>45962</v>
      </c>
      <c r="D691" t="inlineStr">
        <is>
          <t>JÖNKÖPINGS LÄN</t>
        </is>
      </c>
      <c r="E691" t="inlineStr">
        <is>
          <t>VÄRNAMO</t>
        </is>
      </c>
      <c r="G691" t="n">
        <v>2.2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43419-2021</t>
        </is>
      </c>
      <c r="B692" s="1" t="n">
        <v>44432</v>
      </c>
      <c r="C692" s="1" t="n">
        <v>45962</v>
      </c>
      <c r="D692" t="inlineStr">
        <is>
          <t>JÖNKÖPINGS LÄN</t>
        </is>
      </c>
      <c r="E692" t="inlineStr">
        <is>
          <t>VETLANDA</t>
        </is>
      </c>
      <c r="G692" t="n">
        <v>1.4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60497-2020</t>
        </is>
      </c>
      <c r="B693" s="1" t="n">
        <v>44152</v>
      </c>
      <c r="C693" s="1" t="n">
        <v>45962</v>
      </c>
      <c r="D693" t="inlineStr">
        <is>
          <t>JÖNKÖPINGS LÄN</t>
        </is>
      </c>
      <c r="E693" t="inlineStr">
        <is>
          <t>EKSJÖ</t>
        </is>
      </c>
      <c r="G693" t="n">
        <v>9.1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33255-2021</t>
        </is>
      </c>
      <c r="B694" s="1" t="n">
        <v>44377</v>
      </c>
      <c r="C694" s="1" t="n">
        <v>45962</v>
      </c>
      <c r="D694" t="inlineStr">
        <is>
          <t>JÖNKÖPINGS LÄN</t>
        </is>
      </c>
      <c r="E694" t="inlineStr">
        <is>
          <t>ANEBY</t>
        </is>
      </c>
      <c r="G694" t="n">
        <v>2.4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33660-2021</t>
        </is>
      </c>
      <c r="B695" s="1" t="n">
        <v>44378.38956018518</v>
      </c>
      <c r="C695" s="1" t="n">
        <v>45962</v>
      </c>
      <c r="D695" t="inlineStr">
        <is>
          <t>JÖNKÖPINGS LÄN</t>
        </is>
      </c>
      <c r="E695" t="inlineStr">
        <is>
          <t>GISLAVED</t>
        </is>
      </c>
      <c r="G695" t="n">
        <v>1.7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26636-2022</t>
        </is>
      </c>
      <c r="B696" s="1" t="n">
        <v>44739</v>
      </c>
      <c r="C696" s="1" t="n">
        <v>45962</v>
      </c>
      <c r="D696" t="inlineStr">
        <is>
          <t>JÖNKÖPINGS LÄN</t>
        </is>
      </c>
      <c r="E696" t="inlineStr">
        <is>
          <t>VAGGERYD</t>
        </is>
      </c>
      <c r="G696" t="n">
        <v>1.6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43077-2021</t>
        </is>
      </c>
      <c r="B697" s="1" t="n">
        <v>44431</v>
      </c>
      <c r="C697" s="1" t="n">
        <v>45962</v>
      </c>
      <c r="D697" t="inlineStr">
        <is>
          <t>JÖNKÖPINGS LÄN</t>
        </is>
      </c>
      <c r="E697" t="inlineStr">
        <is>
          <t>EKSJÖ</t>
        </is>
      </c>
      <c r="G697" t="n">
        <v>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59033-2020</t>
        </is>
      </c>
      <c r="B698" s="1" t="n">
        <v>44147</v>
      </c>
      <c r="C698" s="1" t="n">
        <v>45962</v>
      </c>
      <c r="D698" t="inlineStr">
        <is>
          <t>JÖNKÖPINGS LÄN</t>
        </is>
      </c>
      <c r="E698" t="inlineStr">
        <is>
          <t>VÄRNAMO</t>
        </is>
      </c>
      <c r="G698" t="n">
        <v>0.4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2648-2021</t>
        </is>
      </c>
      <c r="B699" s="1" t="n">
        <v>44215</v>
      </c>
      <c r="C699" s="1" t="n">
        <v>45962</v>
      </c>
      <c r="D699" t="inlineStr">
        <is>
          <t>JÖNKÖPINGS LÄN</t>
        </is>
      </c>
      <c r="E699" t="inlineStr">
        <is>
          <t>EKSJÖ</t>
        </is>
      </c>
      <c r="G699" t="n">
        <v>4.2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10874-2021</t>
        </is>
      </c>
      <c r="B700" s="1" t="n">
        <v>44259</v>
      </c>
      <c r="C700" s="1" t="n">
        <v>45962</v>
      </c>
      <c r="D700" t="inlineStr">
        <is>
          <t>JÖNKÖPINGS LÄN</t>
        </is>
      </c>
      <c r="E700" t="inlineStr">
        <is>
          <t>JÖNKÖPING</t>
        </is>
      </c>
      <c r="G700" t="n">
        <v>0.5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8766-2021</t>
        </is>
      </c>
      <c r="B701" s="1" t="n">
        <v>44245</v>
      </c>
      <c r="C701" s="1" t="n">
        <v>45962</v>
      </c>
      <c r="D701" t="inlineStr">
        <is>
          <t>JÖNKÖPINGS LÄN</t>
        </is>
      </c>
      <c r="E701" t="inlineStr">
        <is>
          <t>NÄSSJÖ</t>
        </is>
      </c>
      <c r="G701" t="n">
        <v>3.1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8809-2021</t>
        </is>
      </c>
      <c r="B702" s="1" t="n">
        <v>44246.66261574074</v>
      </c>
      <c r="C702" s="1" t="n">
        <v>45962</v>
      </c>
      <c r="D702" t="inlineStr">
        <is>
          <t>JÖNKÖPINGS LÄN</t>
        </is>
      </c>
      <c r="E702" t="inlineStr">
        <is>
          <t>VETLANDA</t>
        </is>
      </c>
      <c r="G702" t="n">
        <v>1.1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8173-2021</t>
        </is>
      </c>
      <c r="B703" s="1" t="n">
        <v>44244</v>
      </c>
      <c r="C703" s="1" t="n">
        <v>45962</v>
      </c>
      <c r="D703" t="inlineStr">
        <is>
          <t>JÖNKÖPINGS LÄN</t>
        </is>
      </c>
      <c r="E703" t="inlineStr">
        <is>
          <t>GISLAVED</t>
        </is>
      </c>
      <c r="G703" t="n">
        <v>1.5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41376-2021</t>
        </is>
      </c>
      <c r="B704" s="1" t="n">
        <v>44424</v>
      </c>
      <c r="C704" s="1" t="n">
        <v>45962</v>
      </c>
      <c r="D704" t="inlineStr">
        <is>
          <t>JÖNKÖPINGS LÄN</t>
        </is>
      </c>
      <c r="E704" t="inlineStr">
        <is>
          <t>TRANÅS</t>
        </is>
      </c>
      <c r="F704" t="inlineStr">
        <is>
          <t>Allmännings- och besparingsskogar</t>
        </is>
      </c>
      <c r="G704" t="n">
        <v>2.3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44433-2021</t>
        </is>
      </c>
      <c r="B705" s="1" t="n">
        <v>44435</v>
      </c>
      <c r="C705" s="1" t="n">
        <v>45962</v>
      </c>
      <c r="D705" t="inlineStr">
        <is>
          <t>JÖNKÖPINGS LÄN</t>
        </is>
      </c>
      <c r="E705" t="inlineStr">
        <is>
          <t>VETLANDA</t>
        </is>
      </c>
      <c r="F705" t="inlineStr">
        <is>
          <t>Sveaskog</t>
        </is>
      </c>
      <c r="G705" t="n">
        <v>1.5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600-2021</t>
        </is>
      </c>
      <c r="B706" s="1" t="n">
        <v>44203</v>
      </c>
      <c r="C706" s="1" t="n">
        <v>45962</v>
      </c>
      <c r="D706" t="inlineStr">
        <is>
          <t>JÖNKÖPINGS LÄN</t>
        </is>
      </c>
      <c r="E706" t="inlineStr">
        <is>
          <t>VÄRNAMO</t>
        </is>
      </c>
      <c r="G706" t="n">
        <v>0.5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53196-2021</t>
        </is>
      </c>
      <c r="B707" s="1" t="n">
        <v>44468</v>
      </c>
      <c r="C707" s="1" t="n">
        <v>45962</v>
      </c>
      <c r="D707" t="inlineStr">
        <is>
          <t>JÖNKÖPINGS LÄN</t>
        </is>
      </c>
      <c r="E707" t="inlineStr">
        <is>
          <t>GNOSJÖ</t>
        </is>
      </c>
      <c r="G707" t="n">
        <v>3.7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25833-2021</t>
        </is>
      </c>
      <c r="B708" s="1" t="n">
        <v>44343</v>
      </c>
      <c r="C708" s="1" t="n">
        <v>45962</v>
      </c>
      <c r="D708" t="inlineStr">
        <is>
          <t>JÖNKÖPINGS LÄN</t>
        </is>
      </c>
      <c r="E708" t="inlineStr">
        <is>
          <t>VETLANDA</t>
        </is>
      </c>
      <c r="G708" t="n">
        <v>4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37299-2021</t>
        </is>
      </c>
      <c r="B709" s="1" t="n">
        <v>44397</v>
      </c>
      <c r="C709" s="1" t="n">
        <v>45962</v>
      </c>
      <c r="D709" t="inlineStr">
        <is>
          <t>JÖNKÖPINGS LÄN</t>
        </is>
      </c>
      <c r="E709" t="inlineStr">
        <is>
          <t>SÄVSJÖ</t>
        </is>
      </c>
      <c r="G709" t="n">
        <v>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47651-2022</t>
        </is>
      </c>
      <c r="B710" s="1" t="n">
        <v>44854.45015046297</v>
      </c>
      <c r="C710" s="1" t="n">
        <v>45962</v>
      </c>
      <c r="D710" t="inlineStr">
        <is>
          <t>JÖNKÖPINGS LÄN</t>
        </is>
      </c>
      <c r="E710" t="inlineStr">
        <is>
          <t>VÄRNAMO</t>
        </is>
      </c>
      <c r="G710" t="n">
        <v>0.6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30847-2022</t>
        </is>
      </c>
      <c r="B711" s="1" t="n">
        <v>44767.45964120371</v>
      </c>
      <c r="C711" s="1" t="n">
        <v>45962</v>
      </c>
      <c r="D711" t="inlineStr">
        <is>
          <t>JÖNKÖPINGS LÄN</t>
        </is>
      </c>
      <c r="E711" t="inlineStr">
        <is>
          <t>GISLAVED</t>
        </is>
      </c>
      <c r="G711" t="n">
        <v>0.6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20280-2021</t>
        </is>
      </c>
      <c r="B712" s="1" t="n">
        <v>44314</v>
      </c>
      <c r="C712" s="1" t="n">
        <v>45962</v>
      </c>
      <c r="D712" t="inlineStr">
        <is>
          <t>JÖNKÖPINGS LÄN</t>
        </is>
      </c>
      <c r="E712" t="inlineStr">
        <is>
          <t>NÄSSJÖ</t>
        </is>
      </c>
      <c r="G712" t="n">
        <v>0.1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35688-2021</t>
        </is>
      </c>
      <c r="B713" s="1" t="n">
        <v>44386.47817129629</v>
      </c>
      <c r="C713" s="1" t="n">
        <v>45962</v>
      </c>
      <c r="D713" t="inlineStr">
        <is>
          <t>JÖNKÖPINGS LÄN</t>
        </is>
      </c>
      <c r="E713" t="inlineStr">
        <is>
          <t>ANEBY</t>
        </is>
      </c>
      <c r="G713" t="n">
        <v>2.7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2526-2021</t>
        </is>
      </c>
      <c r="B714" s="1" t="n">
        <v>44214</v>
      </c>
      <c r="C714" s="1" t="n">
        <v>45962</v>
      </c>
      <c r="D714" t="inlineStr">
        <is>
          <t>JÖNKÖPINGS LÄN</t>
        </is>
      </c>
      <c r="E714" t="inlineStr">
        <is>
          <t>EKSJÖ</t>
        </is>
      </c>
      <c r="G714" t="n">
        <v>1.3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7510-2021</t>
        </is>
      </c>
      <c r="B715" s="1" t="n">
        <v>44239</v>
      </c>
      <c r="C715" s="1" t="n">
        <v>45962</v>
      </c>
      <c r="D715" t="inlineStr">
        <is>
          <t>JÖNKÖPINGS LÄN</t>
        </is>
      </c>
      <c r="E715" t="inlineStr">
        <is>
          <t>NÄSSJÖ</t>
        </is>
      </c>
      <c r="G715" t="n">
        <v>4.1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7070-2021</t>
        </is>
      </c>
      <c r="B716" s="1" t="n">
        <v>44237</v>
      </c>
      <c r="C716" s="1" t="n">
        <v>45962</v>
      </c>
      <c r="D716" t="inlineStr">
        <is>
          <t>JÖNKÖPINGS LÄN</t>
        </is>
      </c>
      <c r="E716" t="inlineStr">
        <is>
          <t>HABO</t>
        </is>
      </c>
      <c r="G716" t="n">
        <v>0.9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32814-2021</t>
        </is>
      </c>
      <c r="B717" s="1" t="n">
        <v>44375.609375</v>
      </c>
      <c r="C717" s="1" t="n">
        <v>45962</v>
      </c>
      <c r="D717" t="inlineStr">
        <is>
          <t>JÖNKÖPINGS LÄN</t>
        </is>
      </c>
      <c r="E717" t="inlineStr">
        <is>
          <t>VETLANDA</t>
        </is>
      </c>
      <c r="G717" t="n">
        <v>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52028-2021</t>
        </is>
      </c>
      <c r="B718" s="1" t="n">
        <v>44463</v>
      </c>
      <c r="C718" s="1" t="n">
        <v>45962</v>
      </c>
      <c r="D718" t="inlineStr">
        <is>
          <t>JÖNKÖPINGS LÄN</t>
        </is>
      </c>
      <c r="E718" t="inlineStr">
        <is>
          <t>NÄSSJÖ</t>
        </is>
      </c>
      <c r="G718" t="n">
        <v>5.7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32430-2022</t>
        </is>
      </c>
      <c r="B719" s="1" t="n">
        <v>44782</v>
      </c>
      <c r="C719" s="1" t="n">
        <v>45962</v>
      </c>
      <c r="D719" t="inlineStr">
        <is>
          <t>JÖNKÖPINGS LÄN</t>
        </is>
      </c>
      <c r="E719" t="inlineStr">
        <is>
          <t>EKSJÖ</t>
        </is>
      </c>
      <c r="G719" t="n">
        <v>0.2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17284-2021</t>
        </is>
      </c>
      <c r="B720" s="1" t="n">
        <v>44298</v>
      </c>
      <c r="C720" s="1" t="n">
        <v>45962</v>
      </c>
      <c r="D720" t="inlineStr">
        <is>
          <t>JÖNKÖPINGS LÄN</t>
        </is>
      </c>
      <c r="E720" t="inlineStr">
        <is>
          <t>NÄSSJÖ</t>
        </is>
      </c>
      <c r="G720" t="n">
        <v>0.7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30922-2021</t>
        </is>
      </c>
      <c r="B721" s="1" t="n">
        <v>44365</v>
      </c>
      <c r="C721" s="1" t="n">
        <v>45962</v>
      </c>
      <c r="D721" t="inlineStr">
        <is>
          <t>JÖNKÖPINGS LÄN</t>
        </is>
      </c>
      <c r="E721" t="inlineStr">
        <is>
          <t>JÖNKÖPING</t>
        </is>
      </c>
      <c r="G721" t="n">
        <v>2.6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4782-2021</t>
        </is>
      </c>
      <c r="B722" s="1" t="n">
        <v>44225</v>
      </c>
      <c r="C722" s="1" t="n">
        <v>45962</v>
      </c>
      <c r="D722" t="inlineStr">
        <is>
          <t>JÖNKÖPINGS LÄN</t>
        </is>
      </c>
      <c r="E722" t="inlineStr">
        <is>
          <t>VAGGERYD</t>
        </is>
      </c>
      <c r="G722" t="n">
        <v>0.8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2346-2021</t>
        </is>
      </c>
      <c r="B723" s="1" t="n">
        <v>44214.3921875</v>
      </c>
      <c r="C723" s="1" t="n">
        <v>45962</v>
      </c>
      <c r="D723" t="inlineStr">
        <is>
          <t>JÖNKÖPINGS LÄN</t>
        </is>
      </c>
      <c r="E723" t="inlineStr">
        <is>
          <t>VÄRNAMO</t>
        </is>
      </c>
      <c r="G723" t="n">
        <v>2.4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2352-2021</t>
        </is>
      </c>
      <c r="B724" s="1" t="n">
        <v>44214.41835648148</v>
      </c>
      <c r="C724" s="1" t="n">
        <v>45962</v>
      </c>
      <c r="D724" t="inlineStr">
        <is>
          <t>JÖNKÖPINGS LÄN</t>
        </is>
      </c>
      <c r="E724" t="inlineStr">
        <is>
          <t>SÄVSJÖ</t>
        </is>
      </c>
      <c r="G724" t="n">
        <v>1.4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10964-2021</t>
        </is>
      </c>
      <c r="B725" s="1" t="n">
        <v>44260.38792824074</v>
      </c>
      <c r="C725" s="1" t="n">
        <v>45962</v>
      </c>
      <c r="D725" t="inlineStr">
        <is>
          <t>JÖNKÖPINGS LÄN</t>
        </is>
      </c>
      <c r="E725" t="inlineStr">
        <is>
          <t>HABO</t>
        </is>
      </c>
      <c r="G725" t="n">
        <v>1.2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40070-2021</t>
        </is>
      </c>
      <c r="B726" s="1" t="n">
        <v>44418</v>
      </c>
      <c r="C726" s="1" t="n">
        <v>45962</v>
      </c>
      <c r="D726" t="inlineStr">
        <is>
          <t>JÖNKÖPINGS LÄN</t>
        </is>
      </c>
      <c r="E726" t="inlineStr">
        <is>
          <t>NÄSSJÖ</t>
        </is>
      </c>
      <c r="G726" t="n">
        <v>0.5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40103-2021</t>
        </is>
      </c>
      <c r="B727" s="1" t="n">
        <v>44418</v>
      </c>
      <c r="C727" s="1" t="n">
        <v>45962</v>
      </c>
      <c r="D727" t="inlineStr">
        <is>
          <t>JÖNKÖPINGS LÄN</t>
        </is>
      </c>
      <c r="E727" t="inlineStr">
        <is>
          <t>TRANÅS</t>
        </is>
      </c>
      <c r="G727" t="n">
        <v>1.3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34418-2021</t>
        </is>
      </c>
      <c r="B728" s="1" t="n">
        <v>44380.32061342592</v>
      </c>
      <c r="C728" s="1" t="n">
        <v>45962</v>
      </c>
      <c r="D728" t="inlineStr">
        <is>
          <t>JÖNKÖPINGS LÄN</t>
        </is>
      </c>
      <c r="E728" t="inlineStr">
        <is>
          <t>NÄSSJÖ</t>
        </is>
      </c>
      <c r="G728" t="n">
        <v>1.3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24813-2021</t>
        </is>
      </c>
      <c r="B729" s="1" t="n">
        <v>44340.67737268518</v>
      </c>
      <c r="C729" s="1" t="n">
        <v>45962</v>
      </c>
      <c r="D729" t="inlineStr">
        <is>
          <t>JÖNKÖPINGS LÄN</t>
        </is>
      </c>
      <c r="E729" t="inlineStr">
        <is>
          <t>GNOSJÖ</t>
        </is>
      </c>
      <c r="G729" t="n">
        <v>0.8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30640-2021</t>
        </is>
      </c>
      <c r="B730" s="1" t="n">
        <v>44365</v>
      </c>
      <c r="C730" s="1" t="n">
        <v>45962</v>
      </c>
      <c r="D730" t="inlineStr">
        <is>
          <t>JÖNKÖPINGS LÄN</t>
        </is>
      </c>
      <c r="E730" t="inlineStr">
        <is>
          <t>VÄRNAMO</t>
        </is>
      </c>
      <c r="F730" t="inlineStr">
        <is>
          <t>Kommuner</t>
        </is>
      </c>
      <c r="G730" t="n">
        <v>3.3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13451-2021</t>
        </is>
      </c>
      <c r="B731" s="1" t="n">
        <v>44273</v>
      </c>
      <c r="C731" s="1" t="n">
        <v>45962</v>
      </c>
      <c r="D731" t="inlineStr">
        <is>
          <t>JÖNKÖPINGS LÄN</t>
        </is>
      </c>
      <c r="E731" t="inlineStr">
        <is>
          <t>GISLAVED</t>
        </is>
      </c>
      <c r="G731" t="n">
        <v>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56375-2021</t>
        </is>
      </c>
      <c r="B732" s="1" t="n">
        <v>44480.44052083333</v>
      </c>
      <c r="C732" s="1" t="n">
        <v>45962</v>
      </c>
      <c r="D732" t="inlineStr">
        <is>
          <t>JÖNKÖPINGS LÄN</t>
        </is>
      </c>
      <c r="E732" t="inlineStr">
        <is>
          <t>VAGGERYD</t>
        </is>
      </c>
      <c r="F732" t="inlineStr">
        <is>
          <t>Sveaskog</t>
        </is>
      </c>
      <c r="G732" t="n">
        <v>0.7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48998-2021</t>
        </is>
      </c>
      <c r="B733" s="1" t="n">
        <v>44453.44710648148</v>
      </c>
      <c r="C733" s="1" t="n">
        <v>45962</v>
      </c>
      <c r="D733" t="inlineStr">
        <is>
          <t>JÖNKÖPINGS LÄN</t>
        </is>
      </c>
      <c r="E733" t="inlineStr">
        <is>
          <t>VETLANDA</t>
        </is>
      </c>
      <c r="G733" t="n">
        <v>1.2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70965-2021</t>
        </is>
      </c>
      <c r="B734" s="1" t="n">
        <v>44538</v>
      </c>
      <c r="C734" s="1" t="n">
        <v>45962</v>
      </c>
      <c r="D734" t="inlineStr">
        <is>
          <t>JÖNKÖPINGS LÄN</t>
        </is>
      </c>
      <c r="E734" t="inlineStr">
        <is>
          <t>JÖNKÖPING</t>
        </is>
      </c>
      <c r="G734" t="n">
        <v>0.7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1307-2022</t>
        </is>
      </c>
      <c r="B735" s="1" t="n">
        <v>44572.71422453703</v>
      </c>
      <c r="C735" s="1" t="n">
        <v>45962</v>
      </c>
      <c r="D735" t="inlineStr">
        <is>
          <t>JÖNKÖPINGS LÄN</t>
        </is>
      </c>
      <c r="E735" t="inlineStr">
        <is>
          <t>SÄVSJÖ</t>
        </is>
      </c>
      <c r="G735" t="n">
        <v>1.8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57179-2021</t>
        </is>
      </c>
      <c r="B736" s="1" t="n">
        <v>44482.89006944445</v>
      </c>
      <c r="C736" s="1" t="n">
        <v>45962</v>
      </c>
      <c r="D736" t="inlineStr">
        <is>
          <t>JÖNKÖPINGS LÄN</t>
        </is>
      </c>
      <c r="E736" t="inlineStr">
        <is>
          <t>TRANÅS</t>
        </is>
      </c>
      <c r="G736" t="n">
        <v>1.3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62724-2021</t>
        </is>
      </c>
      <c r="B737" s="1" t="n">
        <v>44504</v>
      </c>
      <c r="C737" s="1" t="n">
        <v>45962</v>
      </c>
      <c r="D737" t="inlineStr">
        <is>
          <t>JÖNKÖPINGS LÄN</t>
        </is>
      </c>
      <c r="E737" t="inlineStr">
        <is>
          <t>VETLANDA</t>
        </is>
      </c>
      <c r="G737" t="n">
        <v>0.4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2646-2022</t>
        </is>
      </c>
      <c r="B738" s="1" t="n">
        <v>44580</v>
      </c>
      <c r="C738" s="1" t="n">
        <v>45962</v>
      </c>
      <c r="D738" t="inlineStr">
        <is>
          <t>JÖNKÖPINGS LÄN</t>
        </is>
      </c>
      <c r="E738" t="inlineStr">
        <is>
          <t>VETLANDA</t>
        </is>
      </c>
      <c r="G738" t="n">
        <v>0.6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45544-2022</t>
        </is>
      </c>
      <c r="B739" s="1" t="n">
        <v>44845.47885416666</v>
      </c>
      <c r="C739" s="1" t="n">
        <v>45962</v>
      </c>
      <c r="D739" t="inlineStr">
        <is>
          <t>JÖNKÖPINGS LÄN</t>
        </is>
      </c>
      <c r="E739" t="inlineStr">
        <is>
          <t>GISLAVED</t>
        </is>
      </c>
      <c r="G739" t="n">
        <v>0.5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2654-2022</t>
        </is>
      </c>
      <c r="B740" s="1" t="n">
        <v>44580.54946759259</v>
      </c>
      <c r="C740" s="1" t="n">
        <v>45962</v>
      </c>
      <c r="D740" t="inlineStr">
        <is>
          <t>JÖNKÖPINGS LÄN</t>
        </is>
      </c>
      <c r="E740" t="inlineStr">
        <is>
          <t>SÄVSJÖ</t>
        </is>
      </c>
      <c r="G740" t="n">
        <v>0.5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19024-2022</t>
        </is>
      </c>
      <c r="B741" s="1" t="n">
        <v>44691.34113425926</v>
      </c>
      <c r="C741" s="1" t="n">
        <v>45962</v>
      </c>
      <c r="D741" t="inlineStr">
        <is>
          <t>JÖNKÖPINGS LÄN</t>
        </is>
      </c>
      <c r="E741" t="inlineStr">
        <is>
          <t>VETLANDA</t>
        </is>
      </c>
      <c r="G741" t="n">
        <v>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11398-2021</t>
        </is>
      </c>
      <c r="B742" s="1" t="n">
        <v>44263</v>
      </c>
      <c r="C742" s="1" t="n">
        <v>45962</v>
      </c>
      <c r="D742" t="inlineStr">
        <is>
          <t>JÖNKÖPINGS LÄN</t>
        </is>
      </c>
      <c r="E742" t="inlineStr">
        <is>
          <t>JÖNKÖPING</t>
        </is>
      </c>
      <c r="F742" t="inlineStr">
        <is>
          <t>Kyrkan</t>
        </is>
      </c>
      <c r="G742" t="n">
        <v>2.7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22516-2022</t>
        </is>
      </c>
      <c r="B743" s="1" t="n">
        <v>44713.68127314815</v>
      </c>
      <c r="C743" s="1" t="n">
        <v>45962</v>
      </c>
      <c r="D743" t="inlineStr">
        <is>
          <t>JÖNKÖPINGS LÄN</t>
        </is>
      </c>
      <c r="E743" t="inlineStr">
        <is>
          <t>VAGGERYD</t>
        </is>
      </c>
      <c r="G743" t="n">
        <v>3.5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60234-2021</t>
        </is>
      </c>
      <c r="B744" s="1" t="n">
        <v>44495</v>
      </c>
      <c r="C744" s="1" t="n">
        <v>45962</v>
      </c>
      <c r="D744" t="inlineStr">
        <is>
          <t>JÖNKÖPINGS LÄN</t>
        </is>
      </c>
      <c r="E744" t="inlineStr">
        <is>
          <t>GISLAVED</t>
        </is>
      </c>
      <c r="G744" t="n">
        <v>0.7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57933-2021</t>
        </is>
      </c>
      <c r="B745" s="1" t="n">
        <v>44487</v>
      </c>
      <c r="C745" s="1" t="n">
        <v>45962</v>
      </c>
      <c r="D745" t="inlineStr">
        <is>
          <t>JÖNKÖPINGS LÄN</t>
        </is>
      </c>
      <c r="E745" t="inlineStr">
        <is>
          <t>JÖNKÖPING</t>
        </is>
      </c>
      <c r="G745" t="n">
        <v>0.1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57934-2021</t>
        </is>
      </c>
      <c r="B746" s="1" t="n">
        <v>44487</v>
      </c>
      <c r="C746" s="1" t="n">
        <v>45962</v>
      </c>
      <c r="D746" t="inlineStr">
        <is>
          <t>JÖNKÖPINGS LÄN</t>
        </is>
      </c>
      <c r="E746" t="inlineStr">
        <is>
          <t>JÖNKÖPING</t>
        </is>
      </c>
      <c r="G746" t="n">
        <v>0.3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13217-2021</t>
        </is>
      </c>
      <c r="B747" s="1" t="n">
        <v>44272</v>
      </c>
      <c r="C747" s="1" t="n">
        <v>45962</v>
      </c>
      <c r="D747" t="inlineStr">
        <is>
          <t>JÖNKÖPINGS LÄN</t>
        </is>
      </c>
      <c r="E747" t="inlineStr">
        <is>
          <t>JÖNKÖPING</t>
        </is>
      </c>
      <c r="G747" t="n">
        <v>0.5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52058-2022</t>
        </is>
      </c>
      <c r="B748" s="1" t="n">
        <v>44873</v>
      </c>
      <c r="C748" s="1" t="n">
        <v>45962</v>
      </c>
      <c r="D748" t="inlineStr">
        <is>
          <t>JÖNKÖPINGS LÄN</t>
        </is>
      </c>
      <c r="E748" t="inlineStr">
        <is>
          <t>MULLSJÖ</t>
        </is>
      </c>
      <c r="G748" t="n">
        <v>0.4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52916-2022</t>
        </is>
      </c>
      <c r="B749" s="1" t="n">
        <v>44875.59231481481</v>
      </c>
      <c r="C749" s="1" t="n">
        <v>45962</v>
      </c>
      <c r="D749" t="inlineStr">
        <is>
          <t>JÖNKÖPINGS LÄN</t>
        </is>
      </c>
      <c r="E749" t="inlineStr">
        <is>
          <t>JÖNKÖPING</t>
        </is>
      </c>
      <c r="G749" t="n">
        <v>1.9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46383-2022</t>
        </is>
      </c>
      <c r="B750" s="1" t="n">
        <v>44846</v>
      </c>
      <c r="C750" s="1" t="n">
        <v>45962</v>
      </c>
      <c r="D750" t="inlineStr">
        <is>
          <t>JÖNKÖPINGS LÄN</t>
        </is>
      </c>
      <c r="E750" t="inlineStr">
        <is>
          <t>TRANÅS</t>
        </is>
      </c>
      <c r="G750" t="n">
        <v>7.2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60303-2021</t>
        </is>
      </c>
      <c r="B751" s="1" t="n">
        <v>44495</v>
      </c>
      <c r="C751" s="1" t="n">
        <v>45962</v>
      </c>
      <c r="D751" t="inlineStr">
        <is>
          <t>JÖNKÖPINGS LÄN</t>
        </is>
      </c>
      <c r="E751" t="inlineStr">
        <is>
          <t>GISLAVED</t>
        </is>
      </c>
      <c r="G751" t="n">
        <v>0.9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1494-2022</t>
        </is>
      </c>
      <c r="B752" s="1" t="n">
        <v>44573.53703703704</v>
      </c>
      <c r="C752" s="1" t="n">
        <v>45962</v>
      </c>
      <c r="D752" t="inlineStr">
        <is>
          <t>JÖNKÖPINGS LÄN</t>
        </is>
      </c>
      <c r="E752" t="inlineStr">
        <is>
          <t>EKSJÖ</t>
        </is>
      </c>
      <c r="G752" t="n">
        <v>0.5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20378-2021</t>
        </is>
      </c>
      <c r="B753" s="1" t="n">
        <v>44315.47212962963</v>
      </c>
      <c r="C753" s="1" t="n">
        <v>45962</v>
      </c>
      <c r="D753" t="inlineStr">
        <is>
          <t>JÖNKÖPINGS LÄN</t>
        </is>
      </c>
      <c r="E753" t="inlineStr">
        <is>
          <t>VETLANDA</t>
        </is>
      </c>
      <c r="G753" t="n">
        <v>0.5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53757-2022</t>
        </is>
      </c>
      <c r="B754" s="1" t="n">
        <v>44880</v>
      </c>
      <c r="C754" s="1" t="n">
        <v>45962</v>
      </c>
      <c r="D754" t="inlineStr">
        <is>
          <t>JÖNKÖPINGS LÄN</t>
        </is>
      </c>
      <c r="E754" t="inlineStr">
        <is>
          <t>VETLANDA</t>
        </is>
      </c>
      <c r="G754" t="n">
        <v>0.8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63577-2021</t>
        </is>
      </c>
      <c r="B755" s="1" t="n">
        <v>44508.88515046296</v>
      </c>
      <c r="C755" s="1" t="n">
        <v>45962</v>
      </c>
      <c r="D755" t="inlineStr">
        <is>
          <t>JÖNKÖPINGS LÄN</t>
        </is>
      </c>
      <c r="E755" t="inlineStr">
        <is>
          <t>NÄSSJÖ</t>
        </is>
      </c>
      <c r="G755" t="n">
        <v>0.2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40646-2022</t>
        </is>
      </c>
      <c r="B756" s="1" t="n">
        <v>44824</v>
      </c>
      <c r="C756" s="1" t="n">
        <v>45962</v>
      </c>
      <c r="D756" t="inlineStr">
        <is>
          <t>JÖNKÖPINGS LÄN</t>
        </is>
      </c>
      <c r="E756" t="inlineStr">
        <is>
          <t>HABO</t>
        </is>
      </c>
      <c r="G756" t="n">
        <v>0.9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26454-2022</t>
        </is>
      </c>
      <c r="B757" s="1" t="n">
        <v>44739</v>
      </c>
      <c r="C757" s="1" t="n">
        <v>45962</v>
      </c>
      <c r="D757" t="inlineStr">
        <is>
          <t>JÖNKÖPINGS LÄN</t>
        </is>
      </c>
      <c r="E757" t="inlineStr">
        <is>
          <t>EKSJÖ</t>
        </is>
      </c>
      <c r="G757" t="n">
        <v>3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47226-2022</t>
        </is>
      </c>
      <c r="B758" s="1" t="n">
        <v>44852.74376157407</v>
      </c>
      <c r="C758" s="1" t="n">
        <v>45962</v>
      </c>
      <c r="D758" t="inlineStr">
        <is>
          <t>JÖNKÖPINGS LÄN</t>
        </is>
      </c>
      <c r="E758" t="inlineStr">
        <is>
          <t>JÖNKÖPING</t>
        </is>
      </c>
      <c r="F758" t="inlineStr">
        <is>
          <t>Kyrkan</t>
        </is>
      </c>
      <c r="G758" t="n">
        <v>1.9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16130-2021</t>
        </is>
      </c>
      <c r="B759" s="1" t="n">
        <v>44292</v>
      </c>
      <c r="C759" s="1" t="n">
        <v>45962</v>
      </c>
      <c r="D759" t="inlineStr">
        <is>
          <t>JÖNKÖPINGS LÄN</t>
        </is>
      </c>
      <c r="E759" t="inlineStr">
        <is>
          <t>JÖNKÖPING</t>
        </is>
      </c>
      <c r="G759" t="n">
        <v>8.1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106-2021</t>
        </is>
      </c>
      <c r="B760" s="1" t="n">
        <v>44200</v>
      </c>
      <c r="C760" s="1" t="n">
        <v>45962</v>
      </c>
      <c r="D760" t="inlineStr">
        <is>
          <t>JÖNKÖPINGS LÄN</t>
        </is>
      </c>
      <c r="E760" t="inlineStr">
        <is>
          <t>JÖNKÖPING</t>
        </is>
      </c>
      <c r="G760" t="n">
        <v>2.5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47926-2022</t>
        </is>
      </c>
      <c r="B761" s="1" t="n">
        <v>44855.51241898148</v>
      </c>
      <c r="C761" s="1" t="n">
        <v>45962</v>
      </c>
      <c r="D761" t="inlineStr">
        <is>
          <t>JÖNKÖPINGS LÄN</t>
        </is>
      </c>
      <c r="E761" t="inlineStr">
        <is>
          <t>VAGGERYD</t>
        </is>
      </c>
      <c r="G761" t="n">
        <v>0.6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55738-2022</t>
        </is>
      </c>
      <c r="B762" s="1" t="n">
        <v>44888</v>
      </c>
      <c r="C762" s="1" t="n">
        <v>45962</v>
      </c>
      <c r="D762" t="inlineStr">
        <is>
          <t>JÖNKÖPINGS LÄN</t>
        </is>
      </c>
      <c r="E762" t="inlineStr">
        <is>
          <t>ANEBY</t>
        </is>
      </c>
      <c r="G762" t="n">
        <v>0.5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61250-2021</t>
        </is>
      </c>
      <c r="B763" s="1" t="n">
        <v>44498.56373842592</v>
      </c>
      <c r="C763" s="1" t="n">
        <v>45962</v>
      </c>
      <c r="D763" t="inlineStr">
        <is>
          <t>JÖNKÖPINGS LÄN</t>
        </is>
      </c>
      <c r="E763" t="inlineStr">
        <is>
          <t>JÖNKÖPING</t>
        </is>
      </c>
      <c r="G763" t="n">
        <v>0.9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63513-2021</t>
        </is>
      </c>
      <c r="B764" s="1" t="n">
        <v>44508.6427662037</v>
      </c>
      <c r="C764" s="1" t="n">
        <v>45962</v>
      </c>
      <c r="D764" t="inlineStr">
        <is>
          <t>JÖNKÖPINGS LÄN</t>
        </is>
      </c>
      <c r="E764" t="inlineStr">
        <is>
          <t>TRANÅS</t>
        </is>
      </c>
      <c r="G764" t="n">
        <v>0.7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65304-2020</t>
        </is>
      </c>
      <c r="B765" s="1" t="n">
        <v>44169</v>
      </c>
      <c r="C765" s="1" t="n">
        <v>45962</v>
      </c>
      <c r="D765" t="inlineStr">
        <is>
          <t>JÖNKÖPINGS LÄN</t>
        </is>
      </c>
      <c r="E765" t="inlineStr">
        <is>
          <t>VÄRNAMO</t>
        </is>
      </c>
      <c r="G765" t="n">
        <v>1.1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16103-2022</t>
        </is>
      </c>
      <c r="B766" s="1" t="n">
        <v>44665.60081018518</v>
      </c>
      <c r="C766" s="1" t="n">
        <v>45962</v>
      </c>
      <c r="D766" t="inlineStr">
        <is>
          <t>JÖNKÖPINGS LÄN</t>
        </is>
      </c>
      <c r="E766" t="inlineStr">
        <is>
          <t>JÖNKÖPING</t>
        </is>
      </c>
      <c r="G766" t="n">
        <v>0.7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65601-2020</t>
        </is>
      </c>
      <c r="B767" s="1" t="n">
        <v>44173</v>
      </c>
      <c r="C767" s="1" t="n">
        <v>45962</v>
      </c>
      <c r="D767" t="inlineStr">
        <is>
          <t>JÖNKÖPINGS LÄN</t>
        </is>
      </c>
      <c r="E767" t="inlineStr">
        <is>
          <t>SÄVSJÖ</t>
        </is>
      </c>
      <c r="G767" t="n">
        <v>1.3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54217-2022</t>
        </is>
      </c>
      <c r="B768" s="1" t="n">
        <v>44881.79847222222</v>
      </c>
      <c r="C768" s="1" t="n">
        <v>45962</v>
      </c>
      <c r="D768" t="inlineStr">
        <is>
          <t>JÖNKÖPINGS LÄN</t>
        </is>
      </c>
      <c r="E768" t="inlineStr">
        <is>
          <t>JÖNKÖPING</t>
        </is>
      </c>
      <c r="G768" t="n">
        <v>0.5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66911-2020</t>
        </is>
      </c>
      <c r="B769" s="1" t="n">
        <v>44176</v>
      </c>
      <c r="C769" s="1" t="n">
        <v>45962</v>
      </c>
      <c r="D769" t="inlineStr">
        <is>
          <t>JÖNKÖPINGS LÄN</t>
        </is>
      </c>
      <c r="E769" t="inlineStr">
        <is>
          <t>VÄRNAMO</t>
        </is>
      </c>
      <c r="G769" t="n">
        <v>7.3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15670-2021</t>
        </is>
      </c>
      <c r="B770" s="1" t="n">
        <v>44286.34827546297</v>
      </c>
      <c r="C770" s="1" t="n">
        <v>45962</v>
      </c>
      <c r="D770" t="inlineStr">
        <is>
          <t>JÖNKÖPINGS LÄN</t>
        </is>
      </c>
      <c r="E770" t="inlineStr">
        <is>
          <t>JÖNKÖPING</t>
        </is>
      </c>
      <c r="G770" t="n">
        <v>1.8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59026-2021</t>
        </is>
      </c>
      <c r="B771" s="1" t="n">
        <v>44490</v>
      </c>
      <c r="C771" s="1" t="n">
        <v>45962</v>
      </c>
      <c r="D771" t="inlineStr">
        <is>
          <t>JÖNKÖPINGS LÄN</t>
        </is>
      </c>
      <c r="E771" t="inlineStr">
        <is>
          <t>VAGGERYD</t>
        </is>
      </c>
      <c r="F771" t="inlineStr">
        <is>
          <t>Sveaskog</t>
        </is>
      </c>
      <c r="G771" t="n">
        <v>0.9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30880-2021</t>
        </is>
      </c>
      <c r="B772" s="1" t="n">
        <v>44365</v>
      </c>
      <c r="C772" s="1" t="n">
        <v>45962</v>
      </c>
      <c r="D772" t="inlineStr">
        <is>
          <t>JÖNKÖPINGS LÄN</t>
        </is>
      </c>
      <c r="E772" t="inlineStr">
        <is>
          <t>GISLAVED</t>
        </is>
      </c>
      <c r="G772" t="n">
        <v>1.6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64878-2020</t>
        </is>
      </c>
      <c r="B773" s="1" t="n">
        <v>44171</v>
      </c>
      <c r="C773" s="1" t="n">
        <v>45962</v>
      </c>
      <c r="D773" t="inlineStr">
        <is>
          <t>JÖNKÖPINGS LÄN</t>
        </is>
      </c>
      <c r="E773" t="inlineStr">
        <is>
          <t>VÄRNAMO</t>
        </is>
      </c>
      <c r="G773" t="n">
        <v>2.6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1218-2021</t>
        </is>
      </c>
      <c r="B774" s="1" t="n">
        <v>44208</v>
      </c>
      <c r="C774" s="1" t="n">
        <v>45962</v>
      </c>
      <c r="D774" t="inlineStr">
        <is>
          <t>JÖNKÖPINGS LÄN</t>
        </is>
      </c>
      <c r="E774" t="inlineStr">
        <is>
          <t>EKSJÖ</t>
        </is>
      </c>
      <c r="G774" t="n">
        <v>1.9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45803-2022</t>
        </is>
      </c>
      <c r="B775" s="1" t="n">
        <v>44846</v>
      </c>
      <c r="C775" s="1" t="n">
        <v>45962</v>
      </c>
      <c r="D775" t="inlineStr">
        <is>
          <t>JÖNKÖPINGS LÄN</t>
        </is>
      </c>
      <c r="E775" t="inlineStr">
        <is>
          <t>HABO</t>
        </is>
      </c>
      <c r="G775" t="n">
        <v>0.7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7674-2021</t>
        </is>
      </c>
      <c r="B776" s="1" t="n">
        <v>44239</v>
      </c>
      <c r="C776" s="1" t="n">
        <v>45962</v>
      </c>
      <c r="D776" t="inlineStr">
        <is>
          <t>JÖNKÖPINGS LÄN</t>
        </is>
      </c>
      <c r="E776" t="inlineStr">
        <is>
          <t>VETLANDA</t>
        </is>
      </c>
      <c r="G776" t="n">
        <v>1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4793-2021</t>
        </is>
      </c>
      <c r="B777" s="1" t="n">
        <v>44225</v>
      </c>
      <c r="C777" s="1" t="n">
        <v>45962</v>
      </c>
      <c r="D777" t="inlineStr">
        <is>
          <t>JÖNKÖPINGS LÄN</t>
        </is>
      </c>
      <c r="E777" t="inlineStr">
        <is>
          <t>VAGGERYD</t>
        </is>
      </c>
      <c r="G777" t="n">
        <v>1.4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32683-2021</t>
        </is>
      </c>
      <c r="B778" s="1" t="n">
        <v>44375</v>
      </c>
      <c r="C778" s="1" t="n">
        <v>45962</v>
      </c>
      <c r="D778" t="inlineStr">
        <is>
          <t>JÖNKÖPINGS LÄN</t>
        </is>
      </c>
      <c r="E778" t="inlineStr">
        <is>
          <t>NÄSSJÖ</t>
        </is>
      </c>
      <c r="G778" t="n">
        <v>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8540-2022</t>
        </is>
      </c>
      <c r="B779" s="1" t="n">
        <v>44613</v>
      </c>
      <c r="C779" s="1" t="n">
        <v>45962</v>
      </c>
      <c r="D779" t="inlineStr">
        <is>
          <t>JÖNKÖPINGS LÄN</t>
        </is>
      </c>
      <c r="E779" t="inlineStr">
        <is>
          <t>NÄSSJÖ</t>
        </is>
      </c>
      <c r="G779" t="n">
        <v>1.1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52228-2022</t>
        </is>
      </c>
      <c r="B780" s="1" t="n">
        <v>44873.58728009259</v>
      </c>
      <c r="C780" s="1" t="n">
        <v>45962</v>
      </c>
      <c r="D780" t="inlineStr">
        <is>
          <t>JÖNKÖPINGS LÄN</t>
        </is>
      </c>
      <c r="E780" t="inlineStr">
        <is>
          <t>GISLAVED</t>
        </is>
      </c>
      <c r="G780" t="n">
        <v>0.4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12821-2021</t>
        </is>
      </c>
      <c r="B781" s="1" t="n">
        <v>44271.31347222222</v>
      </c>
      <c r="C781" s="1" t="n">
        <v>45962</v>
      </c>
      <c r="D781" t="inlineStr">
        <is>
          <t>JÖNKÖPINGS LÄN</t>
        </is>
      </c>
      <c r="E781" t="inlineStr">
        <is>
          <t>EKSJÖ</t>
        </is>
      </c>
      <c r="G781" t="n">
        <v>0.7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28922-2021</t>
        </is>
      </c>
      <c r="B782" s="1" t="n">
        <v>44358.29576388889</v>
      </c>
      <c r="C782" s="1" t="n">
        <v>45962</v>
      </c>
      <c r="D782" t="inlineStr">
        <is>
          <t>JÖNKÖPINGS LÄN</t>
        </is>
      </c>
      <c r="E782" t="inlineStr">
        <is>
          <t>GISLAVED</t>
        </is>
      </c>
      <c r="G782" t="n">
        <v>0.7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28942-2021</t>
        </is>
      </c>
      <c r="B783" s="1" t="n">
        <v>44357</v>
      </c>
      <c r="C783" s="1" t="n">
        <v>45962</v>
      </c>
      <c r="D783" t="inlineStr">
        <is>
          <t>JÖNKÖPINGS LÄN</t>
        </is>
      </c>
      <c r="E783" t="inlineStr">
        <is>
          <t>ANEBY</t>
        </is>
      </c>
      <c r="G783" t="n">
        <v>2.6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7597-2022</t>
        </is>
      </c>
      <c r="B784" s="1" t="n">
        <v>44607.64086805555</v>
      </c>
      <c r="C784" s="1" t="n">
        <v>45962</v>
      </c>
      <c r="D784" t="inlineStr">
        <is>
          <t>JÖNKÖPINGS LÄN</t>
        </is>
      </c>
      <c r="E784" t="inlineStr">
        <is>
          <t>VÄRNAMO</t>
        </is>
      </c>
      <c r="G784" t="n">
        <v>0.6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13412-2021</t>
        </is>
      </c>
      <c r="B785" s="1" t="n">
        <v>44273</v>
      </c>
      <c r="C785" s="1" t="n">
        <v>45962</v>
      </c>
      <c r="D785" t="inlineStr">
        <is>
          <t>JÖNKÖPINGS LÄN</t>
        </is>
      </c>
      <c r="E785" t="inlineStr">
        <is>
          <t>JÖNKÖPING</t>
        </is>
      </c>
      <c r="G785" t="n">
        <v>0.6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4675-2021</t>
        </is>
      </c>
      <c r="B786" s="1" t="n">
        <v>44225</v>
      </c>
      <c r="C786" s="1" t="n">
        <v>45962</v>
      </c>
      <c r="D786" t="inlineStr">
        <is>
          <t>JÖNKÖPINGS LÄN</t>
        </is>
      </c>
      <c r="E786" t="inlineStr">
        <is>
          <t>SÄVSJÖ</t>
        </is>
      </c>
      <c r="G786" t="n">
        <v>1.1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64309-2020</t>
        </is>
      </c>
      <c r="B787" s="1" t="n">
        <v>44168</v>
      </c>
      <c r="C787" s="1" t="n">
        <v>45962</v>
      </c>
      <c r="D787" t="inlineStr">
        <is>
          <t>JÖNKÖPINGS LÄN</t>
        </is>
      </c>
      <c r="E787" t="inlineStr">
        <is>
          <t>GNOSJÖ</t>
        </is>
      </c>
      <c r="G787" t="n">
        <v>2.4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13452-2021</t>
        </is>
      </c>
      <c r="B788" s="1" t="n">
        <v>44273.57444444444</v>
      </c>
      <c r="C788" s="1" t="n">
        <v>45962</v>
      </c>
      <c r="D788" t="inlineStr">
        <is>
          <t>JÖNKÖPINGS LÄN</t>
        </is>
      </c>
      <c r="E788" t="inlineStr">
        <is>
          <t>GISLAVED</t>
        </is>
      </c>
      <c r="G788" t="n">
        <v>0.5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2682-2021</t>
        </is>
      </c>
      <c r="B789" s="1" t="n">
        <v>44215</v>
      </c>
      <c r="C789" s="1" t="n">
        <v>45962</v>
      </c>
      <c r="D789" t="inlineStr">
        <is>
          <t>JÖNKÖPINGS LÄN</t>
        </is>
      </c>
      <c r="E789" t="inlineStr">
        <is>
          <t>EKSJÖ</t>
        </is>
      </c>
      <c r="G789" t="n">
        <v>2.5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8602-2021</t>
        </is>
      </c>
      <c r="B790" s="1" t="n">
        <v>44245</v>
      </c>
      <c r="C790" s="1" t="n">
        <v>45962</v>
      </c>
      <c r="D790" t="inlineStr">
        <is>
          <t>JÖNKÖPINGS LÄN</t>
        </is>
      </c>
      <c r="E790" t="inlineStr">
        <is>
          <t>VETLANDA</t>
        </is>
      </c>
      <c r="G790" t="n">
        <v>0.6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16705-2022</t>
        </is>
      </c>
      <c r="B791" s="1" t="n">
        <v>44673</v>
      </c>
      <c r="C791" s="1" t="n">
        <v>45962</v>
      </c>
      <c r="D791" t="inlineStr">
        <is>
          <t>JÖNKÖPINGS LÄN</t>
        </is>
      </c>
      <c r="E791" t="inlineStr">
        <is>
          <t>JÖNKÖPING</t>
        </is>
      </c>
      <c r="G791" t="n">
        <v>4.6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41211-2021</t>
        </is>
      </c>
      <c r="B792" s="1" t="n">
        <v>44424.39243055556</v>
      </c>
      <c r="C792" s="1" t="n">
        <v>45962</v>
      </c>
      <c r="D792" t="inlineStr">
        <is>
          <t>JÖNKÖPINGS LÄN</t>
        </is>
      </c>
      <c r="E792" t="inlineStr">
        <is>
          <t>HABO</t>
        </is>
      </c>
      <c r="G792" t="n">
        <v>4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55302-2022</t>
        </is>
      </c>
      <c r="B793" s="1" t="n">
        <v>44887.39527777778</v>
      </c>
      <c r="C793" s="1" t="n">
        <v>45962</v>
      </c>
      <c r="D793" t="inlineStr">
        <is>
          <t>JÖNKÖPINGS LÄN</t>
        </is>
      </c>
      <c r="E793" t="inlineStr">
        <is>
          <t>GISLAVED</t>
        </is>
      </c>
      <c r="G793" t="n">
        <v>0.3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49662-2022</t>
        </is>
      </c>
      <c r="B794" s="1" t="n">
        <v>44862.46611111111</v>
      </c>
      <c r="C794" s="1" t="n">
        <v>45962</v>
      </c>
      <c r="D794" t="inlineStr">
        <is>
          <t>JÖNKÖPINGS LÄN</t>
        </is>
      </c>
      <c r="E794" t="inlineStr">
        <is>
          <t>SÄVSJÖ</t>
        </is>
      </c>
      <c r="G794" t="n">
        <v>2.4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42882-2021</t>
        </is>
      </c>
      <c r="B795" s="1" t="n">
        <v>44428</v>
      </c>
      <c r="C795" s="1" t="n">
        <v>45962</v>
      </c>
      <c r="D795" t="inlineStr">
        <is>
          <t>JÖNKÖPINGS LÄN</t>
        </is>
      </c>
      <c r="E795" t="inlineStr">
        <is>
          <t>GISLAVED</t>
        </is>
      </c>
      <c r="G795" t="n">
        <v>2.2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41712-2021</t>
        </is>
      </c>
      <c r="B796" s="1" t="n">
        <v>44425.57732638889</v>
      </c>
      <c r="C796" s="1" t="n">
        <v>45962</v>
      </c>
      <c r="D796" t="inlineStr">
        <is>
          <t>JÖNKÖPINGS LÄN</t>
        </is>
      </c>
      <c r="E796" t="inlineStr">
        <is>
          <t>GISLAVED</t>
        </is>
      </c>
      <c r="G796" t="n">
        <v>0.6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42964-2021</t>
        </is>
      </c>
      <c r="B797" s="1" t="n">
        <v>44431.41829861111</v>
      </c>
      <c r="C797" s="1" t="n">
        <v>45962</v>
      </c>
      <c r="D797" t="inlineStr">
        <is>
          <t>JÖNKÖPINGS LÄN</t>
        </is>
      </c>
      <c r="E797" t="inlineStr">
        <is>
          <t>VETLANDA</t>
        </is>
      </c>
      <c r="G797" t="n">
        <v>0.9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877-2021</t>
        </is>
      </c>
      <c r="B798" s="1" t="n">
        <v>44205</v>
      </c>
      <c r="C798" s="1" t="n">
        <v>45962</v>
      </c>
      <c r="D798" t="inlineStr">
        <is>
          <t>JÖNKÖPINGS LÄN</t>
        </is>
      </c>
      <c r="E798" t="inlineStr">
        <is>
          <t>VETLANDA</t>
        </is>
      </c>
      <c r="G798" t="n">
        <v>1.6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68380-2020</t>
        </is>
      </c>
      <c r="B799" s="1" t="n">
        <v>44186</v>
      </c>
      <c r="C799" s="1" t="n">
        <v>45962</v>
      </c>
      <c r="D799" t="inlineStr">
        <is>
          <t>JÖNKÖPINGS LÄN</t>
        </is>
      </c>
      <c r="E799" t="inlineStr">
        <is>
          <t>VAGGERYD</t>
        </is>
      </c>
      <c r="G799" t="n">
        <v>0.5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5807-2021</t>
        </is>
      </c>
      <c r="B800" s="1" t="n">
        <v>44231</v>
      </c>
      <c r="C800" s="1" t="n">
        <v>45962</v>
      </c>
      <c r="D800" t="inlineStr">
        <is>
          <t>JÖNKÖPINGS LÄN</t>
        </is>
      </c>
      <c r="E800" t="inlineStr">
        <is>
          <t>NÄSSJÖ</t>
        </is>
      </c>
      <c r="G800" t="n">
        <v>1.7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17175-2021</t>
        </is>
      </c>
      <c r="B801" s="1" t="n">
        <v>44298.46462962963</v>
      </c>
      <c r="C801" s="1" t="n">
        <v>45962</v>
      </c>
      <c r="D801" t="inlineStr">
        <is>
          <t>JÖNKÖPINGS LÄN</t>
        </is>
      </c>
      <c r="E801" t="inlineStr">
        <is>
          <t>JÖNKÖPING</t>
        </is>
      </c>
      <c r="F801" t="inlineStr">
        <is>
          <t>Sveaskog</t>
        </is>
      </c>
      <c r="G801" t="n">
        <v>6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17177-2021</t>
        </is>
      </c>
      <c r="B802" s="1" t="n">
        <v>44298.46582175926</v>
      </c>
      <c r="C802" s="1" t="n">
        <v>45962</v>
      </c>
      <c r="D802" t="inlineStr">
        <is>
          <t>JÖNKÖPINGS LÄN</t>
        </is>
      </c>
      <c r="E802" t="inlineStr">
        <is>
          <t>JÖNKÖPING</t>
        </is>
      </c>
      <c r="F802" t="inlineStr">
        <is>
          <t>Sveaskog</t>
        </is>
      </c>
      <c r="G802" t="n">
        <v>0.9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14143-2021</t>
        </is>
      </c>
      <c r="B803" s="1" t="n">
        <v>44278.38752314815</v>
      </c>
      <c r="C803" s="1" t="n">
        <v>45962</v>
      </c>
      <c r="D803" t="inlineStr">
        <is>
          <t>JÖNKÖPINGS LÄN</t>
        </is>
      </c>
      <c r="E803" t="inlineStr">
        <is>
          <t>JÖNKÖPING</t>
        </is>
      </c>
      <c r="G803" t="n">
        <v>0.6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13611-2021</t>
        </is>
      </c>
      <c r="B804" s="1" t="n">
        <v>44274</v>
      </c>
      <c r="C804" s="1" t="n">
        <v>45962</v>
      </c>
      <c r="D804" t="inlineStr">
        <is>
          <t>JÖNKÖPINGS LÄN</t>
        </is>
      </c>
      <c r="E804" t="inlineStr">
        <is>
          <t>EKSJÖ</t>
        </is>
      </c>
      <c r="G804" t="n">
        <v>2.6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13616-2021</t>
        </is>
      </c>
      <c r="B805" s="1" t="n">
        <v>44274.38017361111</v>
      </c>
      <c r="C805" s="1" t="n">
        <v>45962</v>
      </c>
      <c r="D805" t="inlineStr">
        <is>
          <t>JÖNKÖPINGS LÄN</t>
        </is>
      </c>
      <c r="E805" t="inlineStr">
        <is>
          <t>EKSJÖ</t>
        </is>
      </c>
      <c r="G805" t="n">
        <v>1.1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15978-2021</t>
        </is>
      </c>
      <c r="B806" s="1" t="n">
        <v>44287.49908564815</v>
      </c>
      <c r="C806" s="1" t="n">
        <v>45962</v>
      </c>
      <c r="D806" t="inlineStr">
        <is>
          <t>JÖNKÖPINGS LÄN</t>
        </is>
      </c>
      <c r="E806" t="inlineStr">
        <is>
          <t>GISLAVED</t>
        </is>
      </c>
      <c r="F806" t="inlineStr">
        <is>
          <t>Sveaskog</t>
        </is>
      </c>
      <c r="G806" t="n">
        <v>11.6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28445-2022</t>
        </is>
      </c>
      <c r="B807" s="1" t="n">
        <v>44747</v>
      </c>
      <c r="C807" s="1" t="n">
        <v>45962</v>
      </c>
      <c r="D807" t="inlineStr">
        <is>
          <t>JÖNKÖPINGS LÄN</t>
        </is>
      </c>
      <c r="E807" t="inlineStr">
        <is>
          <t>ANEBY</t>
        </is>
      </c>
      <c r="G807" t="n">
        <v>0.5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11121-2021</t>
        </is>
      </c>
      <c r="B808" s="1" t="n">
        <v>44260</v>
      </c>
      <c r="C808" s="1" t="n">
        <v>45962</v>
      </c>
      <c r="D808" t="inlineStr">
        <is>
          <t>JÖNKÖPINGS LÄN</t>
        </is>
      </c>
      <c r="E808" t="inlineStr">
        <is>
          <t>VETLANDA</t>
        </is>
      </c>
      <c r="G808" t="n">
        <v>1.2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12759-2021</t>
        </is>
      </c>
      <c r="B809" s="1" t="n">
        <v>44270.67269675926</v>
      </c>
      <c r="C809" s="1" t="n">
        <v>45962</v>
      </c>
      <c r="D809" t="inlineStr">
        <is>
          <t>JÖNKÖPINGS LÄN</t>
        </is>
      </c>
      <c r="E809" t="inlineStr">
        <is>
          <t>VETLANDA</t>
        </is>
      </c>
      <c r="G809" t="n">
        <v>1.1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20128-2021</t>
        </is>
      </c>
      <c r="B810" s="1" t="n">
        <v>44314</v>
      </c>
      <c r="C810" s="1" t="n">
        <v>45962</v>
      </c>
      <c r="D810" t="inlineStr">
        <is>
          <t>JÖNKÖPINGS LÄN</t>
        </is>
      </c>
      <c r="E810" t="inlineStr">
        <is>
          <t>ANEBY</t>
        </is>
      </c>
      <c r="F810" t="inlineStr">
        <is>
          <t>Övriga Aktiebolag</t>
        </is>
      </c>
      <c r="G810" t="n">
        <v>4.3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20135-2021</t>
        </is>
      </c>
      <c r="B811" s="1" t="n">
        <v>44314.48002314815</v>
      </c>
      <c r="C811" s="1" t="n">
        <v>45962</v>
      </c>
      <c r="D811" t="inlineStr">
        <is>
          <t>JÖNKÖPINGS LÄN</t>
        </is>
      </c>
      <c r="E811" t="inlineStr">
        <is>
          <t>VETLANDA</t>
        </is>
      </c>
      <c r="G811" t="n">
        <v>2.5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12224-2021</t>
        </is>
      </c>
      <c r="B812" s="1" t="n">
        <v>44266</v>
      </c>
      <c r="C812" s="1" t="n">
        <v>45962</v>
      </c>
      <c r="D812" t="inlineStr">
        <is>
          <t>JÖNKÖPINGS LÄN</t>
        </is>
      </c>
      <c r="E812" t="inlineStr">
        <is>
          <t>VETLANDA</t>
        </is>
      </c>
      <c r="G812" t="n">
        <v>0.6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24192-2021</t>
        </is>
      </c>
      <c r="B813" s="1" t="n">
        <v>44336.65737268519</v>
      </c>
      <c r="C813" s="1" t="n">
        <v>45962</v>
      </c>
      <c r="D813" t="inlineStr">
        <is>
          <t>JÖNKÖPINGS LÄN</t>
        </is>
      </c>
      <c r="E813" t="inlineStr">
        <is>
          <t>VETLANDA</t>
        </is>
      </c>
      <c r="G813" t="n">
        <v>2.5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24641-2022</t>
        </is>
      </c>
      <c r="B814" s="1" t="n">
        <v>44727.59222222222</v>
      </c>
      <c r="C814" s="1" t="n">
        <v>45962</v>
      </c>
      <c r="D814" t="inlineStr">
        <is>
          <t>JÖNKÖPINGS LÄN</t>
        </is>
      </c>
      <c r="E814" t="inlineStr">
        <is>
          <t>NÄSSJÖ</t>
        </is>
      </c>
      <c r="G814" t="n">
        <v>0.5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25216-2021</t>
        </is>
      </c>
      <c r="B815" s="1" t="n">
        <v>44342.37496527778</v>
      </c>
      <c r="C815" s="1" t="n">
        <v>45962</v>
      </c>
      <c r="D815" t="inlineStr">
        <is>
          <t>JÖNKÖPINGS LÄN</t>
        </is>
      </c>
      <c r="E815" t="inlineStr">
        <is>
          <t>EKSJÖ</t>
        </is>
      </c>
      <c r="G815" t="n">
        <v>1.5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62341-2020</t>
        </is>
      </c>
      <c r="B816" s="1" t="n">
        <v>44160</v>
      </c>
      <c r="C816" s="1" t="n">
        <v>45962</v>
      </c>
      <c r="D816" t="inlineStr">
        <is>
          <t>JÖNKÖPINGS LÄN</t>
        </is>
      </c>
      <c r="E816" t="inlineStr">
        <is>
          <t>SÄVSJÖ</t>
        </is>
      </c>
      <c r="G816" t="n">
        <v>0.6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11253-2022</t>
        </is>
      </c>
      <c r="B817" s="1" t="n">
        <v>44629</v>
      </c>
      <c r="C817" s="1" t="n">
        <v>45962</v>
      </c>
      <c r="D817" t="inlineStr">
        <is>
          <t>JÖNKÖPINGS LÄN</t>
        </is>
      </c>
      <c r="E817" t="inlineStr">
        <is>
          <t>VÄRNAMO</t>
        </is>
      </c>
      <c r="G817" t="n">
        <v>1.7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35030-2021</t>
        </is>
      </c>
      <c r="B818" s="1" t="n">
        <v>44383.80697916666</v>
      </c>
      <c r="C818" s="1" t="n">
        <v>45962</v>
      </c>
      <c r="D818" t="inlineStr">
        <is>
          <t>JÖNKÖPINGS LÄN</t>
        </is>
      </c>
      <c r="E818" t="inlineStr">
        <is>
          <t>NÄSSJÖ</t>
        </is>
      </c>
      <c r="G818" t="n">
        <v>7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28583-2021</t>
        </is>
      </c>
      <c r="B819" s="1" t="n">
        <v>44356.85369212963</v>
      </c>
      <c r="C819" s="1" t="n">
        <v>45962</v>
      </c>
      <c r="D819" t="inlineStr">
        <is>
          <t>JÖNKÖPINGS LÄN</t>
        </is>
      </c>
      <c r="E819" t="inlineStr">
        <is>
          <t>NÄSSJÖ</t>
        </is>
      </c>
      <c r="G819" t="n">
        <v>0.6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29348-2021</t>
        </is>
      </c>
      <c r="B820" s="1" t="n">
        <v>44361</v>
      </c>
      <c r="C820" s="1" t="n">
        <v>45962</v>
      </c>
      <c r="D820" t="inlineStr">
        <is>
          <t>JÖNKÖPINGS LÄN</t>
        </is>
      </c>
      <c r="E820" t="inlineStr">
        <is>
          <t>VÄRNAMO</t>
        </is>
      </c>
      <c r="G820" t="n">
        <v>9.699999999999999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29373-2021</t>
        </is>
      </c>
      <c r="B821" s="1" t="n">
        <v>44361</v>
      </c>
      <c r="C821" s="1" t="n">
        <v>45962</v>
      </c>
      <c r="D821" t="inlineStr">
        <is>
          <t>JÖNKÖPINGS LÄN</t>
        </is>
      </c>
      <c r="E821" t="inlineStr">
        <is>
          <t>VÄRNAMO</t>
        </is>
      </c>
      <c r="G821" t="n">
        <v>0.5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29375-2021</t>
        </is>
      </c>
      <c r="B822" s="1" t="n">
        <v>44361</v>
      </c>
      <c r="C822" s="1" t="n">
        <v>45962</v>
      </c>
      <c r="D822" t="inlineStr">
        <is>
          <t>JÖNKÖPINGS LÄN</t>
        </is>
      </c>
      <c r="E822" t="inlineStr">
        <is>
          <t>VÄRNAMO</t>
        </is>
      </c>
      <c r="G822" t="n">
        <v>1.4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50801-2021</t>
        </is>
      </c>
      <c r="B823" s="1" t="n">
        <v>44460.47375</v>
      </c>
      <c r="C823" s="1" t="n">
        <v>45962</v>
      </c>
      <c r="D823" t="inlineStr">
        <is>
          <t>JÖNKÖPINGS LÄN</t>
        </is>
      </c>
      <c r="E823" t="inlineStr">
        <is>
          <t>VETLANDA</t>
        </is>
      </c>
      <c r="G823" t="n">
        <v>0.6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28073-2021</t>
        </is>
      </c>
      <c r="B824" s="1" t="n">
        <v>44355</v>
      </c>
      <c r="C824" s="1" t="n">
        <v>45962</v>
      </c>
      <c r="D824" t="inlineStr">
        <is>
          <t>JÖNKÖPINGS LÄN</t>
        </is>
      </c>
      <c r="E824" t="inlineStr">
        <is>
          <t>GISLAVED</t>
        </is>
      </c>
      <c r="G824" t="n">
        <v>3.1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13251-2021</t>
        </is>
      </c>
      <c r="B825" s="1" t="n">
        <v>44272.63491898148</v>
      </c>
      <c r="C825" s="1" t="n">
        <v>45962</v>
      </c>
      <c r="D825" t="inlineStr">
        <is>
          <t>JÖNKÖPINGS LÄN</t>
        </is>
      </c>
      <c r="E825" t="inlineStr">
        <is>
          <t>GISLAVED</t>
        </is>
      </c>
      <c r="G825" t="n">
        <v>1.5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18301-2021</t>
        </is>
      </c>
      <c r="B826" s="1" t="n">
        <v>44305</v>
      </c>
      <c r="C826" s="1" t="n">
        <v>45962</v>
      </c>
      <c r="D826" t="inlineStr">
        <is>
          <t>JÖNKÖPINGS LÄN</t>
        </is>
      </c>
      <c r="E826" t="inlineStr">
        <is>
          <t>GISLAVED</t>
        </is>
      </c>
      <c r="G826" t="n">
        <v>2.5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14373-2021</t>
        </is>
      </c>
      <c r="B827" s="1" t="n">
        <v>44279.37552083333</v>
      </c>
      <c r="C827" s="1" t="n">
        <v>45962</v>
      </c>
      <c r="D827" t="inlineStr">
        <is>
          <t>JÖNKÖPINGS LÄN</t>
        </is>
      </c>
      <c r="E827" t="inlineStr">
        <is>
          <t>JÖNKÖPING</t>
        </is>
      </c>
      <c r="G827" t="n">
        <v>1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27995-2022</t>
        </is>
      </c>
      <c r="B828" s="1" t="n">
        <v>44743</v>
      </c>
      <c r="C828" s="1" t="n">
        <v>45962</v>
      </c>
      <c r="D828" t="inlineStr">
        <is>
          <t>JÖNKÖPINGS LÄN</t>
        </is>
      </c>
      <c r="E828" t="inlineStr">
        <is>
          <t>ANEBY</t>
        </is>
      </c>
      <c r="G828" t="n">
        <v>1.6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71143-2021</t>
        </is>
      </c>
      <c r="B829" s="1" t="n">
        <v>44539.41717592593</v>
      </c>
      <c r="C829" s="1" t="n">
        <v>45962</v>
      </c>
      <c r="D829" t="inlineStr">
        <is>
          <t>JÖNKÖPINGS LÄN</t>
        </is>
      </c>
      <c r="E829" t="inlineStr">
        <is>
          <t>ANEBY</t>
        </is>
      </c>
      <c r="G829" t="n">
        <v>0.5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20352-2021</t>
        </is>
      </c>
      <c r="B830" s="1" t="n">
        <v>44315.4225</v>
      </c>
      <c r="C830" s="1" t="n">
        <v>45962</v>
      </c>
      <c r="D830" t="inlineStr">
        <is>
          <t>JÖNKÖPINGS LÄN</t>
        </is>
      </c>
      <c r="E830" t="inlineStr">
        <is>
          <t>SÄVSJÖ</t>
        </is>
      </c>
      <c r="G830" t="n">
        <v>0.7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23743-2021</t>
        </is>
      </c>
      <c r="B831" s="1" t="n">
        <v>44334</v>
      </c>
      <c r="C831" s="1" t="n">
        <v>45962</v>
      </c>
      <c r="D831" t="inlineStr">
        <is>
          <t>JÖNKÖPINGS LÄN</t>
        </is>
      </c>
      <c r="E831" t="inlineStr">
        <is>
          <t>EKSJÖ</t>
        </is>
      </c>
      <c r="G831" t="n">
        <v>1.6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25111-2021</t>
        </is>
      </c>
      <c r="B832" s="1" t="n">
        <v>44341</v>
      </c>
      <c r="C832" s="1" t="n">
        <v>45962</v>
      </c>
      <c r="D832" t="inlineStr">
        <is>
          <t>JÖNKÖPINGS LÄN</t>
        </is>
      </c>
      <c r="E832" t="inlineStr">
        <is>
          <t>SÄVSJÖ</t>
        </is>
      </c>
      <c r="F832" t="inlineStr">
        <is>
          <t>Sveaskog</t>
        </is>
      </c>
      <c r="G832" t="n">
        <v>1.4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29599-2022</t>
        </is>
      </c>
      <c r="B833" s="1" t="n">
        <v>44754.47359953704</v>
      </c>
      <c r="C833" s="1" t="n">
        <v>45962</v>
      </c>
      <c r="D833" t="inlineStr">
        <is>
          <t>JÖNKÖPINGS LÄN</t>
        </is>
      </c>
      <c r="E833" t="inlineStr">
        <is>
          <t>JÖNKÖPING</t>
        </is>
      </c>
      <c r="F833" t="inlineStr">
        <is>
          <t>Sveaskog</t>
        </is>
      </c>
      <c r="G833" t="n">
        <v>0.7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26335-2021</t>
        </is>
      </c>
      <c r="B834" s="1" t="n">
        <v>44347.61920138889</v>
      </c>
      <c r="C834" s="1" t="n">
        <v>45962</v>
      </c>
      <c r="D834" t="inlineStr">
        <is>
          <t>JÖNKÖPINGS LÄN</t>
        </is>
      </c>
      <c r="E834" t="inlineStr">
        <is>
          <t>JÖNKÖPING</t>
        </is>
      </c>
      <c r="G834" t="n">
        <v>0.7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20496-2021</t>
        </is>
      </c>
      <c r="B835" s="1" t="n">
        <v>44313</v>
      </c>
      <c r="C835" s="1" t="n">
        <v>45962</v>
      </c>
      <c r="D835" t="inlineStr">
        <is>
          <t>JÖNKÖPINGS LÄN</t>
        </is>
      </c>
      <c r="E835" t="inlineStr">
        <is>
          <t>VETLANDA</t>
        </is>
      </c>
      <c r="G835" t="n">
        <v>4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17165-2021</t>
        </is>
      </c>
      <c r="B836" s="1" t="n">
        <v>44298</v>
      </c>
      <c r="C836" s="1" t="n">
        <v>45962</v>
      </c>
      <c r="D836" t="inlineStr">
        <is>
          <t>JÖNKÖPINGS LÄN</t>
        </is>
      </c>
      <c r="E836" t="inlineStr">
        <is>
          <t>EKSJÖ</t>
        </is>
      </c>
      <c r="F836" t="inlineStr">
        <is>
          <t>Sveaskog</t>
        </is>
      </c>
      <c r="G836" t="n">
        <v>3.1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57507-2020</t>
        </is>
      </c>
      <c r="B837" s="1" t="n">
        <v>44140</v>
      </c>
      <c r="C837" s="1" t="n">
        <v>45962</v>
      </c>
      <c r="D837" t="inlineStr">
        <is>
          <t>JÖNKÖPINGS LÄN</t>
        </is>
      </c>
      <c r="E837" t="inlineStr">
        <is>
          <t>GISLAVED</t>
        </is>
      </c>
      <c r="G837" t="n">
        <v>0.7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47822-2022</t>
        </is>
      </c>
      <c r="B838" s="1" t="n">
        <v>44855.3080787037</v>
      </c>
      <c r="C838" s="1" t="n">
        <v>45962</v>
      </c>
      <c r="D838" t="inlineStr">
        <is>
          <t>JÖNKÖPINGS LÄN</t>
        </is>
      </c>
      <c r="E838" t="inlineStr">
        <is>
          <t>JÖNKÖPING</t>
        </is>
      </c>
      <c r="G838" t="n">
        <v>1.1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41210-2022</t>
        </is>
      </c>
      <c r="B839" s="1" t="n">
        <v>44826.03600694444</v>
      </c>
      <c r="C839" s="1" t="n">
        <v>45962</v>
      </c>
      <c r="D839" t="inlineStr">
        <is>
          <t>JÖNKÖPINGS LÄN</t>
        </is>
      </c>
      <c r="E839" t="inlineStr">
        <is>
          <t>SÄVSJÖ</t>
        </is>
      </c>
      <c r="G839" t="n">
        <v>0.7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64737-2020</t>
        </is>
      </c>
      <c r="B840" s="1" t="n">
        <v>44169</v>
      </c>
      <c r="C840" s="1" t="n">
        <v>45962</v>
      </c>
      <c r="D840" t="inlineStr">
        <is>
          <t>JÖNKÖPINGS LÄN</t>
        </is>
      </c>
      <c r="E840" t="inlineStr">
        <is>
          <t>EKSJÖ</t>
        </is>
      </c>
      <c r="G840" t="n">
        <v>0.8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11396-2021</t>
        </is>
      </c>
      <c r="B841" s="1" t="n">
        <v>44263</v>
      </c>
      <c r="C841" s="1" t="n">
        <v>45962</v>
      </c>
      <c r="D841" t="inlineStr">
        <is>
          <t>JÖNKÖPINGS LÄN</t>
        </is>
      </c>
      <c r="E841" t="inlineStr">
        <is>
          <t>SÄVSJÖ</t>
        </is>
      </c>
      <c r="G841" t="n">
        <v>1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20614-2021</t>
        </is>
      </c>
      <c r="B842" s="1" t="n">
        <v>44316</v>
      </c>
      <c r="C842" s="1" t="n">
        <v>45962</v>
      </c>
      <c r="D842" t="inlineStr">
        <is>
          <t>JÖNKÖPINGS LÄN</t>
        </is>
      </c>
      <c r="E842" t="inlineStr">
        <is>
          <t>VETLANDA</t>
        </is>
      </c>
      <c r="G842" t="n">
        <v>1.3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55825-2021</t>
        </is>
      </c>
      <c r="B843" s="1" t="n">
        <v>44476</v>
      </c>
      <c r="C843" s="1" t="n">
        <v>45962</v>
      </c>
      <c r="D843" t="inlineStr">
        <is>
          <t>JÖNKÖPINGS LÄN</t>
        </is>
      </c>
      <c r="E843" t="inlineStr">
        <is>
          <t>JÖNKÖPING</t>
        </is>
      </c>
      <c r="G843" t="n">
        <v>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5986-2022</t>
        </is>
      </c>
      <c r="B844" s="1" t="n">
        <v>44599.41885416667</v>
      </c>
      <c r="C844" s="1" t="n">
        <v>45962</v>
      </c>
      <c r="D844" t="inlineStr">
        <is>
          <t>JÖNKÖPINGS LÄN</t>
        </is>
      </c>
      <c r="E844" t="inlineStr">
        <is>
          <t>VAGGERYD</t>
        </is>
      </c>
      <c r="G844" t="n">
        <v>0.5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46748-2021</t>
        </is>
      </c>
      <c r="B845" s="1" t="n">
        <v>44445</v>
      </c>
      <c r="C845" s="1" t="n">
        <v>45962</v>
      </c>
      <c r="D845" t="inlineStr">
        <is>
          <t>JÖNKÖPINGS LÄN</t>
        </is>
      </c>
      <c r="E845" t="inlineStr">
        <is>
          <t>NÄSSJÖ</t>
        </is>
      </c>
      <c r="G845" t="n">
        <v>0.6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59918-2020</t>
        </is>
      </c>
      <c r="B846" s="1" t="n">
        <v>44151</v>
      </c>
      <c r="C846" s="1" t="n">
        <v>45962</v>
      </c>
      <c r="D846" t="inlineStr">
        <is>
          <t>JÖNKÖPINGS LÄN</t>
        </is>
      </c>
      <c r="E846" t="inlineStr">
        <is>
          <t>NÄSSJÖ</t>
        </is>
      </c>
      <c r="G846" t="n">
        <v>1.2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8813-2021</t>
        </is>
      </c>
      <c r="B847" s="1" t="n">
        <v>44246.66850694444</v>
      </c>
      <c r="C847" s="1" t="n">
        <v>45962</v>
      </c>
      <c r="D847" t="inlineStr">
        <is>
          <t>JÖNKÖPINGS LÄN</t>
        </is>
      </c>
      <c r="E847" t="inlineStr">
        <is>
          <t>VETLANDA</t>
        </is>
      </c>
      <c r="G847" t="n">
        <v>0.6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56080-2021</t>
        </is>
      </c>
      <c r="B848" s="1" t="n">
        <v>44477.5362962963</v>
      </c>
      <c r="C848" s="1" t="n">
        <v>45962</v>
      </c>
      <c r="D848" t="inlineStr">
        <is>
          <t>JÖNKÖPINGS LÄN</t>
        </is>
      </c>
      <c r="E848" t="inlineStr">
        <is>
          <t>EKSJÖ</t>
        </is>
      </c>
      <c r="G848" t="n">
        <v>2.1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23147-2021</t>
        </is>
      </c>
      <c r="B849" s="1" t="n">
        <v>44331.68225694444</v>
      </c>
      <c r="C849" s="1" t="n">
        <v>45962</v>
      </c>
      <c r="D849" t="inlineStr">
        <is>
          <t>JÖNKÖPINGS LÄN</t>
        </is>
      </c>
      <c r="E849" t="inlineStr">
        <is>
          <t>NÄSSJÖ</t>
        </is>
      </c>
      <c r="G849" t="n">
        <v>2.8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16877-2021</t>
        </is>
      </c>
      <c r="B850" s="1" t="n">
        <v>44295</v>
      </c>
      <c r="C850" s="1" t="n">
        <v>45962</v>
      </c>
      <c r="D850" t="inlineStr">
        <is>
          <t>JÖNKÖPINGS LÄN</t>
        </is>
      </c>
      <c r="E850" t="inlineStr">
        <is>
          <t>VÄRNAMO</t>
        </is>
      </c>
      <c r="G850" t="n">
        <v>0.9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32508-2021</t>
        </is>
      </c>
      <c r="B851" s="1" t="n">
        <v>44373.75251157407</v>
      </c>
      <c r="C851" s="1" t="n">
        <v>45962</v>
      </c>
      <c r="D851" t="inlineStr">
        <is>
          <t>JÖNKÖPINGS LÄN</t>
        </is>
      </c>
      <c r="E851" t="inlineStr">
        <is>
          <t>JÖNKÖPING</t>
        </is>
      </c>
      <c r="G851" t="n">
        <v>3.3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58083-2021</t>
        </is>
      </c>
      <c r="B852" s="1" t="n">
        <v>44487</v>
      </c>
      <c r="C852" s="1" t="n">
        <v>45962</v>
      </c>
      <c r="D852" t="inlineStr">
        <is>
          <t>JÖNKÖPINGS LÄN</t>
        </is>
      </c>
      <c r="E852" t="inlineStr">
        <is>
          <t>EKSJÖ</t>
        </is>
      </c>
      <c r="G852" t="n">
        <v>5.9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29865-2021</t>
        </is>
      </c>
      <c r="B853" s="1" t="n">
        <v>44362</v>
      </c>
      <c r="C853" s="1" t="n">
        <v>45962</v>
      </c>
      <c r="D853" t="inlineStr">
        <is>
          <t>JÖNKÖPINGS LÄN</t>
        </is>
      </c>
      <c r="E853" t="inlineStr">
        <is>
          <t>HABO</t>
        </is>
      </c>
      <c r="G853" t="n">
        <v>0.7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71609-2021</t>
        </is>
      </c>
      <c r="B854" s="1" t="n">
        <v>44541.85745370371</v>
      </c>
      <c r="C854" s="1" t="n">
        <v>45962</v>
      </c>
      <c r="D854" t="inlineStr">
        <is>
          <t>JÖNKÖPINGS LÄN</t>
        </is>
      </c>
      <c r="E854" t="inlineStr">
        <is>
          <t>NÄSSJÖ</t>
        </is>
      </c>
      <c r="G854" t="n">
        <v>0.6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45406-2022</t>
        </is>
      </c>
      <c r="B855" s="1" t="n">
        <v>44844.84521990741</v>
      </c>
      <c r="C855" s="1" t="n">
        <v>45962</v>
      </c>
      <c r="D855" t="inlineStr">
        <is>
          <t>JÖNKÖPINGS LÄN</t>
        </is>
      </c>
      <c r="E855" t="inlineStr">
        <is>
          <t>NÄSSJÖ</t>
        </is>
      </c>
      <c r="G855" t="n">
        <v>2.3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59015-2021</t>
        </is>
      </c>
      <c r="B856" s="1" t="n">
        <v>44490.33709490741</v>
      </c>
      <c r="C856" s="1" t="n">
        <v>45962</v>
      </c>
      <c r="D856" t="inlineStr">
        <is>
          <t>JÖNKÖPINGS LÄN</t>
        </is>
      </c>
      <c r="E856" t="inlineStr">
        <is>
          <t>VAGGERYD</t>
        </is>
      </c>
      <c r="F856" t="inlineStr">
        <is>
          <t>Sveaskog</t>
        </is>
      </c>
      <c r="G856" t="n">
        <v>1.3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31529-2021</t>
        </is>
      </c>
      <c r="B857" s="1" t="n">
        <v>44369</v>
      </c>
      <c r="C857" s="1" t="n">
        <v>45962</v>
      </c>
      <c r="D857" t="inlineStr">
        <is>
          <t>JÖNKÖPINGS LÄN</t>
        </is>
      </c>
      <c r="E857" t="inlineStr">
        <is>
          <t>VETLANDA</t>
        </is>
      </c>
      <c r="G857" t="n">
        <v>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28127-2022</t>
        </is>
      </c>
      <c r="B858" s="1" t="n">
        <v>44746.50565972222</v>
      </c>
      <c r="C858" s="1" t="n">
        <v>45962</v>
      </c>
      <c r="D858" t="inlineStr">
        <is>
          <t>JÖNKÖPINGS LÄN</t>
        </is>
      </c>
      <c r="E858" t="inlineStr">
        <is>
          <t>SÄVSJÖ</t>
        </is>
      </c>
      <c r="G858" t="n">
        <v>0.6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26342-2021</t>
        </is>
      </c>
      <c r="B859" s="1" t="n">
        <v>44347.6287962963</v>
      </c>
      <c r="C859" s="1" t="n">
        <v>45962</v>
      </c>
      <c r="D859" t="inlineStr">
        <is>
          <t>JÖNKÖPINGS LÄN</t>
        </is>
      </c>
      <c r="E859" t="inlineStr">
        <is>
          <t>JÖNKÖPING</t>
        </is>
      </c>
      <c r="G859" t="n">
        <v>0.7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50161-2021</t>
        </is>
      </c>
      <c r="B860" s="1" t="n">
        <v>44456</v>
      </c>
      <c r="C860" s="1" t="n">
        <v>45962</v>
      </c>
      <c r="D860" t="inlineStr">
        <is>
          <t>JÖNKÖPINGS LÄN</t>
        </is>
      </c>
      <c r="E860" t="inlineStr">
        <is>
          <t>MULLSJÖ</t>
        </is>
      </c>
      <c r="F860" t="inlineStr">
        <is>
          <t>Kommuner</t>
        </is>
      </c>
      <c r="G860" t="n">
        <v>3.1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64610-2021</t>
        </is>
      </c>
      <c r="B861" s="1" t="n">
        <v>44511</v>
      </c>
      <c r="C861" s="1" t="n">
        <v>45962</v>
      </c>
      <c r="D861" t="inlineStr">
        <is>
          <t>JÖNKÖPINGS LÄN</t>
        </is>
      </c>
      <c r="E861" t="inlineStr">
        <is>
          <t>JÖNKÖPING</t>
        </is>
      </c>
      <c r="G861" t="n">
        <v>1.5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5087-2021</t>
        </is>
      </c>
      <c r="B862" s="1" t="n">
        <v>44225</v>
      </c>
      <c r="C862" s="1" t="n">
        <v>45962</v>
      </c>
      <c r="D862" t="inlineStr">
        <is>
          <t>JÖNKÖPINGS LÄN</t>
        </is>
      </c>
      <c r="E862" t="inlineStr">
        <is>
          <t>GNOSJÖ</t>
        </is>
      </c>
      <c r="G862" t="n">
        <v>2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34506-2021</t>
        </is>
      </c>
      <c r="B863" s="1" t="n">
        <v>44382</v>
      </c>
      <c r="C863" s="1" t="n">
        <v>45962</v>
      </c>
      <c r="D863" t="inlineStr">
        <is>
          <t>JÖNKÖPINGS LÄN</t>
        </is>
      </c>
      <c r="E863" t="inlineStr">
        <is>
          <t>VAGGERYD</t>
        </is>
      </c>
      <c r="G863" t="n">
        <v>3.4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34508-2021</t>
        </is>
      </c>
      <c r="B864" s="1" t="n">
        <v>44382.36524305555</v>
      </c>
      <c r="C864" s="1" t="n">
        <v>45962</v>
      </c>
      <c r="D864" t="inlineStr">
        <is>
          <t>JÖNKÖPINGS LÄN</t>
        </is>
      </c>
      <c r="E864" t="inlineStr">
        <is>
          <t>VAGGERYD</t>
        </is>
      </c>
      <c r="G864" t="n">
        <v>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791-2021</t>
        </is>
      </c>
      <c r="B865" s="1" t="n">
        <v>44204</v>
      </c>
      <c r="C865" s="1" t="n">
        <v>45962</v>
      </c>
      <c r="D865" t="inlineStr">
        <is>
          <t>JÖNKÖPINGS LÄN</t>
        </is>
      </c>
      <c r="E865" t="inlineStr">
        <is>
          <t>VÄRNAMO</t>
        </is>
      </c>
      <c r="G865" t="n">
        <v>0.9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25107-2021</t>
        </is>
      </c>
      <c r="B866" s="1" t="n">
        <v>44341</v>
      </c>
      <c r="C866" s="1" t="n">
        <v>45962</v>
      </c>
      <c r="D866" t="inlineStr">
        <is>
          <t>JÖNKÖPINGS LÄN</t>
        </is>
      </c>
      <c r="E866" t="inlineStr">
        <is>
          <t>SÄVSJÖ</t>
        </is>
      </c>
      <c r="F866" t="inlineStr">
        <is>
          <t>Sveaskog</t>
        </is>
      </c>
      <c r="G866" t="n">
        <v>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32011-2021</t>
        </is>
      </c>
      <c r="B867" s="1" t="n">
        <v>44370</v>
      </c>
      <c r="C867" s="1" t="n">
        <v>45962</v>
      </c>
      <c r="D867" t="inlineStr">
        <is>
          <t>JÖNKÖPINGS LÄN</t>
        </is>
      </c>
      <c r="E867" t="inlineStr">
        <is>
          <t>SÄVSJÖ</t>
        </is>
      </c>
      <c r="G867" t="n">
        <v>4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26157-2021</t>
        </is>
      </c>
      <c r="B868" s="1" t="n">
        <v>44347</v>
      </c>
      <c r="C868" s="1" t="n">
        <v>45962</v>
      </c>
      <c r="D868" t="inlineStr">
        <is>
          <t>JÖNKÖPINGS LÄN</t>
        </is>
      </c>
      <c r="E868" t="inlineStr">
        <is>
          <t>VETLANDA</t>
        </is>
      </c>
      <c r="G868" t="n">
        <v>4.2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2170-2021</t>
        </is>
      </c>
      <c r="B869" s="1" t="n">
        <v>44211</v>
      </c>
      <c r="C869" s="1" t="n">
        <v>45962</v>
      </c>
      <c r="D869" t="inlineStr">
        <is>
          <t>JÖNKÖPINGS LÄN</t>
        </is>
      </c>
      <c r="E869" t="inlineStr">
        <is>
          <t>GNOSJÖ</t>
        </is>
      </c>
      <c r="G869" t="n">
        <v>1.9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44115-2021</t>
        </is>
      </c>
      <c r="B870" s="1" t="n">
        <v>44434.61055555556</v>
      </c>
      <c r="C870" s="1" t="n">
        <v>45962</v>
      </c>
      <c r="D870" t="inlineStr">
        <is>
          <t>JÖNKÖPINGS LÄN</t>
        </is>
      </c>
      <c r="E870" t="inlineStr">
        <is>
          <t>VETLANDA</t>
        </is>
      </c>
      <c r="G870" t="n">
        <v>0.5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32060-2021</t>
        </is>
      </c>
      <c r="B871" s="1" t="n">
        <v>44370.75695601852</v>
      </c>
      <c r="C871" s="1" t="n">
        <v>45962</v>
      </c>
      <c r="D871" t="inlineStr">
        <is>
          <t>JÖNKÖPINGS LÄN</t>
        </is>
      </c>
      <c r="E871" t="inlineStr">
        <is>
          <t>NÄSSJÖ</t>
        </is>
      </c>
      <c r="G871" t="n">
        <v>0.6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581-2021</t>
        </is>
      </c>
      <c r="B872" s="1" t="n">
        <v>44203</v>
      </c>
      <c r="C872" s="1" t="n">
        <v>45962</v>
      </c>
      <c r="D872" t="inlineStr">
        <is>
          <t>JÖNKÖPINGS LÄN</t>
        </is>
      </c>
      <c r="E872" t="inlineStr">
        <is>
          <t>GNOSJÖ</t>
        </is>
      </c>
      <c r="G872" t="n">
        <v>15.2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7957-2021</t>
        </is>
      </c>
      <c r="B873" s="1" t="n">
        <v>44243.45318287037</v>
      </c>
      <c r="C873" s="1" t="n">
        <v>45962</v>
      </c>
      <c r="D873" t="inlineStr">
        <is>
          <t>JÖNKÖPINGS LÄN</t>
        </is>
      </c>
      <c r="E873" t="inlineStr">
        <is>
          <t>VAGGERYD</t>
        </is>
      </c>
      <c r="G873" t="n">
        <v>1.5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44428-2021</t>
        </is>
      </c>
      <c r="B874" s="1" t="n">
        <v>44435</v>
      </c>
      <c r="C874" s="1" t="n">
        <v>45962</v>
      </c>
      <c r="D874" t="inlineStr">
        <is>
          <t>JÖNKÖPINGS LÄN</t>
        </is>
      </c>
      <c r="E874" t="inlineStr">
        <is>
          <t>VETLANDA</t>
        </is>
      </c>
      <c r="F874" t="inlineStr">
        <is>
          <t>Sveaskog</t>
        </is>
      </c>
      <c r="G874" t="n">
        <v>2.9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52507-2021</t>
        </is>
      </c>
      <c r="B875" s="1" t="n">
        <v>44466.4425</v>
      </c>
      <c r="C875" s="1" t="n">
        <v>45962</v>
      </c>
      <c r="D875" t="inlineStr">
        <is>
          <t>JÖNKÖPINGS LÄN</t>
        </is>
      </c>
      <c r="E875" t="inlineStr">
        <is>
          <t>JÖNKÖPING</t>
        </is>
      </c>
      <c r="G875" t="n">
        <v>1.2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64198-2021</t>
        </is>
      </c>
      <c r="B876" s="1" t="n">
        <v>44510.60637731481</v>
      </c>
      <c r="C876" s="1" t="n">
        <v>45962</v>
      </c>
      <c r="D876" t="inlineStr">
        <is>
          <t>JÖNKÖPINGS LÄN</t>
        </is>
      </c>
      <c r="E876" t="inlineStr">
        <is>
          <t>VETLANDA</t>
        </is>
      </c>
      <c r="G876" t="n">
        <v>2.8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30287-2021</t>
        </is>
      </c>
      <c r="B877" s="1" t="n">
        <v>44364</v>
      </c>
      <c r="C877" s="1" t="n">
        <v>45962</v>
      </c>
      <c r="D877" t="inlineStr">
        <is>
          <t>JÖNKÖPINGS LÄN</t>
        </is>
      </c>
      <c r="E877" t="inlineStr">
        <is>
          <t>NÄSSJÖ</t>
        </is>
      </c>
      <c r="G877" t="n">
        <v>0.5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55896-2021</t>
        </is>
      </c>
      <c r="B878" s="1" t="n">
        <v>44476.83903935185</v>
      </c>
      <c r="C878" s="1" t="n">
        <v>45962</v>
      </c>
      <c r="D878" t="inlineStr">
        <is>
          <t>JÖNKÖPINGS LÄN</t>
        </is>
      </c>
      <c r="E878" t="inlineStr">
        <is>
          <t>MULLSJÖ</t>
        </is>
      </c>
      <c r="G878" t="n">
        <v>8.300000000000001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39421-2021</t>
        </is>
      </c>
      <c r="B879" s="1" t="n">
        <v>44414.48363425926</v>
      </c>
      <c r="C879" s="1" t="n">
        <v>45962</v>
      </c>
      <c r="D879" t="inlineStr">
        <is>
          <t>JÖNKÖPINGS LÄN</t>
        </is>
      </c>
      <c r="E879" t="inlineStr">
        <is>
          <t>GISLAVED</t>
        </is>
      </c>
      <c r="F879" t="inlineStr">
        <is>
          <t>Sveaskog</t>
        </is>
      </c>
      <c r="G879" t="n">
        <v>2.4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49014-2021</t>
        </is>
      </c>
      <c r="B880" s="1" t="n">
        <v>44453.48915509259</v>
      </c>
      <c r="C880" s="1" t="n">
        <v>45962</v>
      </c>
      <c r="D880" t="inlineStr">
        <is>
          <t>JÖNKÖPINGS LÄN</t>
        </is>
      </c>
      <c r="E880" t="inlineStr">
        <is>
          <t>VETLANDA</t>
        </is>
      </c>
      <c r="G880" t="n">
        <v>4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41217-2021</t>
        </is>
      </c>
      <c r="B881" s="1" t="n">
        <v>44424.40524305555</v>
      </c>
      <c r="C881" s="1" t="n">
        <v>45962</v>
      </c>
      <c r="D881" t="inlineStr">
        <is>
          <t>JÖNKÖPINGS LÄN</t>
        </is>
      </c>
      <c r="E881" t="inlineStr">
        <is>
          <t>HABO</t>
        </is>
      </c>
      <c r="G881" t="n">
        <v>3.9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47757-2021</t>
        </is>
      </c>
      <c r="B882" s="1" t="n">
        <v>44448</v>
      </c>
      <c r="C882" s="1" t="n">
        <v>45962</v>
      </c>
      <c r="D882" t="inlineStr">
        <is>
          <t>JÖNKÖPINGS LÄN</t>
        </is>
      </c>
      <c r="E882" t="inlineStr">
        <is>
          <t>SÄVSJÖ</t>
        </is>
      </c>
      <c r="G882" t="n">
        <v>0.9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33507-2021</t>
        </is>
      </c>
      <c r="B883" s="1" t="n">
        <v>44377</v>
      </c>
      <c r="C883" s="1" t="n">
        <v>45962</v>
      </c>
      <c r="D883" t="inlineStr">
        <is>
          <t>JÖNKÖPINGS LÄN</t>
        </is>
      </c>
      <c r="E883" t="inlineStr">
        <is>
          <t>JÖNKÖPING</t>
        </is>
      </c>
      <c r="G883" t="n">
        <v>0.6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44774-2021</t>
        </is>
      </c>
      <c r="B884" s="1" t="n">
        <v>44438</v>
      </c>
      <c r="C884" s="1" t="n">
        <v>45962</v>
      </c>
      <c r="D884" t="inlineStr">
        <is>
          <t>JÖNKÖPINGS LÄN</t>
        </is>
      </c>
      <c r="E884" t="inlineStr">
        <is>
          <t>VÄRNAMO</t>
        </is>
      </c>
      <c r="G884" t="n">
        <v>1.5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52383-2021</t>
        </is>
      </c>
      <c r="B885" s="1" t="n">
        <v>44465</v>
      </c>
      <c r="C885" s="1" t="n">
        <v>45962</v>
      </c>
      <c r="D885" t="inlineStr">
        <is>
          <t>JÖNKÖPINGS LÄN</t>
        </is>
      </c>
      <c r="E885" t="inlineStr">
        <is>
          <t>VAGGERYD</t>
        </is>
      </c>
      <c r="G885" t="n">
        <v>1.1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13057-2021</t>
        </is>
      </c>
      <c r="B886" s="1" t="n">
        <v>44271</v>
      </c>
      <c r="C886" s="1" t="n">
        <v>45962</v>
      </c>
      <c r="D886" t="inlineStr">
        <is>
          <t>JÖNKÖPINGS LÄN</t>
        </is>
      </c>
      <c r="E886" t="inlineStr">
        <is>
          <t>VETLANDA</t>
        </is>
      </c>
      <c r="G886" t="n">
        <v>1.9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52161-2021</t>
        </is>
      </c>
      <c r="B887" s="1" t="n">
        <v>44462</v>
      </c>
      <c r="C887" s="1" t="n">
        <v>45962</v>
      </c>
      <c r="D887" t="inlineStr">
        <is>
          <t>JÖNKÖPINGS LÄN</t>
        </is>
      </c>
      <c r="E887" t="inlineStr">
        <is>
          <t>VETLANDA</t>
        </is>
      </c>
      <c r="G887" t="n">
        <v>5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40761-2022</t>
        </is>
      </c>
      <c r="B888" s="1" t="n">
        <v>44824.59288194445</v>
      </c>
      <c r="C888" s="1" t="n">
        <v>45962</v>
      </c>
      <c r="D888" t="inlineStr">
        <is>
          <t>JÖNKÖPINGS LÄN</t>
        </is>
      </c>
      <c r="E888" t="inlineStr">
        <is>
          <t>GISLAVED</t>
        </is>
      </c>
      <c r="G888" t="n">
        <v>2.4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45592-2021</t>
        </is>
      </c>
      <c r="B889" s="1" t="n">
        <v>44440.71997685185</v>
      </c>
      <c r="C889" s="1" t="n">
        <v>45962</v>
      </c>
      <c r="D889" t="inlineStr">
        <is>
          <t>JÖNKÖPINGS LÄN</t>
        </is>
      </c>
      <c r="E889" t="inlineStr">
        <is>
          <t>JÖNKÖPING</t>
        </is>
      </c>
      <c r="G889" t="n">
        <v>0.3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72408-2021</t>
        </is>
      </c>
      <c r="B890" s="1" t="n">
        <v>44545.61800925926</v>
      </c>
      <c r="C890" s="1" t="n">
        <v>45962</v>
      </c>
      <c r="D890" t="inlineStr">
        <is>
          <t>JÖNKÖPINGS LÄN</t>
        </is>
      </c>
      <c r="E890" t="inlineStr">
        <is>
          <t>VETLANDA</t>
        </is>
      </c>
      <c r="G890" t="n">
        <v>0.5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31914-2021</t>
        </is>
      </c>
      <c r="B891" s="1" t="n">
        <v>44370.4822337963</v>
      </c>
      <c r="C891" s="1" t="n">
        <v>45962</v>
      </c>
      <c r="D891" t="inlineStr">
        <is>
          <t>JÖNKÖPINGS LÄN</t>
        </is>
      </c>
      <c r="E891" t="inlineStr">
        <is>
          <t>SÄVSJÖ</t>
        </is>
      </c>
      <c r="G891" t="n">
        <v>1.6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5939-2022</t>
        </is>
      </c>
      <c r="B892" s="1" t="n">
        <v>44598</v>
      </c>
      <c r="C892" s="1" t="n">
        <v>45962</v>
      </c>
      <c r="D892" t="inlineStr">
        <is>
          <t>JÖNKÖPINGS LÄN</t>
        </is>
      </c>
      <c r="E892" t="inlineStr">
        <is>
          <t>EKSJÖ</t>
        </is>
      </c>
      <c r="G892" t="n">
        <v>0.9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47499-2021</t>
        </is>
      </c>
      <c r="B893" s="1" t="n">
        <v>44447.68680555555</v>
      </c>
      <c r="C893" s="1" t="n">
        <v>45962</v>
      </c>
      <c r="D893" t="inlineStr">
        <is>
          <t>JÖNKÖPINGS LÄN</t>
        </is>
      </c>
      <c r="E893" t="inlineStr">
        <is>
          <t>NÄSSJÖ</t>
        </is>
      </c>
      <c r="G893" t="n">
        <v>1.5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29280-2022</t>
        </is>
      </c>
      <c r="B894" s="1" t="n">
        <v>44750.81856481481</v>
      </c>
      <c r="C894" s="1" t="n">
        <v>45962</v>
      </c>
      <c r="D894" t="inlineStr">
        <is>
          <t>JÖNKÖPINGS LÄN</t>
        </is>
      </c>
      <c r="E894" t="inlineStr">
        <is>
          <t>VETLANDA</t>
        </is>
      </c>
      <c r="G894" t="n">
        <v>3.6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56178-2021</t>
        </is>
      </c>
      <c r="B895" s="1" t="n">
        <v>44477.71097222222</v>
      </c>
      <c r="C895" s="1" t="n">
        <v>45962</v>
      </c>
      <c r="D895" t="inlineStr">
        <is>
          <t>JÖNKÖPINGS LÄN</t>
        </is>
      </c>
      <c r="E895" t="inlineStr">
        <is>
          <t>NÄSSJÖ</t>
        </is>
      </c>
      <c r="G895" t="n">
        <v>2.9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1697-2021</t>
        </is>
      </c>
      <c r="B896" s="1" t="n">
        <v>44209</v>
      </c>
      <c r="C896" s="1" t="n">
        <v>45962</v>
      </c>
      <c r="D896" t="inlineStr">
        <is>
          <t>JÖNKÖPINGS LÄN</t>
        </is>
      </c>
      <c r="E896" t="inlineStr">
        <is>
          <t>EKSJÖ</t>
        </is>
      </c>
      <c r="G896" t="n">
        <v>3.8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43545-2022</t>
        </is>
      </c>
      <c r="B897" s="1" t="n">
        <v>44837</v>
      </c>
      <c r="C897" s="1" t="n">
        <v>45962</v>
      </c>
      <c r="D897" t="inlineStr">
        <is>
          <t>JÖNKÖPINGS LÄN</t>
        </is>
      </c>
      <c r="E897" t="inlineStr">
        <is>
          <t>NÄSSJÖ</t>
        </is>
      </c>
      <c r="G897" t="n">
        <v>2.3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46898-2021</t>
        </is>
      </c>
      <c r="B898" s="1" t="n">
        <v>44446</v>
      </c>
      <c r="C898" s="1" t="n">
        <v>45962</v>
      </c>
      <c r="D898" t="inlineStr">
        <is>
          <t>JÖNKÖPINGS LÄN</t>
        </is>
      </c>
      <c r="E898" t="inlineStr">
        <is>
          <t>VETLANDA</t>
        </is>
      </c>
      <c r="G898" t="n">
        <v>0.5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10638-2022</t>
        </is>
      </c>
      <c r="B899" s="1" t="n">
        <v>44624</v>
      </c>
      <c r="C899" s="1" t="n">
        <v>45962</v>
      </c>
      <c r="D899" t="inlineStr">
        <is>
          <t>JÖNKÖPINGS LÄN</t>
        </is>
      </c>
      <c r="E899" t="inlineStr">
        <is>
          <t>VETLANDA</t>
        </is>
      </c>
      <c r="G899" t="n">
        <v>2.9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8656-2021</t>
        </is>
      </c>
      <c r="B900" s="1" t="n">
        <v>44246</v>
      </c>
      <c r="C900" s="1" t="n">
        <v>45962</v>
      </c>
      <c r="D900" t="inlineStr">
        <is>
          <t>JÖNKÖPINGS LÄN</t>
        </is>
      </c>
      <c r="E900" t="inlineStr">
        <is>
          <t>NÄSSJÖ</t>
        </is>
      </c>
      <c r="G900" t="n">
        <v>0.6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8669-2021</t>
        </is>
      </c>
      <c r="B901" s="1" t="n">
        <v>44246</v>
      </c>
      <c r="C901" s="1" t="n">
        <v>45962</v>
      </c>
      <c r="D901" t="inlineStr">
        <is>
          <t>JÖNKÖPINGS LÄN</t>
        </is>
      </c>
      <c r="E901" t="inlineStr">
        <is>
          <t>NÄSSJÖ</t>
        </is>
      </c>
      <c r="G901" t="n">
        <v>1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15014-2021</t>
        </is>
      </c>
      <c r="B902" s="1" t="n">
        <v>44281</v>
      </c>
      <c r="C902" s="1" t="n">
        <v>45962</v>
      </c>
      <c r="D902" t="inlineStr">
        <is>
          <t>JÖNKÖPINGS LÄN</t>
        </is>
      </c>
      <c r="E902" t="inlineStr">
        <is>
          <t>SÄVSJÖ</t>
        </is>
      </c>
      <c r="F902" t="inlineStr">
        <is>
          <t>Sveaskog</t>
        </is>
      </c>
      <c r="G902" t="n">
        <v>1.7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15664-2021</t>
        </is>
      </c>
      <c r="B903" s="1" t="n">
        <v>44286.33185185185</v>
      </c>
      <c r="C903" s="1" t="n">
        <v>45962</v>
      </c>
      <c r="D903" t="inlineStr">
        <is>
          <t>JÖNKÖPINGS LÄN</t>
        </is>
      </c>
      <c r="E903" t="inlineStr">
        <is>
          <t>VÄRNAMO</t>
        </is>
      </c>
      <c r="G903" t="n">
        <v>3.1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48312-2022</t>
        </is>
      </c>
      <c r="B904" s="1" t="n">
        <v>44853</v>
      </c>
      <c r="C904" s="1" t="n">
        <v>45962</v>
      </c>
      <c r="D904" t="inlineStr">
        <is>
          <t>JÖNKÖPINGS LÄN</t>
        </is>
      </c>
      <c r="E904" t="inlineStr">
        <is>
          <t>ANEBY</t>
        </is>
      </c>
      <c r="G904" t="n">
        <v>2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49153-2021</t>
        </is>
      </c>
      <c r="B905" s="1" t="n">
        <v>44453.93173611111</v>
      </c>
      <c r="C905" s="1" t="n">
        <v>45962</v>
      </c>
      <c r="D905" t="inlineStr">
        <is>
          <t>JÖNKÖPINGS LÄN</t>
        </is>
      </c>
      <c r="E905" t="inlineStr">
        <is>
          <t>VAGGERYD</t>
        </is>
      </c>
      <c r="G905" t="n">
        <v>0.4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45340-2022</t>
        </is>
      </c>
      <c r="B906" s="1" t="n">
        <v>44840</v>
      </c>
      <c r="C906" s="1" t="n">
        <v>45962</v>
      </c>
      <c r="D906" t="inlineStr">
        <is>
          <t>JÖNKÖPINGS LÄN</t>
        </is>
      </c>
      <c r="E906" t="inlineStr">
        <is>
          <t>JÖNKÖPING</t>
        </is>
      </c>
      <c r="G906" t="n">
        <v>0.6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49709-2021</t>
        </is>
      </c>
      <c r="B907" s="1" t="n">
        <v>44455.50283564815</v>
      </c>
      <c r="C907" s="1" t="n">
        <v>45962</v>
      </c>
      <c r="D907" t="inlineStr">
        <is>
          <t>JÖNKÖPINGS LÄN</t>
        </is>
      </c>
      <c r="E907" t="inlineStr">
        <is>
          <t>NÄSSJÖ</t>
        </is>
      </c>
      <c r="G907" t="n">
        <v>1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38265-2021</t>
        </is>
      </c>
      <c r="B908" s="1" t="n">
        <v>44405.85179398148</v>
      </c>
      <c r="C908" s="1" t="n">
        <v>45962</v>
      </c>
      <c r="D908" t="inlineStr">
        <is>
          <t>JÖNKÖPINGS LÄN</t>
        </is>
      </c>
      <c r="E908" t="inlineStr">
        <is>
          <t>SÄVSJÖ</t>
        </is>
      </c>
      <c r="G908" t="n">
        <v>2.4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38351-2021</t>
        </is>
      </c>
      <c r="B909" s="1" t="n">
        <v>44406</v>
      </c>
      <c r="C909" s="1" t="n">
        <v>45962</v>
      </c>
      <c r="D909" t="inlineStr">
        <is>
          <t>JÖNKÖPINGS LÄN</t>
        </is>
      </c>
      <c r="E909" t="inlineStr">
        <is>
          <t>GISLAVED</t>
        </is>
      </c>
      <c r="G909" t="n">
        <v>6.7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47128-2021</t>
        </is>
      </c>
      <c r="B910" s="1" t="n">
        <v>44446</v>
      </c>
      <c r="C910" s="1" t="n">
        <v>45962</v>
      </c>
      <c r="D910" t="inlineStr">
        <is>
          <t>JÖNKÖPINGS LÄN</t>
        </is>
      </c>
      <c r="E910" t="inlineStr">
        <is>
          <t>GISLAVED</t>
        </is>
      </c>
      <c r="G910" t="n">
        <v>4.4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51478-2021</t>
        </is>
      </c>
      <c r="B911" s="1" t="n">
        <v>44460</v>
      </c>
      <c r="C911" s="1" t="n">
        <v>45962</v>
      </c>
      <c r="D911" t="inlineStr">
        <is>
          <t>JÖNKÖPINGS LÄN</t>
        </is>
      </c>
      <c r="E911" t="inlineStr">
        <is>
          <t>NÄSSJÖ</t>
        </is>
      </c>
      <c r="G911" t="n">
        <v>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58101-2020</t>
        </is>
      </c>
      <c r="B912" s="1" t="n">
        <v>44144</v>
      </c>
      <c r="C912" s="1" t="n">
        <v>45962</v>
      </c>
      <c r="D912" t="inlineStr">
        <is>
          <t>JÖNKÖPINGS LÄN</t>
        </is>
      </c>
      <c r="E912" t="inlineStr">
        <is>
          <t>EKSJÖ</t>
        </is>
      </c>
      <c r="G912" t="n">
        <v>6.1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43594-2021</t>
        </is>
      </c>
      <c r="B913" s="1" t="n">
        <v>44433.46096064815</v>
      </c>
      <c r="C913" s="1" t="n">
        <v>45962</v>
      </c>
      <c r="D913" t="inlineStr">
        <is>
          <t>JÖNKÖPINGS LÄN</t>
        </is>
      </c>
      <c r="E913" t="inlineStr">
        <is>
          <t>MULLSJÖ</t>
        </is>
      </c>
      <c r="G913" t="n">
        <v>0.6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43604-2021</t>
        </is>
      </c>
      <c r="B914" s="1" t="n">
        <v>44433.47172453703</v>
      </c>
      <c r="C914" s="1" t="n">
        <v>45962</v>
      </c>
      <c r="D914" t="inlineStr">
        <is>
          <t>JÖNKÖPINGS LÄN</t>
        </is>
      </c>
      <c r="E914" t="inlineStr">
        <is>
          <t>SÄVSJÖ</t>
        </is>
      </c>
      <c r="G914" t="n">
        <v>1.7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17400-2021</t>
        </is>
      </c>
      <c r="B915" s="1" t="n">
        <v>44299.31681712963</v>
      </c>
      <c r="C915" s="1" t="n">
        <v>45962</v>
      </c>
      <c r="D915" t="inlineStr">
        <is>
          <t>JÖNKÖPINGS LÄN</t>
        </is>
      </c>
      <c r="E915" t="inlineStr">
        <is>
          <t>GNOSJÖ</t>
        </is>
      </c>
      <c r="G915" t="n">
        <v>0.5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44184-2021</t>
        </is>
      </c>
      <c r="B916" s="1" t="n">
        <v>44434</v>
      </c>
      <c r="C916" s="1" t="n">
        <v>45962</v>
      </c>
      <c r="D916" t="inlineStr">
        <is>
          <t>JÖNKÖPINGS LÄN</t>
        </is>
      </c>
      <c r="E916" t="inlineStr">
        <is>
          <t>VÄRNAMO</t>
        </is>
      </c>
      <c r="G916" t="n">
        <v>3.4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11578-2021</t>
        </is>
      </c>
      <c r="B917" s="1" t="n">
        <v>44264.5437962963</v>
      </c>
      <c r="C917" s="1" t="n">
        <v>45962</v>
      </c>
      <c r="D917" t="inlineStr">
        <is>
          <t>JÖNKÖPINGS LÄN</t>
        </is>
      </c>
      <c r="E917" t="inlineStr">
        <is>
          <t>EKSJÖ</t>
        </is>
      </c>
      <c r="G917" t="n">
        <v>2.2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45451-2021</t>
        </is>
      </c>
      <c r="B918" s="1" t="n">
        <v>44440.44416666667</v>
      </c>
      <c r="C918" s="1" t="n">
        <v>45962</v>
      </c>
      <c r="D918" t="inlineStr">
        <is>
          <t>JÖNKÖPINGS LÄN</t>
        </is>
      </c>
      <c r="E918" t="inlineStr">
        <is>
          <t>EKSJÖ</t>
        </is>
      </c>
      <c r="G918" t="n">
        <v>5.9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7613-2021</t>
        </is>
      </c>
      <c r="B919" s="1" t="n">
        <v>44239</v>
      </c>
      <c r="C919" s="1" t="n">
        <v>45962</v>
      </c>
      <c r="D919" t="inlineStr">
        <is>
          <t>JÖNKÖPINGS LÄN</t>
        </is>
      </c>
      <c r="E919" t="inlineStr">
        <is>
          <t>VÄRNAMO</t>
        </is>
      </c>
      <c r="G919" t="n">
        <v>2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62615-2021</t>
        </is>
      </c>
      <c r="B920" s="1" t="n">
        <v>44503.69758101852</v>
      </c>
      <c r="C920" s="1" t="n">
        <v>45962</v>
      </c>
      <c r="D920" t="inlineStr">
        <is>
          <t>JÖNKÖPINGS LÄN</t>
        </is>
      </c>
      <c r="E920" t="inlineStr">
        <is>
          <t>GNOSJÖ</t>
        </is>
      </c>
      <c r="G920" t="n">
        <v>5.5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41125-2021</t>
        </is>
      </c>
      <c r="B921" s="1" t="n">
        <v>44423.72306712963</v>
      </c>
      <c r="C921" s="1" t="n">
        <v>45962</v>
      </c>
      <c r="D921" t="inlineStr">
        <is>
          <t>JÖNKÖPINGS LÄN</t>
        </is>
      </c>
      <c r="E921" t="inlineStr">
        <is>
          <t>GNOSJÖ</t>
        </is>
      </c>
      <c r="G921" t="n">
        <v>4.4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53664-2021</t>
        </is>
      </c>
      <c r="B922" s="1" t="n">
        <v>44469.44841435185</v>
      </c>
      <c r="C922" s="1" t="n">
        <v>45962</v>
      </c>
      <c r="D922" t="inlineStr">
        <is>
          <t>JÖNKÖPINGS LÄN</t>
        </is>
      </c>
      <c r="E922" t="inlineStr">
        <is>
          <t>MULLSJÖ</t>
        </is>
      </c>
      <c r="G922" t="n">
        <v>3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14610-2021</t>
        </is>
      </c>
      <c r="B923" s="1" t="n">
        <v>44280.27939814814</v>
      </c>
      <c r="C923" s="1" t="n">
        <v>45962</v>
      </c>
      <c r="D923" t="inlineStr">
        <is>
          <t>JÖNKÖPINGS LÄN</t>
        </is>
      </c>
      <c r="E923" t="inlineStr">
        <is>
          <t>NÄSSJÖ</t>
        </is>
      </c>
      <c r="G923" t="n">
        <v>2.7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14620-2021</t>
        </is>
      </c>
      <c r="B924" s="1" t="n">
        <v>44280</v>
      </c>
      <c r="C924" s="1" t="n">
        <v>45962</v>
      </c>
      <c r="D924" t="inlineStr">
        <is>
          <t>JÖNKÖPINGS LÄN</t>
        </is>
      </c>
      <c r="E924" t="inlineStr">
        <is>
          <t>JÖNKÖPING</t>
        </is>
      </c>
      <c r="G924" t="n">
        <v>1.3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19569-2022</t>
        </is>
      </c>
      <c r="B925" s="1" t="n">
        <v>44693</v>
      </c>
      <c r="C925" s="1" t="n">
        <v>45962</v>
      </c>
      <c r="D925" t="inlineStr">
        <is>
          <t>JÖNKÖPINGS LÄN</t>
        </is>
      </c>
      <c r="E925" t="inlineStr">
        <is>
          <t>HABO</t>
        </is>
      </c>
      <c r="G925" t="n">
        <v>1.4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60589-2021</t>
        </is>
      </c>
      <c r="B926" s="1" t="n">
        <v>44496.57613425926</v>
      </c>
      <c r="C926" s="1" t="n">
        <v>45962</v>
      </c>
      <c r="D926" t="inlineStr">
        <is>
          <t>JÖNKÖPINGS LÄN</t>
        </is>
      </c>
      <c r="E926" t="inlineStr">
        <is>
          <t>VÄRNAMO</t>
        </is>
      </c>
      <c r="G926" t="n">
        <v>1.2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8582-2022</t>
        </is>
      </c>
      <c r="B927" s="1" t="n">
        <v>44613</v>
      </c>
      <c r="C927" s="1" t="n">
        <v>45962</v>
      </c>
      <c r="D927" t="inlineStr">
        <is>
          <t>JÖNKÖPINGS LÄN</t>
        </is>
      </c>
      <c r="E927" t="inlineStr">
        <is>
          <t>JÖNKÖPING</t>
        </is>
      </c>
      <c r="G927" t="n">
        <v>1.5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50003-2021</t>
        </is>
      </c>
      <c r="B928" s="1" t="n">
        <v>44456.46952546296</v>
      </c>
      <c r="C928" s="1" t="n">
        <v>45962</v>
      </c>
      <c r="D928" t="inlineStr">
        <is>
          <t>JÖNKÖPINGS LÄN</t>
        </is>
      </c>
      <c r="E928" t="inlineStr">
        <is>
          <t>JÖNKÖPING</t>
        </is>
      </c>
      <c r="G928" t="n">
        <v>1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52523-2021</t>
        </is>
      </c>
      <c r="B929" s="1" t="n">
        <v>44466.45636574074</v>
      </c>
      <c r="C929" s="1" t="n">
        <v>45962</v>
      </c>
      <c r="D929" t="inlineStr">
        <is>
          <t>JÖNKÖPINGS LÄN</t>
        </is>
      </c>
      <c r="E929" t="inlineStr">
        <is>
          <t>NÄSSJÖ</t>
        </is>
      </c>
      <c r="G929" t="n">
        <v>2.6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70546-2021</t>
        </is>
      </c>
      <c r="B930" s="1" t="n">
        <v>44537</v>
      </c>
      <c r="C930" s="1" t="n">
        <v>45962</v>
      </c>
      <c r="D930" t="inlineStr">
        <is>
          <t>JÖNKÖPINGS LÄN</t>
        </is>
      </c>
      <c r="E930" t="inlineStr">
        <is>
          <t>JÖNKÖPING</t>
        </is>
      </c>
      <c r="G930" t="n">
        <v>0.5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20582-2021</t>
        </is>
      </c>
      <c r="B931" s="1" t="n">
        <v>44315</v>
      </c>
      <c r="C931" s="1" t="n">
        <v>45962</v>
      </c>
      <c r="D931" t="inlineStr">
        <is>
          <t>JÖNKÖPINGS LÄN</t>
        </is>
      </c>
      <c r="E931" t="inlineStr">
        <is>
          <t>VÄRNAMO</t>
        </is>
      </c>
      <c r="G931" t="n">
        <v>4.5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53501-2021</t>
        </is>
      </c>
      <c r="B932" s="1" t="n">
        <v>44468</v>
      </c>
      <c r="C932" s="1" t="n">
        <v>45962</v>
      </c>
      <c r="D932" t="inlineStr">
        <is>
          <t>JÖNKÖPINGS LÄN</t>
        </is>
      </c>
      <c r="E932" t="inlineStr">
        <is>
          <t>VAGGERYD</t>
        </is>
      </c>
      <c r="F932" t="inlineStr">
        <is>
          <t>Sveaskog</t>
        </is>
      </c>
      <c r="G932" t="n">
        <v>2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48136-2021</t>
        </is>
      </c>
      <c r="B933" s="1" t="n">
        <v>44449.48881944444</v>
      </c>
      <c r="C933" s="1" t="n">
        <v>45962</v>
      </c>
      <c r="D933" t="inlineStr">
        <is>
          <t>JÖNKÖPINGS LÄN</t>
        </is>
      </c>
      <c r="E933" t="inlineStr">
        <is>
          <t>VÄRNAMO</t>
        </is>
      </c>
      <c r="G933" t="n">
        <v>0.5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59855-2021</t>
        </is>
      </c>
      <c r="B934" s="1" t="n">
        <v>44494.58787037037</v>
      </c>
      <c r="C934" s="1" t="n">
        <v>45962</v>
      </c>
      <c r="D934" t="inlineStr">
        <is>
          <t>JÖNKÖPINGS LÄN</t>
        </is>
      </c>
      <c r="E934" t="inlineStr">
        <is>
          <t>GNOSJÖ</t>
        </is>
      </c>
      <c r="G934" t="n">
        <v>0.8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65365-2021</t>
        </is>
      </c>
      <c r="B935" s="1" t="n">
        <v>44515</v>
      </c>
      <c r="C935" s="1" t="n">
        <v>45962</v>
      </c>
      <c r="D935" t="inlineStr">
        <is>
          <t>JÖNKÖPINGS LÄN</t>
        </is>
      </c>
      <c r="E935" t="inlineStr">
        <is>
          <t>VETLANDA</t>
        </is>
      </c>
      <c r="G935" t="n">
        <v>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53301-2022</t>
        </is>
      </c>
      <c r="B936" s="1" t="n">
        <v>44877.83546296296</v>
      </c>
      <c r="C936" s="1" t="n">
        <v>45962</v>
      </c>
      <c r="D936" t="inlineStr">
        <is>
          <t>JÖNKÖPINGS LÄN</t>
        </is>
      </c>
      <c r="E936" t="inlineStr">
        <is>
          <t>HABO</t>
        </is>
      </c>
      <c r="G936" t="n">
        <v>0.6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53330-2022</t>
        </is>
      </c>
      <c r="B937" s="1" t="n">
        <v>44879.3025462963</v>
      </c>
      <c r="C937" s="1" t="n">
        <v>45962</v>
      </c>
      <c r="D937" t="inlineStr">
        <is>
          <t>JÖNKÖPINGS LÄN</t>
        </is>
      </c>
      <c r="E937" t="inlineStr">
        <is>
          <t>TRANÅS</t>
        </is>
      </c>
      <c r="G937" t="n">
        <v>0.8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65069-2020</t>
        </is>
      </c>
      <c r="B938" s="1" t="n">
        <v>44167</v>
      </c>
      <c r="C938" s="1" t="n">
        <v>45962</v>
      </c>
      <c r="D938" t="inlineStr">
        <is>
          <t>JÖNKÖPINGS LÄN</t>
        </is>
      </c>
      <c r="E938" t="inlineStr">
        <is>
          <t>VETLANDA</t>
        </is>
      </c>
      <c r="F938" t="inlineStr">
        <is>
          <t>Kyrkan</t>
        </is>
      </c>
      <c r="G938" t="n">
        <v>0.6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20077-2022</t>
        </is>
      </c>
      <c r="B939" s="1" t="n">
        <v>44698.25771990741</v>
      </c>
      <c r="C939" s="1" t="n">
        <v>45962</v>
      </c>
      <c r="D939" t="inlineStr">
        <is>
          <t>JÖNKÖPINGS LÄN</t>
        </is>
      </c>
      <c r="E939" t="inlineStr">
        <is>
          <t>GNOSJÖ</t>
        </is>
      </c>
      <c r="G939" t="n">
        <v>4.5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55950-2021</t>
        </is>
      </c>
      <c r="B940" s="1" t="n">
        <v>44477.3272337963</v>
      </c>
      <c r="C940" s="1" t="n">
        <v>45962</v>
      </c>
      <c r="D940" t="inlineStr">
        <is>
          <t>JÖNKÖPINGS LÄN</t>
        </is>
      </c>
      <c r="E940" t="inlineStr">
        <is>
          <t>VETLANDA</t>
        </is>
      </c>
      <c r="G940" t="n">
        <v>3.3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17712-2021</t>
        </is>
      </c>
      <c r="B941" s="1" t="n">
        <v>44300</v>
      </c>
      <c r="C941" s="1" t="n">
        <v>45962</v>
      </c>
      <c r="D941" t="inlineStr">
        <is>
          <t>JÖNKÖPINGS LÄN</t>
        </is>
      </c>
      <c r="E941" t="inlineStr">
        <is>
          <t>VETLANDA</t>
        </is>
      </c>
      <c r="G941" t="n">
        <v>11.7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3517-2022</t>
        </is>
      </c>
      <c r="B942" s="1" t="n">
        <v>44585.71317129629</v>
      </c>
      <c r="C942" s="1" t="n">
        <v>45962</v>
      </c>
      <c r="D942" t="inlineStr">
        <is>
          <t>JÖNKÖPINGS LÄN</t>
        </is>
      </c>
      <c r="E942" t="inlineStr">
        <is>
          <t>GISLAVED</t>
        </is>
      </c>
      <c r="G942" t="n">
        <v>0.5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3523-2022</t>
        </is>
      </c>
      <c r="B943" s="1" t="n">
        <v>44585.77927083334</v>
      </c>
      <c r="C943" s="1" t="n">
        <v>45962</v>
      </c>
      <c r="D943" t="inlineStr">
        <is>
          <t>JÖNKÖPINGS LÄN</t>
        </is>
      </c>
      <c r="E943" t="inlineStr">
        <is>
          <t>ANEBY</t>
        </is>
      </c>
      <c r="G943" t="n">
        <v>0.5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21040-2021</t>
        </is>
      </c>
      <c r="B944" s="1" t="n">
        <v>44319.64083333333</v>
      </c>
      <c r="C944" s="1" t="n">
        <v>45962</v>
      </c>
      <c r="D944" t="inlineStr">
        <is>
          <t>JÖNKÖPINGS LÄN</t>
        </is>
      </c>
      <c r="E944" t="inlineStr">
        <is>
          <t>VETLANDA</t>
        </is>
      </c>
      <c r="G944" t="n">
        <v>1.5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5493-2022</t>
        </is>
      </c>
      <c r="B945" s="1" t="n">
        <v>44595.53233796296</v>
      </c>
      <c r="C945" s="1" t="n">
        <v>45962</v>
      </c>
      <c r="D945" t="inlineStr">
        <is>
          <t>JÖNKÖPINGS LÄN</t>
        </is>
      </c>
      <c r="E945" t="inlineStr">
        <is>
          <t>VETLANDA</t>
        </is>
      </c>
      <c r="G945" t="n">
        <v>0.5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73675-2021</t>
        </is>
      </c>
      <c r="B946" s="1" t="n">
        <v>44552.46637731481</v>
      </c>
      <c r="C946" s="1" t="n">
        <v>45962</v>
      </c>
      <c r="D946" t="inlineStr">
        <is>
          <t>JÖNKÖPINGS LÄN</t>
        </is>
      </c>
      <c r="E946" t="inlineStr">
        <is>
          <t>EKSJÖ</t>
        </is>
      </c>
      <c r="G946" t="n">
        <v>2.4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35654-2021</t>
        </is>
      </c>
      <c r="B947" s="1" t="n">
        <v>44386</v>
      </c>
      <c r="C947" s="1" t="n">
        <v>45962</v>
      </c>
      <c r="D947" t="inlineStr">
        <is>
          <t>JÖNKÖPINGS LÄN</t>
        </is>
      </c>
      <c r="E947" t="inlineStr">
        <is>
          <t>SÄVSJÖ</t>
        </is>
      </c>
      <c r="G947" t="n">
        <v>1.5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49870-2021</t>
        </is>
      </c>
      <c r="B948" s="1" t="n">
        <v>44455.67060185185</v>
      </c>
      <c r="C948" s="1" t="n">
        <v>45962</v>
      </c>
      <c r="D948" t="inlineStr">
        <is>
          <t>JÖNKÖPINGS LÄN</t>
        </is>
      </c>
      <c r="E948" t="inlineStr">
        <is>
          <t>ANEBY</t>
        </is>
      </c>
      <c r="G948" t="n">
        <v>0.6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59283-2021</t>
        </is>
      </c>
      <c r="B949" s="1" t="n">
        <v>44490</v>
      </c>
      <c r="C949" s="1" t="n">
        <v>45962</v>
      </c>
      <c r="D949" t="inlineStr">
        <is>
          <t>JÖNKÖPINGS LÄN</t>
        </is>
      </c>
      <c r="E949" t="inlineStr">
        <is>
          <t>EKSJÖ</t>
        </is>
      </c>
      <c r="G949" t="n">
        <v>0.6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50024-2021</t>
        </is>
      </c>
      <c r="B950" s="1" t="n">
        <v>44456.48791666667</v>
      </c>
      <c r="C950" s="1" t="n">
        <v>45962</v>
      </c>
      <c r="D950" t="inlineStr">
        <is>
          <t>JÖNKÖPINGS LÄN</t>
        </is>
      </c>
      <c r="E950" t="inlineStr">
        <is>
          <t>VÄRNAMO</t>
        </is>
      </c>
      <c r="G950" t="n">
        <v>1.7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28570-2021</t>
        </is>
      </c>
      <c r="B951" s="1" t="n">
        <v>44356</v>
      </c>
      <c r="C951" s="1" t="n">
        <v>45962</v>
      </c>
      <c r="D951" t="inlineStr">
        <is>
          <t>JÖNKÖPINGS LÄN</t>
        </is>
      </c>
      <c r="E951" t="inlineStr">
        <is>
          <t>JÖNKÖPING</t>
        </is>
      </c>
      <c r="G951" t="n">
        <v>3.8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36692-2021</t>
        </is>
      </c>
      <c r="B952" s="1" t="n">
        <v>44392</v>
      </c>
      <c r="C952" s="1" t="n">
        <v>45962</v>
      </c>
      <c r="D952" t="inlineStr">
        <is>
          <t>JÖNKÖPINGS LÄN</t>
        </is>
      </c>
      <c r="E952" t="inlineStr">
        <is>
          <t>VETLANDA</t>
        </is>
      </c>
      <c r="G952" t="n">
        <v>1.6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29224-2021</t>
        </is>
      </c>
      <c r="B953" s="1" t="n">
        <v>44360</v>
      </c>
      <c r="C953" s="1" t="n">
        <v>45962</v>
      </c>
      <c r="D953" t="inlineStr">
        <is>
          <t>JÖNKÖPINGS LÄN</t>
        </is>
      </c>
      <c r="E953" t="inlineStr">
        <is>
          <t>JÖNKÖPING</t>
        </is>
      </c>
      <c r="G953" t="n">
        <v>0.6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22792-2022</t>
        </is>
      </c>
      <c r="B954" s="1" t="n">
        <v>44715</v>
      </c>
      <c r="C954" s="1" t="n">
        <v>45962</v>
      </c>
      <c r="D954" t="inlineStr">
        <is>
          <t>JÖNKÖPINGS LÄN</t>
        </is>
      </c>
      <c r="E954" t="inlineStr">
        <is>
          <t>GISLAVED</t>
        </is>
      </c>
      <c r="G954" t="n">
        <v>2.7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38996-2021</t>
        </is>
      </c>
      <c r="B955" s="1" t="n">
        <v>44412.36203703703</v>
      </c>
      <c r="C955" s="1" t="n">
        <v>45962</v>
      </c>
      <c r="D955" t="inlineStr">
        <is>
          <t>JÖNKÖPINGS LÄN</t>
        </is>
      </c>
      <c r="E955" t="inlineStr">
        <is>
          <t>MULLSJÖ</t>
        </is>
      </c>
      <c r="G955" t="n">
        <v>1.9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32859-2021</t>
        </is>
      </c>
      <c r="B956" s="1" t="n">
        <v>44375.66003472222</v>
      </c>
      <c r="C956" s="1" t="n">
        <v>45962</v>
      </c>
      <c r="D956" t="inlineStr">
        <is>
          <t>JÖNKÖPINGS LÄN</t>
        </is>
      </c>
      <c r="E956" t="inlineStr">
        <is>
          <t>VETLANDA</t>
        </is>
      </c>
      <c r="G956" t="n">
        <v>0.8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30020-2021</t>
        </is>
      </c>
      <c r="B957" s="1" t="n">
        <v>44363.42813657408</v>
      </c>
      <c r="C957" s="1" t="n">
        <v>45962</v>
      </c>
      <c r="D957" t="inlineStr">
        <is>
          <t>JÖNKÖPINGS LÄN</t>
        </is>
      </c>
      <c r="E957" t="inlineStr">
        <is>
          <t>VÄRNAMO</t>
        </is>
      </c>
      <c r="G957" t="n">
        <v>0.5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56075-2021</t>
        </is>
      </c>
      <c r="B958" s="1" t="n">
        <v>44477.53258101852</v>
      </c>
      <c r="C958" s="1" t="n">
        <v>45962</v>
      </c>
      <c r="D958" t="inlineStr">
        <is>
          <t>JÖNKÖPINGS LÄN</t>
        </is>
      </c>
      <c r="E958" t="inlineStr">
        <is>
          <t>EKSJÖ</t>
        </is>
      </c>
      <c r="G958" t="n">
        <v>4.2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55968-2021</t>
        </is>
      </c>
      <c r="B959" s="1" t="n">
        <v>44476</v>
      </c>
      <c r="C959" s="1" t="n">
        <v>45962</v>
      </c>
      <c r="D959" t="inlineStr">
        <is>
          <t>JÖNKÖPINGS LÄN</t>
        </is>
      </c>
      <c r="E959" t="inlineStr">
        <is>
          <t>JÖNKÖPING</t>
        </is>
      </c>
      <c r="G959" t="n">
        <v>0.5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51667-2021</t>
        </is>
      </c>
      <c r="B960" s="1" t="n">
        <v>44462.52061342593</v>
      </c>
      <c r="C960" s="1" t="n">
        <v>45962</v>
      </c>
      <c r="D960" t="inlineStr">
        <is>
          <t>JÖNKÖPINGS LÄN</t>
        </is>
      </c>
      <c r="E960" t="inlineStr">
        <is>
          <t>EKSJÖ</t>
        </is>
      </c>
      <c r="G960" t="n">
        <v>1.2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28921-2021</t>
        </is>
      </c>
      <c r="B961" s="1" t="n">
        <v>44358.29001157408</v>
      </c>
      <c r="C961" s="1" t="n">
        <v>45962</v>
      </c>
      <c r="D961" t="inlineStr">
        <is>
          <t>JÖNKÖPINGS LÄN</t>
        </is>
      </c>
      <c r="E961" t="inlineStr">
        <is>
          <t>GISLAVED</t>
        </is>
      </c>
      <c r="G961" t="n">
        <v>1.7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66505-2021</t>
        </is>
      </c>
      <c r="B962" s="1" t="n">
        <v>44519</v>
      </c>
      <c r="C962" s="1" t="n">
        <v>45962</v>
      </c>
      <c r="D962" t="inlineStr">
        <is>
          <t>JÖNKÖPINGS LÄN</t>
        </is>
      </c>
      <c r="E962" t="inlineStr">
        <is>
          <t>NÄSSJÖ</t>
        </is>
      </c>
      <c r="G962" t="n">
        <v>0.9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28362-2021</t>
        </is>
      </c>
      <c r="B963" s="1" t="n">
        <v>44356.42612268519</v>
      </c>
      <c r="C963" s="1" t="n">
        <v>45962</v>
      </c>
      <c r="D963" t="inlineStr">
        <is>
          <t>JÖNKÖPINGS LÄN</t>
        </is>
      </c>
      <c r="E963" t="inlineStr">
        <is>
          <t>VÄRNAMO</t>
        </is>
      </c>
      <c r="G963" t="n">
        <v>1.3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2729-2022</t>
        </is>
      </c>
      <c r="B964" s="1" t="n">
        <v>44580</v>
      </c>
      <c r="C964" s="1" t="n">
        <v>45962</v>
      </c>
      <c r="D964" t="inlineStr">
        <is>
          <t>JÖNKÖPINGS LÄN</t>
        </is>
      </c>
      <c r="E964" t="inlineStr">
        <is>
          <t>TRANÅS</t>
        </is>
      </c>
      <c r="G964" t="n">
        <v>2.6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38533-2021</t>
        </is>
      </c>
      <c r="B965" s="1" t="n">
        <v>44407</v>
      </c>
      <c r="C965" s="1" t="n">
        <v>45962</v>
      </c>
      <c r="D965" t="inlineStr">
        <is>
          <t>JÖNKÖPINGS LÄN</t>
        </is>
      </c>
      <c r="E965" t="inlineStr">
        <is>
          <t>NÄSSJÖ</t>
        </is>
      </c>
      <c r="G965" t="n">
        <v>1.7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44618-2021</t>
        </is>
      </c>
      <c r="B966" s="1" t="n">
        <v>44436.45430555556</v>
      </c>
      <c r="C966" s="1" t="n">
        <v>45962</v>
      </c>
      <c r="D966" t="inlineStr">
        <is>
          <t>JÖNKÖPINGS LÄN</t>
        </is>
      </c>
      <c r="E966" t="inlineStr">
        <is>
          <t>VÄRNAMO</t>
        </is>
      </c>
      <c r="G966" t="n">
        <v>0.5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57229-2021</t>
        </is>
      </c>
      <c r="B967" s="1" t="n">
        <v>44483</v>
      </c>
      <c r="C967" s="1" t="n">
        <v>45962</v>
      </c>
      <c r="D967" t="inlineStr">
        <is>
          <t>JÖNKÖPINGS LÄN</t>
        </is>
      </c>
      <c r="E967" t="inlineStr">
        <is>
          <t>MULLSJÖ</t>
        </is>
      </c>
      <c r="G967" t="n">
        <v>1.1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20643-2022</t>
        </is>
      </c>
      <c r="B968" s="1" t="n">
        <v>44700.60278935185</v>
      </c>
      <c r="C968" s="1" t="n">
        <v>45962</v>
      </c>
      <c r="D968" t="inlineStr">
        <is>
          <t>JÖNKÖPINGS LÄN</t>
        </is>
      </c>
      <c r="E968" t="inlineStr">
        <is>
          <t>TRANÅS</t>
        </is>
      </c>
      <c r="F968" t="inlineStr">
        <is>
          <t>Allmännings- och besparingsskogar</t>
        </is>
      </c>
      <c r="G968" t="n">
        <v>13.9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68393-2021</t>
        </is>
      </c>
      <c r="B969" s="1" t="n">
        <v>44529.3524537037</v>
      </c>
      <c r="C969" s="1" t="n">
        <v>45962</v>
      </c>
      <c r="D969" t="inlineStr">
        <is>
          <t>JÖNKÖPINGS LÄN</t>
        </is>
      </c>
      <c r="E969" t="inlineStr">
        <is>
          <t>VETLANDA</t>
        </is>
      </c>
      <c r="G969" t="n">
        <v>0.6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42453-2021</t>
        </is>
      </c>
      <c r="B970" s="1" t="n">
        <v>44427.60192129629</v>
      </c>
      <c r="C970" s="1" t="n">
        <v>45962</v>
      </c>
      <c r="D970" t="inlineStr">
        <is>
          <t>JÖNKÖPINGS LÄN</t>
        </is>
      </c>
      <c r="E970" t="inlineStr">
        <is>
          <t>NÄSSJÖ</t>
        </is>
      </c>
      <c r="G970" t="n">
        <v>0.5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42489-2021</t>
        </is>
      </c>
      <c r="B971" s="1" t="n">
        <v>44427</v>
      </c>
      <c r="C971" s="1" t="n">
        <v>45962</v>
      </c>
      <c r="D971" t="inlineStr">
        <is>
          <t>JÖNKÖPINGS LÄN</t>
        </is>
      </c>
      <c r="E971" t="inlineStr">
        <is>
          <t>VÄRNAMO</t>
        </is>
      </c>
      <c r="G971" t="n">
        <v>1.1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40548-2021</t>
        </is>
      </c>
      <c r="B972" s="1" t="n">
        <v>44420.41239583334</v>
      </c>
      <c r="C972" s="1" t="n">
        <v>45962</v>
      </c>
      <c r="D972" t="inlineStr">
        <is>
          <t>JÖNKÖPINGS LÄN</t>
        </is>
      </c>
      <c r="E972" t="inlineStr">
        <is>
          <t>VÄRNAMO</t>
        </is>
      </c>
      <c r="G972" t="n">
        <v>0.5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17147-2021</t>
        </is>
      </c>
      <c r="B973" s="1" t="n">
        <v>44298.44060185185</v>
      </c>
      <c r="C973" s="1" t="n">
        <v>45962</v>
      </c>
      <c r="D973" t="inlineStr">
        <is>
          <t>JÖNKÖPINGS LÄN</t>
        </is>
      </c>
      <c r="E973" t="inlineStr">
        <is>
          <t>JÖNKÖPING</t>
        </is>
      </c>
      <c r="F973" t="inlineStr">
        <is>
          <t>Sveaskog</t>
        </is>
      </c>
      <c r="G973" t="n">
        <v>1.8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2065-2022</t>
        </is>
      </c>
      <c r="B974" s="1" t="n">
        <v>44575</v>
      </c>
      <c r="C974" s="1" t="n">
        <v>45962</v>
      </c>
      <c r="D974" t="inlineStr">
        <is>
          <t>JÖNKÖPINGS LÄN</t>
        </is>
      </c>
      <c r="E974" t="inlineStr">
        <is>
          <t>JÖNKÖPING</t>
        </is>
      </c>
      <c r="G974" t="n">
        <v>3.1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10344-2021</t>
        </is>
      </c>
      <c r="B975" s="1" t="n">
        <v>44257</v>
      </c>
      <c r="C975" s="1" t="n">
        <v>45962</v>
      </c>
      <c r="D975" t="inlineStr">
        <is>
          <t>JÖNKÖPINGS LÄN</t>
        </is>
      </c>
      <c r="E975" t="inlineStr">
        <is>
          <t>EKSJÖ</t>
        </is>
      </c>
      <c r="F975" t="inlineStr">
        <is>
          <t>Sveaskog</t>
        </is>
      </c>
      <c r="G975" t="n">
        <v>1.3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10430-2021</t>
        </is>
      </c>
      <c r="B976" s="1" t="n">
        <v>44257</v>
      </c>
      <c r="C976" s="1" t="n">
        <v>45962</v>
      </c>
      <c r="D976" t="inlineStr">
        <is>
          <t>JÖNKÖPINGS LÄN</t>
        </is>
      </c>
      <c r="E976" t="inlineStr">
        <is>
          <t>VÄRNAMO</t>
        </is>
      </c>
      <c r="G976" t="n">
        <v>0.7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10326-2021</t>
        </is>
      </c>
      <c r="B977" s="1" t="n">
        <v>44257</v>
      </c>
      <c r="C977" s="1" t="n">
        <v>45962</v>
      </c>
      <c r="D977" t="inlineStr">
        <is>
          <t>JÖNKÖPINGS LÄN</t>
        </is>
      </c>
      <c r="E977" t="inlineStr">
        <is>
          <t>EKSJÖ</t>
        </is>
      </c>
      <c r="G977" t="n">
        <v>1.2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7762-2022</t>
        </is>
      </c>
      <c r="B978" s="1" t="n">
        <v>44608</v>
      </c>
      <c r="C978" s="1" t="n">
        <v>45962</v>
      </c>
      <c r="D978" t="inlineStr">
        <is>
          <t>JÖNKÖPINGS LÄN</t>
        </is>
      </c>
      <c r="E978" t="inlineStr">
        <is>
          <t>SÄVSJÖ</t>
        </is>
      </c>
      <c r="G978" t="n">
        <v>1.3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8098-2021</t>
        </is>
      </c>
      <c r="B979" s="1" t="n">
        <v>44243</v>
      </c>
      <c r="C979" s="1" t="n">
        <v>45962</v>
      </c>
      <c r="D979" t="inlineStr">
        <is>
          <t>JÖNKÖPINGS LÄN</t>
        </is>
      </c>
      <c r="E979" t="inlineStr">
        <is>
          <t>VETLANDA</t>
        </is>
      </c>
      <c r="G979" t="n">
        <v>2.2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15414-2022</t>
        </is>
      </c>
      <c r="B980" s="1" t="n">
        <v>44659.61706018518</v>
      </c>
      <c r="C980" s="1" t="n">
        <v>45962</v>
      </c>
      <c r="D980" t="inlineStr">
        <is>
          <t>JÖNKÖPINGS LÄN</t>
        </is>
      </c>
      <c r="E980" t="inlineStr">
        <is>
          <t>NÄSSJÖ</t>
        </is>
      </c>
      <c r="G980" t="n">
        <v>0.5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12581-2021</t>
        </is>
      </c>
      <c r="B981" s="1" t="n">
        <v>44267</v>
      </c>
      <c r="C981" s="1" t="n">
        <v>45962</v>
      </c>
      <c r="D981" t="inlineStr">
        <is>
          <t>JÖNKÖPINGS LÄN</t>
        </is>
      </c>
      <c r="E981" t="inlineStr">
        <is>
          <t>VETLANDA</t>
        </is>
      </c>
      <c r="F981" t="inlineStr">
        <is>
          <t>Kommuner</t>
        </is>
      </c>
      <c r="G981" t="n">
        <v>1.2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35473-2021</t>
        </is>
      </c>
      <c r="B982" s="1" t="n">
        <v>44384</v>
      </c>
      <c r="C982" s="1" t="n">
        <v>45962</v>
      </c>
      <c r="D982" t="inlineStr">
        <is>
          <t>JÖNKÖPINGS LÄN</t>
        </is>
      </c>
      <c r="E982" t="inlineStr">
        <is>
          <t>VETLANDA</t>
        </is>
      </c>
      <c r="G982" t="n">
        <v>1.3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29763-2021</t>
        </is>
      </c>
      <c r="B983" s="1" t="n">
        <v>44362.50704861111</v>
      </c>
      <c r="C983" s="1" t="n">
        <v>45962</v>
      </c>
      <c r="D983" t="inlineStr">
        <is>
          <t>JÖNKÖPINGS LÄN</t>
        </is>
      </c>
      <c r="E983" t="inlineStr">
        <is>
          <t>VETLANDA</t>
        </is>
      </c>
      <c r="G983" t="n">
        <v>0.5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29776-2021</t>
        </is>
      </c>
      <c r="B984" s="1" t="n">
        <v>44362</v>
      </c>
      <c r="C984" s="1" t="n">
        <v>45962</v>
      </c>
      <c r="D984" t="inlineStr">
        <is>
          <t>JÖNKÖPINGS LÄN</t>
        </is>
      </c>
      <c r="E984" t="inlineStr">
        <is>
          <t>EKSJÖ</t>
        </is>
      </c>
      <c r="G984" t="n">
        <v>4.2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2322-2022</t>
        </is>
      </c>
      <c r="B985" s="1" t="n">
        <v>44578</v>
      </c>
      <c r="C985" s="1" t="n">
        <v>45962</v>
      </c>
      <c r="D985" t="inlineStr">
        <is>
          <t>JÖNKÖPINGS LÄN</t>
        </is>
      </c>
      <c r="E985" t="inlineStr">
        <is>
          <t>VAGGERYD</t>
        </is>
      </c>
      <c r="G985" t="n">
        <v>1.8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33396-2021</t>
        </is>
      </c>
      <c r="B986" s="1" t="n">
        <v>44377.57223379629</v>
      </c>
      <c r="C986" s="1" t="n">
        <v>45962</v>
      </c>
      <c r="D986" t="inlineStr">
        <is>
          <t>JÖNKÖPINGS LÄN</t>
        </is>
      </c>
      <c r="E986" t="inlineStr">
        <is>
          <t>EKSJÖ</t>
        </is>
      </c>
      <c r="G986" t="n">
        <v>0.5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37671-2021</t>
        </is>
      </c>
      <c r="B987" s="1" t="n">
        <v>44400</v>
      </c>
      <c r="C987" s="1" t="n">
        <v>45962</v>
      </c>
      <c r="D987" t="inlineStr">
        <is>
          <t>JÖNKÖPINGS LÄN</t>
        </is>
      </c>
      <c r="E987" t="inlineStr">
        <is>
          <t>GISLAVED</t>
        </is>
      </c>
      <c r="G987" t="n">
        <v>1.9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9817-2021</t>
        </is>
      </c>
      <c r="B988" s="1" t="n">
        <v>44252</v>
      </c>
      <c r="C988" s="1" t="n">
        <v>45962</v>
      </c>
      <c r="D988" t="inlineStr">
        <is>
          <t>JÖNKÖPINGS LÄN</t>
        </is>
      </c>
      <c r="E988" t="inlineStr">
        <is>
          <t>JÖNKÖPING</t>
        </is>
      </c>
      <c r="G988" t="n">
        <v>0.6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38946-2022</t>
        </is>
      </c>
      <c r="B989" s="1" t="n">
        <v>44816.67935185185</v>
      </c>
      <c r="C989" s="1" t="n">
        <v>45962</v>
      </c>
      <c r="D989" t="inlineStr">
        <is>
          <t>JÖNKÖPINGS LÄN</t>
        </is>
      </c>
      <c r="E989" t="inlineStr">
        <is>
          <t>VAGGERYD</t>
        </is>
      </c>
      <c r="G989" t="n">
        <v>1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2498-2022</t>
        </is>
      </c>
      <c r="B990" s="1" t="n">
        <v>44579</v>
      </c>
      <c r="C990" s="1" t="n">
        <v>45962</v>
      </c>
      <c r="D990" t="inlineStr">
        <is>
          <t>JÖNKÖPINGS LÄN</t>
        </is>
      </c>
      <c r="E990" t="inlineStr">
        <is>
          <t>JÖNKÖPING</t>
        </is>
      </c>
      <c r="G990" t="n">
        <v>1.3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67599-2021</t>
        </is>
      </c>
      <c r="B991" s="1" t="n">
        <v>44524.6277662037</v>
      </c>
      <c r="C991" s="1" t="n">
        <v>45962</v>
      </c>
      <c r="D991" t="inlineStr">
        <is>
          <t>JÖNKÖPINGS LÄN</t>
        </is>
      </c>
      <c r="E991" t="inlineStr">
        <is>
          <t>NÄSSJÖ</t>
        </is>
      </c>
      <c r="G991" t="n">
        <v>4.3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44574-2022</t>
        </is>
      </c>
      <c r="B992" s="1" t="n">
        <v>44840</v>
      </c>
      <c r="C992" s="1" t="n">
        <v>45962</v>
      </c>
      <c r="D992" t="inlineStr">
        <is>
          <t>JÖNKÖPINGS LÄN</t>
        </is>
      </c>
      <c r="E992" t="inlineStr">
        <is>
          <t>GISLAVED</t>
        </is>
      </c>
      <c r="G992" t="n">
        <v>0.6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67466-2020</t>
        </is>
      </c>
      <c r="B993" s="1" t="n">
        <v>44181</v>
      </c>
      <c r="C993" s="1" t="n">
        <v>45962</v>
      </c>
      <c r="D993" t="inlineStr">
        <is>
          <t>JÖNKÖPINGS LÄN</t>
        </is>
      </c>
      <c r="E993" t="inlineStr">
        <is>
          <t>VETLANDA</t>
        </is>
      </c>
      <c r="G993" t="n">
        <v>0.5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30115-2022</t>
        </is>
      </c>
      <c r="B994" s="1" t="n">
        <v>44757.40743055556</v>
      </c>
      <c r="C994" s="1" t="n">
        <v>45962</v>
      </c>
      <c r="D994" t="inlineStr">
        <is>
          <t>JÖNKÖPINGS LÄN</t>
        </is>
      </c>
      <c r="E994" t="inlineStr">
        <is>
          <t>VÄRNAMO</t>
        </is>
      </c>
      <c r="G994" t="n">
        <v>0.6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55595-2022</t>
        </is>
      </c>
      <c r="B995" s="1" t="n">
        <v>44888.42260416667</v>
      </c>
      <c r="C995" s="1" t="n">
        <v>45962</v>
      </c>
      <c r="D995" t="inlineStr">
        <is>
          <t>JÖNKÖPINGS LÄN</t>
        </is>
      </c>
      <c r="E995" t="inlineStr">
        <is>
          <t>VETLANDA</t>
        </is>
      </c>
      <c r="G995" t="n">
        <v>0.6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42024-2022</t>
        </is>
      </c>
      <c r="B996" s="1" t="n">
        <v>44830.4733912037</v>
      </c>
      <c r="C996" s="1" t="n">
        <v>45962</v>
      </c>
      <c r="D996" t="inlineStr">
        <is>
          <t>JÖNKÖPINGS LÄN</t>
        </is>
      </c>
      <c r="E996" t="inlineStr">
        <is>
          <t>VETLANDA</t>
        </is>
      </c>
      <c r="G996" t="n">
        <v>2.1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35943-2022</t>
        </is>
      </c>
      <c r="B997" s="1" t="n">
        <v>44802</v>
      </c>
      <c r="C997" s="1" t="n">
        <v>45962</v>
      </c>
      <c r="D997" t="inlineStr">
        <is>
          <t>JÖNKÖPINGS LÄN</t>
        </is>
      </c>
      <c r="E997" t="inlineStr">
        <is>
          <t>GISLAVED</t>
        </is>
      </c>
      <c r="G997" t="n">
        <v>7.9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48694-2022</t>
        </is>
      </c>
      <c r="B998" s="1" t="n">
        <v>44859</v>
      </c>
      <c r="C998" s="1" t="n">
        <v>45962</v>
      </c>
      <c r="D998" t="inlineStr">
        <is>
          <t>JÖNKÖPINGS LÄN</t>
        </is>
      </c>
      <c r="E998" t="inlineStr">
        <is>
          <t>VETLANDA</t>
        </is>
      </c>
      <c r="G998" t="n">
        <v>1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7342-2022</t>
        </is>
      </c>
      <c r="B999" s="1" t="n">
        <v>44606.55068287037</v>
      </c>
      <c r="C999" s="1" t="n">
        <v>45962</v>
      </c>
      <c r="D999" t="inlineStr">
        <is>
          <t>JÖNKÖPINGS LÄN</t>
        </is>
      </c>
      <c r="E999" t="inlineStr">
        <is>
          <t>GISLAVED</t>
        </is>
      </c>
      <c r="G999" t="n">
        <v>0.7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72078-2021</t>
        </is>
      </c>
      <c r="B1000" s="1" t="n">
        <v>44544.51118055556</v>
      </c>
      <c r="C1000" s="1" t="n">
        <v>45962</v>
      </c>
      <c r="D1000" t="inlineStr">
        <is>
          <t>JÖNKÖPINGS LÄN</t>
        </is>
      </c>
      <c r="E1000" t="inlineStr">
        <is>
          <t>GISLAVED</t>
        </is>
      </c>
      <c r="G1000" t="n">
        <v>0.5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21944-2022</t>
        </is>
      </c>
      <c r="B1001" s="1" t="n">
        <v>44711</v>
      </c>
      <c r="C1001" s="1" t="n">
        <v>45962</v>
      </c>
      <c r="D1001" t="inlineStr">
        <is>
          <t>JÖNKÖPINGS LÄN</t>
        </is>
      </c>
      <c r="E1001" t="inlineStr">
        <is>
          <t>JÖNKÖPING</t>
        </is>
      </c>
      <c r="G1001" t="n">
        <v>0.3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7744-2022</t>
        </is>
      </c>
      <c r="B1002" s="1" t="n">
        <v>44608</v>
      </c>
      <c r="C1002" s="1" t="n">
        <v>45962</v>
      </c>
      <c r="D1002" t="inlineStr">
        <is>
          <t>JÖNKÖPINGS LÄN</t>
        </is>
      </c>
      <c r="E1002" t="inlineStr">
        <is>
          <t>VETLANDA</t>
        </is>
      </c>
      <c r="G1002" t="n">
        <v>0.5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48151-2022</t>
        </is>
      </c>
      <c r="B1003" s="1" t="n">
        <v>44858.33900462963</v>
      </c>
      <c r="C1003" s="1" t="n">
        <v>45962</v>
      </c>
      <c r="D1003" t="inlineStr">
        <is>
          <t>JÖNKÖPINGS LÄN</t>
        </is>
      </c>
      <c r="E1003" t="inlineStr">
        <is>
          <t>NÄSSJÖ</t>
        </is>
      </c>
      <c r="G1003" t="n">
        <v>0.8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21897-2022</t>
        </is>
      </c>
      <c r="B1004" s="1" t="n">
        <v>44711</v>
      </c>
      <c r="C1004" s="1" t="n">
        <v>45962</v>
      </c>
      <c r="D1004" t="inlineStr">
        <is>
          <t>JÖNKÖPINGS LÄN</t>
        </is>
      </c>
      <c r="E1004" t="inlineStr">
        <is>
          <t>JÖNKÖPING</t>
        </is>
      </c>
      <c r="G1004" t="n">
        <v>0.2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23392-2021</t>
        </is>
      </c>
      <c r="B1005" s="1" t="n">
        <v>44333</v>
      </c>
      <c r="C1005" s="1" t="n">
        <v>45962</v>
      </c>
      <c r="D1005" t="inlineStr">
        <is>
          <t>JÖNKÖPINGS LÄN</t>
        </is>
      </c>
      <c r="E1005" t="inlineStr">
        <is>
          <t>VETLANDA</t>
        </is>
      </c>
      <c r="G1005" t="n">
        <v>1.2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16763-2021</t>
        </is>
      </c>
      <c r="B1006" s="1" t="n">
        <v>44294.7769675926</v>
      </c>
      <c r="C1006" s="1" t="n">
        <v>45962</v>
      </c>
      <c r="D1006" t="inlineStr">
        <is>
          <t>JÖNKÖPINGS LÄN</t>
        </is>
      </c>
      <c r="E1006" t="inlineStr">
        <is>
          <t>EKSJÖ</t>
        </is>
      </c>
      <c r="G1006" t="n">
        <v>0.8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6956-2021</t>
        </is>
      </c>
      <c r="B1007" s="1" t="n">
        <v>44237</v>
      </c>
      <c r="C1007" s="1" t="n">
        <v>45962</v>
      </c>
      <c r="D1007" t="inlineStr">
        <is>
          <t>JÖNKÖPINGS LÄN</t>
        </is>
      </c>
      <c r="E1007" t="inlineStr">
        <is>
          <t>TRANÅS</t>
        </is>
      </c>
      <c r="G1007" t="n">
        <v>1.5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20945-2022</t>
        </is>
      </c>
      <c r="B1008" s="1" t="n">
        <v>44701</v>
      </c>
      <c r="C1008" s="1" t="n">
        <v>45962</v>
      </c>
      <c r="D1008" t="inlineStr">
        <is>
          <t>JÖNKÖPINGS LÄN</t>
        </is>
      </c>
      <c r="E1008" t="inlineStr">
        <is>
          <t>NÄSSJÖ</t>
        </is>
      </c>
      <c r="G1008" t="n">
        <v>0.1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4946-2021</t>
        </is>
      </c>
      <c r="B1009" s="1" t="n">
        <v>44228.32541666667</v>
      </c>
      <c r="C1009" s="1" t="n">
        <v>45962</v>
      </c>
      <c r="D1009" t="inlineStr">
        <is>
          <t>JÖNKÖPINGS LÄN</t>
        </is>
      </c>
      <c r="E1009" t="inlineStr">
        <is>
          <t>EKSJÖ</t>
        </is>
      </c>
      <c r="G1009" t="n">
        <v>1.3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12502-2022</t>
        </is>
      </c>
      <c r="B1010" s="1" t="n">
        <v>44638.52920138889</v>
      </c>
      <c r="C1010" s="1" t="n">
        <v>45962</v>
      </c>
      <c r="D1010" t="inlineStr">
        <is>
          <t>JÖNKÖPINGS LÄN</t>
        </is>
      </c>
      <c r="E1010" t="inlineStr">
        <is>
          <t>GISLAVED</t>
        </is>
      </c>
      <c r="G1010" t="n">
        <v>0.5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59684-2020</t>
        </is>
      </c>
      <c r="B1011" s="1" t="n">
        <v>44151</v>
      </c>
      <c r="C1011" s="1" t="n">
        <v>45962</v>
      </c>
      <c r="D1011" t="inlineStr">
        <is>
          <t>JÖNKÖPINGS LÄN</t>
        </is>
      </c>
      <c r="E1011" t="inlineStr">
        <is>
          <t>JÖNKÖPING</t>
        </is>
      </c>
      <c r="G1011" t="n">
        <v>3.2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22574-2021</t>
        </is>
      </c>
      <c r="B1012" s="1" t="n">
        <v>44327</v>
      </c>
      <c r="C1012" s="1" t="n">
        <v>45962</v>
      </c>
      <c r="D1012" t="inlineStr">
        <is>
          <t>JÖNKÖPINGS LÄN</t>
        </is>
      </c>
      <c r="E1012" t="inlineStr">
        <is>
          <t>VÄRNAMO</t>
        </is>
      </c>
      <c r="G1012" t="n">
        <v>1.5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17524-2021</t>
        </is>
      </c>
      <c r="B1013" s="1" t="n">
        <v>44299</v>
      </c>
      <c r="C1013" s="1" t="n">
        <v>45962</v>
      </c>
      <c r="D1013" t="inlineStr">
        <is>
          <t>JÖNKÖPINGS LÄN</t>
        </is>
      </c>
      <c r="E1013" t="inlineStr">
        <is>
          <t>GISLAVED</t>
        </is>
      </c>
      <c r="G1013" t="n">
        <v>3.2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22603-2021</t>
        </is>
      </c>
      <c r="B1014" s="1" t="n">
        <v>44326</v>
      </c>
      <c r="C1014" s="1" t="n">
        <v>45962</v>
      </c>
      <c r="D1014" t="inlineStr">
        <is>
          <t>JÖNKÖPINGS LÄN</t>
        </is>
      </c>
      <c r="E1014" t="inlineStr">
        <is>
          <t>JÖNKÖPING</t>
        </is>
      </c>
      <c r="G1014" t="n">
        <v>1.3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2068-2022</t>
        </is>
      </c>
      <c r="B1015" s="1" t="n">
        <v>44575.8194212963</v>
      </c>
      <c r="C1015" s="1" t="n">
        <v>45962</v>
      </c>
      <c r="D1015" t="inlineStr">
        <is>
          <t>JÖNKÖPINGS LÄN</t>
        </is>
      </c>
      <c r="E1015" t="inlineStr">
        <is>
          <t>JÖNKÖPING</t>
        </is>
      </c>
      <c r="G1015" t="n">
        <v>0.5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42992-2022</t>
        </is>
      </c>
      <c r="B1016" s="1" t="n">
        <v>44833</v>
      </c>
      <c r="C1016" s="1" t="n">
        <v>45962</v>
      </c>
      <c r="D1016" t="inlineStr">
        <is>
          <t>JÖNKÖPINGS LÄN</t>
        </is>
      </c>
      <c r="E1016" t="inlineStr">
        <is>
          <t>SÄVSJÖ</t>
        </is>
      </c>
      <c r="G1016" t="n">
        <v>3.9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15368-2022</t>
        </is>
      </c>
      <c r="B1017" s="1" t="n">
        <v>44659.57226851852</v>
      </c>
      <c r="C1017" s="1" t="n">
        <v>45962</v>
      </c>
      <c r="D1017" t="inlineStr">
        <is>
          <t>JÖNKÖPINGS LÄN</t>
        </is>
      </c>
      <c r="E1017" t="inlineStr">
        <is>
          <t>JÖNKÖPING</t>
        </is>
      </c>
      <c r="F1017" t="inlineStr">
        <is>
          <t>Sveaskog</t>
        </is>
      </c>
      <c r="G1017" t="n">
        <v>0.9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15383-2022</t>
        </is>
      </c>
      <c r="B1018" s="1" t="n">
        <v>44659</v>
      </c>
      <c r="C1018" s="1" t="n">
        <v>45962</v>
      </c>
      <c r="D1018" t="inlineStr">
        <is>
          <t>JÖNKÖPINGS LÄN</t>
        </is>
      </c>
      <c r="E1018" t="inlineStr">
        <is>
          <t>JÖNKÖPING</t>
        </is>
      </c>
      <c r="F1018" t="inlineStr">
        <is>
          <t>Sveaskog</t>
        </is>
      </c>
      <c r="G1018" t="n">
        <v>1.3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54376-2021</t>
        </is>
      </c>
      <c r="B1019" s="1" t="n">
        <v>44470</v>
      </c>
      <c r="C1019" s="1" t="n">
        <v>45962</v>
      </c>
      <c r="D1019" t="inlineStr">
        <is>
          <t>JÖNKÖPINGS LÄN</t>
        </is>
      </c>
      <c r="E1019" t="inlineStr">
        <is>
          <t>GNOSJÖ</t>
        </is>
      </c>
      <c r="G1019" t="n">
        <v>3.1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40178-2022</t>
        </is>
      </c>
      <c r="B1020" s="1" t="n">
        <v>44820.5830787037</v>
      </c>
      <c r="C1020" s="1" t="n">
        <v>45962</v>
      </c>
      <c r="D1020" t="inlineStr">
        <is>
          <t>JÖNKÖPINGS LÄN</t>
        </is>
      </c>
      <c r="E1020" t="inlineStr">
        <is>
          <t>VETLANDA</t>
        </is>
      </c>
      <c r="G1020" t="n">
        <v>0.8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17976-2021</t>
        </is>
      </c>
      <c r="B1021" s="1" t="n">
        <v>44301</v>
      </c>
      <c r="C1021" s="1" t="n">
        <v>45962</v>
      </c>
      <c r="D1021" t="inlineStr">
        <is>
          <t>JÖNKÖPINGS LÄN</t>
        </is>
      </c>
      <c r="E1021" t="inlineStr">
        <is>
          <t>VETLANDA</t>
        </is>
      </c>
      <c r="G1021" t="n">
        <v>2.6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36580-2021</t>
        </is>
      </c>
      <c r="B1022" s="1" t="n">
        <v>44391</v>
      </c>
      <c r="C1022" s="1" t="n">
        <v>45962</v>
      </c>
      <c r="D1022" t="inlineStr">
        <is>
          <t>JÖNKÖPINGS LÄN</t>
        </is>
      </c>
      <c r="E1022" t="inlineStr">
        <is>
          <t>MULLSJÖ</t>
        </is>
      </c>
      <c r="G1022" t="n">
        <v>6.7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22150-2021</t>
        </is>
      </c>
      <c r="B1023" s="1" t="n">
        <v>44324</v>
      </c>
      <c r="C1023" s="1" t="n">
        <v>45962</v>
      </c>
      <c r="D1023" t="inlineStr">
        <is>
          <t>JÖNKÖPINGS LÄN</t>
        </is>
      </c>
      <c r="E1023" t="inlineStr">
        <is>
          <t>EKSJÖ</t>
        </is>
      </c>
      <c r="F1023" t="inlineStr">
        <is>
          <t>Kyrkan</t>
        </is>
      </c>
      <c r="G1023" t="n">
        <v>0.8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38916-2022</t>
        </is>
      </c>
      <c r="B1024" s="1" t="n">
        <v>44816</v>
      </c>
      <c r="C1024" s="1" t="n">
        <v>45962</v>
      </c>
      <c r="D1024" t="inlineStr">
        <is>
          <t>JÖNKÖPINGS LÄN</t>
        </is>
      </c>
      <c r="E1024" t="inlineStr">
        <is>
          <t>VETLANDA</t>
        </is>
      </c>
      <c r="G1024" t="n">
        <v>0.6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23168-2021</t>
        </is>
      </c>
      <c r="B1025" s="1" t="n">
        <v>44332.92143518518</v>
      </c>
      <c r="C1025" s="1" t="n">
        <v>45962</v>
      </c>
      <c r="D1025" t="inlineStr">
        <is>
          <t>JÖNKÖPINGS LÄN</t>
        </is>
      </c>
      <c r="E1025" t="inlineStr">
        <is>
          <t>VÄRNAMO</t>
        </is>
      </c>
      <c r="G1025" t="n">
        <v>1.5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27874-2021</t>
        </is>
      </c>
      <c r="B1026" s="1" t="n">
        <v>44354.64212962963</v>
      </c>
      <c r="C1026" s="1" t="n">
        <v>45962</v>
      </c>
      <c r="D1026" t="inlineStr">
        <is>
          <t>JÖNKÖPINGS LÄN</t>
        </is>
      </c>
      <c r="E1026" t="inlineStr">
        <is>
          <t>VETLANDA</t>
        </is>
      </c>
      <c r="G1026" t="n">
        <v>0.5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30370-2021</t>
        </is>
      </c>
      <c r="B1027" s="1" t="n">
        <v>44364.465</v>
      </c>
      <c r="C1027" s="1" t="n">
        <v>45962</v>
      </c>
      <c r="D1027" t="inlineStr">
        <is>
          <t>JÖNKÖPINGS LÄN</t>
        </is>
      </c>
      <c r="E1027" t="inlineStr">
        <is>
          <t>VETLANDA</t>
        </is>
      </c>
      <c r="G1027" t="n">
        <v>1.4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41311-2022</t>
        </is>
      </c>
      <c r="B1028" s="1" t="n">
        <v>44826.45150462963</v>
      </c>
      <c r="C1028" s="1" t="n">
        <v>45962</v>
      </c>
      <c r="D1028" t="inlineStr">
        <is>
          <t>JÖNKÖPINGS LÄN</t>
        </is>
      </c>
      <c r="E1028" t="inlineStr">
        <is>
          <t>ANEBY</t>
        </is>
      </c>
      <c r="G1028" t="n">
        <v>0.5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42724-2021</t>
        </is>
      </c>
      <c r="B1029" s="1" t="n">
        <v>44428.596875</v>
      </c>
      <c r="C1029" s="1" t="n">
        <v>45962</v>
      </c>
      <c r="D1029" t="inlineStr">
        <is>
          <t>JÖNKÖPINGS LÄN</t>
        </is>
      </c>
      <c r="E1029" t="inlineStr">
        <is>
          <t>JÖNKÖPING</t>
        </is>
      </c>
      <c r="F1029" t="inlineStr">
        <is>
          <t>Sveaskog</t>
        </is>
      </c>
      <c r="G1029" t="n">
        <v>0.7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37361-2022</t>
        </is>
      </c>
      <c r="B1030" s="1" t="n">
        <v>44809</v>
      </c>
      <c r="C1030" s="1" t="n">
        <v>45962</v>
      </c>
      <c r="D1030" t="inlineStr">
        <is>
          <t>JÖNKÖPINGS LÄN</t>
        </is>
      </c>
      <c r="E1030" t="inlineStr">
        <is>
          <t>GISLAVED</t>
        </is>
      </c>
      <c r="G1030" t="n">
        <v>0.7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49228-2021</t>
        </is>
      </c>
      <c r="B1031" s="1" t="n">
        <v>44454.38134259259</v>
      </c>
      <c r="C1031" s="1" t="n">
        <v>45962</v>
      </c>
      <c r="D1031" t="inlineStr">
        <is>
          <t>JÖNKÖPINGS LÄN</t>
        </is>
      </c>
      <c r="E1031" t="inlineStr">
        <is>
          <t>VETLANDA</t>
        </is>
      </c>
      <c r="F1031" t="inlineStr">
        <is>
          <t>Sveaskog</t>
        </is>
      </c>
      <c r="G1031" t="n">
        <v>2.6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49292-2021</t>
        </is>
      </c>
      <c r="B1032" s="1" t="n">
        <v>44454.4800925926</v>
      </c>
      <c r="C1032" s="1" t="n">
        <v>45962</v>
      </c>
      <c r="D1032" t="inlineStr">
        <is>
          <t>JÖNKÖPINGS LÄN</t>
        </is>
      </c>
      <c r="E1032" t="inlineStr">
        <is>
          <t>JÖNKÖPING</t>
        </is>
      </c>
      <c r="G1032" t="n">
        <v>8.4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57705-2020</t>
        </is>
      </c>
      <c r="B1033" s="1" t="n">
        <v>44140.90706018519</v>
      </c>
      <c r="C1033" s="1" t="n">
        <v>45962</v>
      </c>
      <c r="D1033" t="inlineStr">
        <is>
          <t>JÖNKÖPINGS LÄN</t>
        </is>
      </c>
      <c r="E1033" t="inlineStr">
        <is>
          <t>EKSJÖ</t>
        </is>
      </c>
      <c r="G1033" t="n">
        <v>0.6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31118-2021</t>
        </is>
      </c>
      <c r="B1034" s="1" t="n">
        <v>44368.54241898148</v>
      </c>
      <c r="C1034" s="1" t="n">
        <v>45962</v>
      </c>
      <c r="D1034" t="inlineStr">
        <is>
          <t>JÖNKÖPINGS LÄN</t>
        </is>
      </c>
      <c r="E1034" t="inlineStr">
        <is>
          <t>VETLANDA</t>
        </is>
      </c>
      <c r="G1034" t="n">
        <v>0.6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39718-2022</t>
        </is>
      </c>
      <c r="B1035" s="1" t="n">
        <v>44819</v>
      </c>
      <c r="C1035" s="1" t="n">
        <v>45962</v>
      </c>
      <c r="D1035" t="inlineStr">
        <is>
          <t>JÖNKÖPINGS LÄN</t>
        </is>
      </c>
      <c r="E1035" t="inlineStr">
        <is>
          <t>JÖNKÖPING</t>
        </is>
      </c>
      <c r="G1035" t="n">
        <v>1.5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39719-2022</t>
        </is>
      </c>
      <c r="B1036" s="1" t="n">
        <v>44819.28449074074</v>
      </c>
      <c r="C1036" s="1" t="n">
        <v>45962</v>
      </c>
      <c r="D1036" t="inlineStr">
        <is>
          <t>JÖNKÖPINGS LÄN</t>
        </is>
      </c>
      <c r="E1036" t="inlineStr">
        <is>
          <t>JÖNKÖPING</t>
        </is>
      </c>
      <c r="G1036" t="n">
        <v>1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17549-2022</t>
        </is>
      </c>
      <c r="B1037" s="1" t="n">
        <v>44679.64733796296</v>
      </c>
      <c r="C1037" s="1" t="n">
        <v>45962</v>
      </c>
      <c r="D1037" t="inlineStr">
        <is>
          <t>JÖNKÖPINGS LÄN</t>
        </is>
      </c>
      <c r="E1037" t="inlineStr">
        <is>
          <t>TRANÅS</t>
        </is>
      </c>
      <c r="G1037" t="n">
        <v>0.5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16131-2021</t>
        </is>
      </c>
      <c r="B1038" s="1" t="n">
        <v>44292</v>
      </c>
      <c r="C1038" s="1" t="n">
        <v>45962</v>
      </c>
      <c r="D1038" t="inlineStr">
        <is>
          <t>JÖNKÖPINGS LÄN</t>
        </is>
      </c>
      <c r="E1038" t="inlineStr">
        <is>
          <t>JÖNKÖPING</t>
        </is>
      </c>
      <c r="G1038" t="n">
        <v>5.6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40849-2021</t>
        </is>
      </c>
      <c r="B1039" s="1" t="n">
        <v>44421</v>
      </c>
      <c r="C1039" s="1" t="n">
        <v>45962</v>
      </c>
      <c r="D1039" t="inlineStr">
        <is>
          <t>JÖNKÖPINGS LÄN</t>
        </is>
      </c>
      <c r="E1039" t="inlineStr">
        <is>
          <t>ANEBY</t>
        </is>
      </c>
      <c r="G1039" t="n">
        <v>2.8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45957-2022</t>
        </is>
      </c>
      <c r="B1040" s="1" t="n">
        <v>44846.66688657407</v>
      </c>
      <c r="C1040" s="1" t="n">
        <v>45962</v>
      </c>
      <c r="D1040" t="inlineStr">
        <is>
          <t>JÖNKÖPINGS LÄN</t>
        </is>
      </c>
      <c r="E1040" t="inlineStr">
        <is>
          <t>JÖNKÖPING</t>
        </is>
      </c>
      <c r="G1040" t="n">
        <v>0.5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35026-2021</t>
        </is>
      </c>
      <c r="B1041" s="1" t="n">
        <v>44383.72958333333</v>
      </c>
      <c r="C1041" s="1" t="n">
        <v>45962</v>
      </c>
      <c r="D1041" t="inlineStr">
        <is>
          <t>JÖNKÖPINGS LÄN</t>
        </is>
      </c>
      <c r="E1041" t="inlineStr">
        <is>
          <t>VAGGERYD</t>
        </is>
      </c>
      <c r="G1041" t="n">
        <v>1.2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51304-2021</t>
        </is>
      </c>
      <c r="B1042" s="1" t="n">
        <v>44460</v>
      </c>
      <c r="C1042" s="1" t="n">
        <v>45962</v>
      </c>
      <c r="D1042" t="inlineStr">
        <is>
          <t>JÖNKÖPINGS LÄN</t>
        </is>
      </c>
      <c r="E1042" t="inlineStr">
        <is>
          <t>VETLANDA</t>
        </is>
      </c>
      <c r="G1042" t="n">
        <v>0.8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7176-2022</t>
        </is>
      </c>
      <c r="B1043" s="1" t="n">
        <v>44605.44909722222</v>
      </c>
      <c r="C1043" s="1" t="n">
        <v>45962</v>
      </c>
      <c r="D1043" t="inlineStr">
        <is>
          <t>JÖNKÖPINGS LÄN</t>
        </is>
      </c>
      <c r="E1043" t="inlineStr">
        <is>
          <t>JÖNKÖPING</t>
        </is>
      </c>
      <c r="G1043" t="n">
        <v>3.1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67306-2021</t>
        </is>
      </c>
      <c r="B1044" s="1" t="n">
        <v>44523.65311342593</v>
      </c>
      <c r="C1044" s="1" t="n">
        <v>45962</v>
      </c>
      <c r="D1044" t="inlineStr">
        <is>
          <t>JÖNKÖPINGS LÄN</t>
        </is>
      </c>
      <c r="E1044" t="inlineStr">
        <is>
          <t>JÖNKÖPING</t>
        </is>
      </c>
      <c r="G1044" t="n">
        <v>2.2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45155-2022</t>
        </is>
      </c>
      <c r="B1045" s="1" t="n">
        <v>44844.35899305555</v>
      </c>
      <c r="C1045" s="1" t="n">
        <v>45962</v>
      </c>
      <c r="D1045" t="inlineStr">
        <is>
          <t>JÖNKÖPINGS LÄN</t>
        </is>
      </c>
      <c r="E1045" t="inlineStr">
        <is>
          <t>SÄVSJÖ</t>
        </is>
      </c>
      <c r="F1045" t="inlineStr">
        <is>
          <t>Sveaskog</t>
        </is>
      </c>
      <c r="G1045" t="n">
        <v>1.4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7451-2022</t>
        </is>
      </c>
      <c r="B1046" s="1" t="n">
        <v>44606</v>
      </c>
      <c r="C1046" s="1" t="n">
        <v>45962</v>
      </c>
      <c r="D1046" t="inlineStr">
        <is>
          <t>JÖNKÖPINGS LÄN</t>
        </is>
      </c>
      <c r="E1046" t="inlineStr">
        <is>
          <t>ANEBY</t>
        </is>
      </c>
      <c r="G1046" t="n">
        <v>0.6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65891-2020</t>
        </is>
      </c>
      <c r="B1047" s="1" t="n">
        <v>44174</v>
      </c>
      <c r="C1047" s="1" t="n">
        <v>45962</v>
      </c>
      <c r="D1047" t="inlineStr">
        <is>
          <t>JÖNKÖPINGS LÄN</t>
        </is>
      </c>
      <c r="E1047" t="inlineStr">
        <is>
          <t>VETLANDA</t>
        </is>
      </c>
      <c r="G1047" t="n">
        <v>0.3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7461-2022</t>
        </is>
      </c>
      <c r="B1048" s="1" t="n">
        <v>44606</v>
      </c>
      <c r="C1048" s="1" t="n">
        <v>45962</v>
      </c>
      <c r="D1048" t="inlineStr">
        <is>
          <t>JÖNKÖPINGS LÄN</t>
        </is>
      </c>
      <c r="E1048" t="inlineStr">
        <is>
          <t>ANEBY</t>
        </is>
      </c>
      <c r="G1048" t="n">
        <v>0.7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5292-2022</t>
        </is>
      </c>
      <c r="B1049" s="1" t="n">
        <v>44594.62553240741</v>
      </c>
      <c r="C1049" s="1" t="n">
        <v>45962</v>
      </c>
      <c r="D1049" t="inlineStr">
        <is>
          <t>JÖNKÖPINGS LÄN</t>
        </is>
      </c>
      <c r="E1049" t="inlineStr">
        <is>
          <t>GISLAVED</t>
        </is>
      </c>
      <c r="F1049" t="inlineStr">
        <is>
          <t>Sveaskog</t>
        </is>
      </c>
      <c r="G1049" t="n">
        <v>0.7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15816-2022</t>
        </is>
      </c>
      <c r="B1050" s="1" t="n">
        <v>44664.33730324074</v>
      </c>
      <c r="C1050" s="1" t="n">
        <v>45962</v>
      </c>
      <c r="D1050" t="inlineStr">
        <is>
          <t>JÖNKÖPINGS LÄN</t>
        </is>
      </c>
      <c r="E1050" t="inlineStr">
        <is>
          <t>SÄVSJÖ</t>
        </is>
      </c>
      <c r="F1050" t="inlineStr">
        <is>
          <t>Kommuner</t>
        </is>
      </c>
      <c r="G1050" t="n">
        <v>1.3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48311-2022</t>
        </is>
      </c>
      <c r="B1051" s="1" t="n">
        <v>44853</v>
      </c>
      <c r="C1051" s="1" t="n">
        <v>45962</v>
      </c>
      <c r="D1051" t="inlineStr">
        <is>
          <t>JÖNKÖPINGS LÄN</t>
        </is>
      </c>
      <c r="E1051" t="inlineStr">
        <is>
          <t>ANEBY</t>
        </is>
      </c>
      <c r="G1051" t="n">
        <v>2.7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9903-2022</t>
        </is>
      </c>
      <c r="B1052" s="1" t="n">
        <v>44620</v>
      </c>
      <c r="C1052" s="1" t="n">
        <v>45962</v>
      </c>
      <c r="D1052" t="inlineStr">
        <is>
          <t>JÖNKÖPINGS LÄN</t>
        </is>
      </c>
      <c r="E1052" t="inlineStr">
        <is>
          <t>MULLSJÖ</t>
        </is>
      </c>
      <c r="G1052" t="n">
        <v>16.8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2323-2022</t>
        </is>
      </c>
      <c r="B1053" s="1" t="n">
        <v>44578</v>
      </c>
      <c r="C1053" s="1" t="n">
        <v>45962</v>
      </c>
      <c r="D1053" t="inlineStr">
        <is>
          <t>JÖNKÖPINGS LÄN</t>
        </is>
      </c>
      <c r="E1053" t="inlineStr">
        <is>
          <t>JÖNKÖPING</t>
        </is>
      </c>
      <c r="G1053" t="n">
        <v>0.5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2369-2022</t>
        </is>
      </c>
      <c r="B1054" s="1" t="n">
        <v>44579</v>
      </c>
      <c r="C1054" s="1" t="n">
        <v>45962</v>
      </c>
      <c r="D1054" t="inlineStr">
        <is>
          <t>JÖNKÖPINGS LÄN</t>
        </is>
      </c>
      <c r="E1054" t="inlineStr">
        <is>
          <t>NÄSSJÖ</t>
        </is>
      </c>
      <c r="G1054" t="n">
        <v>1.1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55466-2022</t>
        </is>
      </c>
      <c r="B1055" s="1" t="n">
        <v>44887.65707175926</v>
      </c>
      <c r="C1055" s="1" t="n">
        <v>45962</v>
      </c>
      <c r="D1055" t="inlineStr">
        <is>
          <t>JÖNKÖPINGS LÄN</t>
        </is>
      </c>
      <c r="E1055" t="inlineStr">
        <is>
          <t>NÄSSJÖ</t>
        </is>
      </c>
      <c r="G1055" t="n">
        <v>1.6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57582-2020</t>
        </is>
      </c>
      <c r="B1056" s="1" t="n">
        <v>44139</v>
      </c>
      <c r="C1056" s="1" t="n">
        <v>45962</v>
      </c>
      <c r="D1056" t="inlineStr">
        <is>
          <t>JÖNKÖPINGS LÄN</t>
        </is>
      </c>
      <c r="E1056" t="inlineStr">
        <is>
          <t>VETLANDA</t>
        </is>
      </c>
      <c r="G1056" t="n">
        <v>2.9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58045-2020</t>
        </is>
      </c>
      <c r="B1057" s="1" t="n">
        <v>44144</v>
      </c>
      <c r="C1057" s="1" t="n">
        <v>45962</v>
      </c>
      <c r="D1057" t="inlineStr">
        <is>
          <t>JÖNKÖPINGS LÄN</t>
        </is>
      </c>
      <c r="E1057" t="inlineStr">
        <is>
          <t>SÄVSJÖ</t>
        </is>
      </c>
      <c r="G1057" t="n">
        <v>1.4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26563-2022</t>
        </is>
      </c>
      <c r="B1058" s="1" t="n">
        <v>44739.48693287037</v>
      </c>
      <c r="C1058" s="1" t="n">
        <v>45962</v>
      </c>
      <c r="D1058" t="inlineStr">
        <is>
          <t>JÖNKÖPINGS LÄN</t>
        </is>
      </c>
      <c r="E1058" t="inlineStr">
        <is>
          <t>GISLAVED</t>
        </is>
      </c>
      <c r="G1058" t="n">
        <v>1.7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21579-2021</t>
        </is>
      </c>
      <c r="B1059" s="1" t="n">
        <v>44321.65391203704</v>
      </c>
      <c r="C1059" s="1" t="n">
        <v>45962</v>
      </c>
      <c r="D1059" t="inlineStr">
        <is>
          <t>JÖNKÖPINGS LÄN</t>
        </is>
      </c>
      <c r="E1059" t="inlineStr">
        <is>
          <t>VETLANDA</t>
        </is>
      </c>
      <c r="G1059" t="n">
        <v>1.7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60374-2020</t>
        </is>
      </c>
      <c r="B1060" s="1" t="n">
        <v>44152</v>
      </c>
      <c r="C1060" s="1" t="n">
        <v>45962</v>
      </c>
      <c r="D1060" t="inlineStr">
        <is>
          <t>JÖNKÖPINGS LÄN</t>
        </is>
      </c>
      <c r="E1060" t="inlineStr">
        <is>
          <t>SÄVSJÖ</t>
        </is>
      </c>
      <c r="G1060" t="n">
        <v>2.6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4406-2021</t>
        </is>
      </c>
      <c r="B1061" s="1" t="n">
        <v>44223</v>
      </c>
      <c r="C1061" s="1" t="n">
        <v>45962</v>
      </c>
      <c r="D1061" t="inlineStr">
        <is>
          <t>JÖNKÖPINGS LÄN</t>
        </is>
      </c>
      <c r="E1061" t="inlineStr">
        <is>
          <t>EKSJÖ</t>
        </is>
      </c>
      <c r="G1061" t="n">
        <v>3.2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9013-2021</t>
        </is>
      </c>
      <c r="B1062" s="1" t="n">
        <v>44246</v>
      </c>
      <c r="C1062" s="1" t="n">
        <v>45962</v>
      </c>
      <c r="D1062" t="inlineStr">
        <is>
          <t>JÖNKÖPINGS LÄN</t>
        </is>
      </c>
      <c r="E1062" t="inlineStr">
        <is>
          <t>GISLAVED</t>
        </is>
      </c>
      <c r="G1062" t="n">
        <v>2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33631-2021</t>
        </is>
      </c>
      <c r="B1063" s="1" t="n">
        <v>44378</v>
      </c>
      <c r="C1063" s="1" t="n">
        <v>45962</v>
      </c>
      <c r="D1063" t="inlineStr">
        <is>
          <t>JÖNKÖPINGS LÄN</t>
        </is>
      </c>
      <c r="E1063" t="inlineStr">
        <is>
          <t>SÄVSJÖ</t>
        </is>
      </c>
      <c r="G1063" t="n">
        <v>1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25041-2021</t>
        </is>
      </c>
      <c r="B1064" s="1" t="n">
        <v>44341</v>
      </c>
      <c r="C1064" s="1" t="n">
        <v>45962</v>
      </c>
      <c r="D1064" t="inlineStr">
        <is>
          <t>JÖNKÖPINGS LÄN</t>
        </is>
      </c>
      <c r="E1064" t="inlineStr">
        <is>
          <t>EKSJÖ</t>
        </is>
      </c>
      <c r="F1064" t="inlineStr">
        <is>
          <t>Övriga Aktiebolag</t>
        </is>
      </c>
      <c r="G1064" t="n">
        <v>2.6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25054-2021</t>
        </is>
      </c>
      <c r="B1065" s="1" t="n">
        <v>44341.60505787037</v>
      </c>
      <c r="C1065" s="1" t="n">
        <v>45962</v>
      </c>
      <c r="D1065" t="inlineStr">
        <is>
          <t>JÖNKÖPINGS LÄN</t>
        </is>
      </c>
      <c r="E1065" t="inlineStr">
        <is>
          <t>NÄSSJÖ</t>
        </is>
      </c>
      <c r="G1065" t="n">
        <v>1.4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54477-2021</t>
        </is>
      </c>
      <c r="B1066" s="1" t="n">
        <v>44473.48482638889</v>
      </c>
      <c r="C1066" s="1" t="n">
        <v>45962</v>
      </c>
      <c r="D1066" t="inlineStr">
        <is>
          <t>JÖNKÖPINGS LÄN</t>
        </is>
      </c>
      <c r="E1066" t="inlineStr">
        <is>
          <t>VÄRNAMO</t>
        </is>
      </c>
      <c r="G1066" t="n">
        <v>1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54492-2021</t>
        </is>
      </c>
      <c r="B1067" s="1" t="n">
        <v>44473.5024537037</v>
      </c>
      <c r="C1067" s="1" t="n">
        <v>45962</v>
      </c>
      <c r="D1067" t="inlineStr">
        <is>
          <t>JÖNKÖPINGS LÄN</t>
        </is>
      </c>
      <c r="E1067" t="inlineStr">
        <is>
          <t>GISLAVED</t>
        </is>
      </c>
      <c r="G1067" t="n">
        <v>0.2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54495-2021</t>
        </is>
      </c>
      <c r="B1068" s="1" t="n">
        <v>44473.50425925926</v>
      </c>
      <c r="C1068" s="1" t="n">
        <v>45962</v>
      </c>
      <c r="D1068" t="inlineStr">
        <is>
          <t>JÖNKÖPINGS LÄN</t>
        </is>
      </c>
      <c r="E1068" t="inlineStr">
        <is>
          <t>GISLAVED</t>
        </is>
      </c>
      <c r="G1068" t="n">
        <v>1.8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54567-2021</t>
        </is>
      </c>
      <c r="B1069" s="1" t="n">
        <v>44473.57203703704</v>
      </c>
      <c r="C1069" s="1" t="n">
        <v>45962</v>
      </c>
      <c r="D1069" t="inlineStr">
        <is>
          <t>JÖNKÖPINGS LÄN</t>
        </is>
      </c>
      <c r="E1069" t="inlineStr">
        <is>
          <t>VÄRNAMO</t>
        </is>
      </c>
      <c r="G1069" t="n">
        <v>3.7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64865-2020</t>
        </is>
      </c>
      <c r="B1070" s="1" t="n">
        <v>44171</v>
      </c>
      <c r="C1070" s="1" t="n">
        <v>45962</v>
      </c>
      <c r="D1070" t="inlineStr">
        <is>
          <t>JÖNKÖPINGS LÄN</t>
        </is>
      </c>
      <c r="E1070" t="inlineStr">
        <is>
          <t>MULLSJÖ</t>
        </is>
      </c>
      <c r="G1070" t="n">
        <v>0.8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42779-2021</t>
        </is>
      </c>
      <c r="B1071" s="1" t="n">
        <v>44428.69538194445</v>
      </c>
      <c r="C1071" s="1" t="n">
        <v>45962</v>
      </c>
      <c r="D1071" t="inlineStr">
        <is>
          <t>JÖNKÖPINGS LÄN</t>
        </is>
      </c>
      <c r="E1071" t="inlineStr">
        <is>
          <t>EKSJÖ</t>
        </is>
      </c>
      <c r="G1071" t="n">
        <v>0.6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50489-2022</t>
        </is>
      </c>
      <c r="B1072" s="1" t="n">
        <v>44861</v>
      </c>
      <c r="C1072" s="1" t="n">
        <v>45962</v>
      </c>
      <c r="D1072" t="inlineStr">
        <is>
          <t>JÖNKÖPINGS LÄN</t>
        </is>
      </c>
      <c r="E1072" t="inlineStr">
        <is>
          <t>EKSJÖ</t>
        </is>
      </c>
      <c r="G1072" t="n">
        <v>0.8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51085-2021</t>
        </is>
      </c>
      <c r="B1073" s="1" t="n">
        <v>44461.37037037037</v>
      </c>
      <c r="C1073" s="1" t="n">
        <v>45962</v>
      </c>
      <c r="D1073" t="inlineStr">
        <is>
          <t>JÖNKÖPINGS LÄN</t>
        </is>
      </c>
      <c r="E1073" t="inlineStr">
        <is>
          <t>VETLANDA</t>
        </is>
      </c>
      <c r="G1073" t="n">
        <v>1.2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51123-2021</t>
        </is>
      </c>
      <c r="B1074" s="1" t="n">
        <v>44461</v>
      </c>
      <c r="C1074" s="1" t="n">
        <v>45962</v>
      </c>
      <c r="D1074" t="inlineStr">
        <is>
          <t>JÖNKÖPINGS LÄN</t>
        </is>
      </c>
      <c r="E1074" t="inlineStr">
        <is>
          <t>EKSJÖ</t>
        </is>
      </c>
      <c r="G1074" t="n">
        <v>2.1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25599-2021</t>
        </is>
      </c>
      <c r="B1075" s="1" t="n">
        <v>44343</v>
      </c>
      <c r="C1075" s="1" t="n">
        <v>45962</v>
      </c>
      <c r="D1075" t="inlineStr">
        <is>
          <t>JÖNKÖPINGS LÄN</t>
        </is>
      </c>
      <c r="E1075" t="inlineStr">
        <is>
          <t>GISLAVED</t>
        </is>
      </c>
      <c r="F1075" t="inlineStr">
        <is>
          <t>Kommuner</t>
        </is>
      </c>
      <c r="G1075" t="n">
        <v>1.5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21807-2021</t>
        </is>
      </c>
      <c r="B1076" s="1" t="n">
        <v>44319</v>
      </c>
      <c r="C1076" s="1" t="n">
        <v>45962</v>
      </c>
      <c r="D1076" t="inlineStr">
        <is>
          <t>JÖNKÖPINGS LÄN</t>
        </is>
      </c>
      <c r="E1076" t="inlineStr">
        <is>
          <t>VÄRNAMO</t>
        </is>
      </c>
      <c r="G1076" t="n">
        <v>5.5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26015-2021</t>
        </is>
      </c>
      <c r="B1077" s="1" t="n">
        <v>44344</v>
      </c>
      <c r="C1077" s="1" t="n">
        <v>45962</v>
      </c>
      <c r="D1077" t="inlineStr">
        <is>
          <t>JÖNKÖPINGS LÄN</t>
        </is>
      </c>
      <c r="E1077" t="inlineStr">
        <is>
          <t>NÄSSJÖ</t>
        </is>
      </c>
      <c r="G1077" t="n">
        <v>1.7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26073-2021</t>
        </is>
      </c>
      <c r="B1078" s="1" t="n">
        <v>44344</v>
      </c>
      <c r="C1078" s="1" t="n">
        <v>45962</v>
      </c>
      <c r="D1078" t="inlineStr">
        <is>
          <t>JÖNKÖPINGS LÄN</t>
        </is>
      </c>
      <c r="E1078" t="inlineStr">
        <is>
          <t>JÖNKÖPING</t>
        </is>
      </c>
      <c r="G1078" t="n">
        <v>1.2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61343-2021</t>
        </is>
      </c>
      <c r="B1079" s="1" t="n">
        <v>44498</v>
      </c>
      <c r="C1079" s="1" t="n">
        <v>45962</v>
      </c>
      <c r="D1079" t="inlineStr">
        <is>
          <t>JÖNKÖPINGS LÄN</t>
        </is>
      </c>
      <c r="E1079" t="inlineStr">
        <is>
          <t>EKSJÖ</t>
        </is>
      </c>
      <c r="G1079" t="n">
        <v>3.4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5514-2021</t>
        </is>
      </c>
      <c r="B1080" s="1" t="n">
        <v>44228</v>
      </c>
      <c r="C1080" s="1" t="n">
        <v>45962</v>
      </c>
      <c r="D1080" t="inlineStr">
        <is>
          <t>JÖNKÖPINGS LÄN</t>
        </is>
      </c>
      <c r="E1080" t="inlineStr">
        <is>
          <t>NÄSSJÖ</t>
        </is>
      </c>
      <c r="G1080" t="n">
        <v>1.1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32826-2021</t>
        </is>
      </c>
      <c r="B1081" s="1" t="n">
        <v>44375.6222337963</v>
      </c>
      <c r="C1081" s="1" t="n">
        <v>45962</v>
      </c>
      <c r="D1081" t="inlineStr">
        <is>
          <t>JÖNKÖPINGS LÄN</t>
        </is>
      </c>
      <c r="E1081" t="inlineStr">
        <is>
          <t>VETLANDA</t>
        </is>
      </c>
      <c r="G1081" t="n">
        <v>1.3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29068-2021</t>
        </is>
      </c>
      <c r="B1082" s="1" t="n">
        <v>44358</v>
      </c>
      <c r="C1082" s="1" t="n">
        <v>45962</v>
      </c>
      <c r="D1082" t="inlineStr">
        <is>
          <t>JÖNKÖPINGS LÄN</t>
        </is>
      </c>
      <c r="E1082" t="inlineStr">
        <is>
          <t>VAGGERYD</t>
        </is>
      </c>
      <c r="G1082" t="n">
        <v>1.5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24816-2021</t>
        </is>
      </c>
      <c r="B1083" s="1" t="n">
        <v>44340.68202546296</v>
      </c>
      <c r="C1083" s="1" t="n">
        <v>45962</v>
      </c>
      <c r="D1083" t="inlineStr">
        <is>
          <t>JÖNKÖPINGS LÄN</t>
        </is>
      </c>
      <c r="E1083" t="inlineStr">
        <is>
          <t>MULLSJÖ</t>
        </is>
      </c>
      <c r="G1083" t="n">
        <v>1.7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24845-2021</t>
        </is>
      </c>
      <c r="B1084" s="1" t="n">
        <v>44340</v>
      </c>
      <c r="C1084" s="1" t="n">
        <v>45962</v>
      </c>
      <c r="D1084" t="inlineStr">
        <is>
          <t>JÖNKÖPINGS LÄN</t>
        </is>
      </c>
      <c r="E1084" t="inlineStr">
        <is>
          <t>EKSJÖ</t>
        </is>
      </c>
      <c r="G1084" t="n">
        <v>2.5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20689-2021</t>
        </is>
      </c>
      <c r="B1085" s="1" t="n">
        <v>44313</v>
      </c>
      <c r="C1085" s="1" t="n">
        <v>45962</v>
      </c>
      <c r="D1085" t="inlineStr">
        <is>
          <t>JÖNKÖPINGS LÄN</t>
        </is>
      </c>
      <c r="E1085" t="inlineStr">
        <is>
          <t>VAGGERYD</t>
        </is>
      </c>
      <c r="G1085" t="n">
        <v>1.2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19570-2022</t>
        </is>
      </c>
      <c r="B1086" s="1" t="n">
        <v>44693</v>
      </c>
      <c r="C1086" s="1" t="n">
        <v>45962</v>
      </c>
      <c r="D1086" t="inlineStr">
        <is>
          <t>JÖNKÖPINGS LÄN</t>
        </is>
      </c>
      <c r="E1086" t="inlineStr">
        <is>
          <t>HABO</t>
        </is>
      </c>
      <c r="G1086" t="n">
        <v>1.1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32305-2021</t>
        </is>
      </c>
      <c r="B1087" s="1" t="n">
        <v>44371</v>
      </c>
      <c r="C1087" s="1" t="n">
        <v>45962</v>
      </c>
      <c r="D1087" t="inlineStr">
        <is>
          <t>JÖNKÖPINGS LÄN</t>
        </is>
      </c>
      <c r="E1087" t="inlineStr">
        <is>
          <t>TRANÅS</t>
        </is>
      </c>
      <c r="F1087" t="inlineStr">
        <is>
          <t>Kyrkan</t>
        </is>
      </c>
      <c r="G1087" t="n">
        <v>4.6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54822-2021</t>
        </is>
      </c>
      <c r="B1088" s="1" t="n">
        <v>44474.25150462963</v>
      </c>
      <c r="C1088" s="1" t="n">
        <v>45962</v>
      </c>
      <c r="D1088" t="inlineStr">
        <is>
          <t>JÖNKÖPINGS LÄN</t>
        </is>
      </c>
      <c r="E1088" t="inlineStr">
        <is>
          <t>JÖNKÖPING</t>
        </is>
      </c>
      <c r="G1088" t="n">
        <v>0.5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54825-2021</t>
        </is>
      </c>
      <c r="B1089" s="1" t="n">
        <v>44474.2569212963</v>
      </c>
      <c r="C1089" s="1" t="n">
        <v>45962</v>
      </c>
      <c r="D1089" t="inlineStr">
        <is>
          <t>JÖNKÖPINGS LÄN</t>
        </is>
      </c>
      <c r="E1089" t="inlineStr">
        <is>
          <t>NÄSSJÖ</t>
        </is>
      </c>
      <c r="G1089" t="n">
        <v>2.2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31020-2021</t>
        </is>
      </c>
      <c r="B1090" s="1" t="n">
        <v>44367.54793981482</v>
      </c>
      <c r="C1090" s="1" t="n">
        <v>45962</v>
      </c>
      <c r="D1090" t="inlineStr">
        <is>
          <t>JÖNKÖPINGS LÄN</t>
        </is>
      </c>
      <c r="E1090" t="inlineStr">
        <is>
          <t>VAGGERYD</t>
        </is>
      </c>
      <c r="G1090" t="n">
        <v>4.5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31022-2021</t>
        </is>
      </c>
      <c r="B1091" s="1" t="n">
        <v>44367.56305555555</v>
      </c>
      <c r="C1091" s="1" t="n">
        <v>45962</v>
      </c>
      <c r="D1091" t="inlineStr">
        <is>
          <t>JÖNKÖPINGS LÄN</t>
        </is>
      </c>
      <c r="E1091" t="inlineStr">
        <is>
          <t>VAGGERYD</t>
        </is>
      </c>
      <c r="G1091" t="n">
        <v>2.4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46220-2022</t>
        </is>
      </c>
      <c r="B1092" s="1" t="n">
        <v>44847.58372685185</v>
      </c>
      <c r="C1092" s="1" t="n">
        <v>45962</v>
      </c>
      <c r="D1092" t="inlineStr">
        <is>
          <t>JÖNKÖPINGS LÄN</t>
        </is>
      </c>
      <c r="E1092" t="inlineStr">
        <is>
          <t>EKSJÖ</t>
        </is>
      </c>
      <c r="G1092" t="n">
        <v>1.1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13383-2021</t>
        </is>
      </c>
      <c r="B1093" s="1" t="n">
        <v>44273</v>
      </c>
      <c r="C1093" s="1" t="n">
        <v>45962</v>
      </c>
      <c r="D1093" t="inlineStr">
        <is>
          <t>JÖNKÖPINGS LÄN</t>
        </is>
      </c>
      <c r="E1093" t="inlineStr">
        <is>
          <t>VÄRNAMO</t>
        </is>
      </c>
      <c r="G1093" t="n">
        <v>0.9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8658-2021</t>
        </is>
      </c>
      <c r="B1094" s="1" t="n">
        <v>44246</v>
      </c>
      <c r="C1094" s="1" t="n">
        <v>45962</v>
      </c>
      <c r="D1094" t="inlineStr">
        <is>
          <t>JÖNKÖPINGS LÄN</t>
        </is>
      </c>
      <c r="E1094" t="inlineStr">
        <is>
          <t>VETLANDA</t>
        </is>
      </c>
      <c r="G1094" t="n">
        <v>0.5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16878-2021</t>
        </is>
      </c>
      <c r="B1095" s="1" t="n">
        <v>44294</v>
      </c>
      <c r="C1095" s="1" t="n">
        <v>45962</v>
      </c>
      <c r="D1095" t="inlineStr">
        <is>
          <t>JÖNKÖPINGS LÄN</t>
        </is>
      </c>
      <c r="E1095" t="inlineStr">
        <is>
          <t>EKSJÖ</t>
        </is>
      </c>
      <c r="G1095" t="n">
        <v>0.5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27316-2021</t>
        </is>
      </c>
      <c r="B1096" s="1" t="n">
        <v>44351.36626157408</v>
      </c>
      <c r="C1096" s="1" t="n">
        <v>45962</v>
      </c>
      <c r="D1096" t="inlineStr">
        <is>
          <t>JÖNKÖPINGS LÄN</t>
        </is>
      </c>
      <c r="E1096" t="inlineStr">
        <is>
          <t>VAGGERYD</t>
        </is>
      </c>
      <c r="G1096" t="n">
        <v>2.5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28039-2022</t>
        </is>
      </c>
      <c r="B1097" s="1" t="n">
        <v>44746</v>
      </c>
      <c r="C1097" s="1" t="n">
        <v>45962</v>
      </c>
      <c r="D1097" t="inlineStr">
        <is>
          <t>JÖNKÖPINGS LÄN</t>
        </is>
      </c>
      <c r="E1097" t="inlineStr">
        <is>
          <t>EKSJÖ</t>
        </is>
      </c>
      <c r="G1097" t="n">
        <v>1.3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26704-2022</t>
        </is>
      </c>
      <c r="B1098" s="1" t="n">
        <v>44739</v>
      </c>
      <c r="C1098" s="1" t="n">
        <v>45962</v>
      </c>
      <c r="D1098" t="inlineStr">
        <is>
          <t>JÖNKÖPINGS LÄN</t>
        </is>
      </c>
      <c r="E1098" t="inlineStr">
        <is>
          <t>EKSJÖ</t>
        </is>
      </c>
      <c r="G1098" t="n">
        <v>1.6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54700-2022</t>
        </is>
      </c>
      <c r="B1099" s="1" t="n">
        <v>44883</v>
      </c>
      <c r="C1099" s="1" t="n">
        <v>45962</v>
      </c>
      <c r="D1099" t="inlineStr">
        <is>
          <t>JÖNKÖPINGS LÄN</t>
        </is>
      </c>
      <c r="E1099" t="inlineStr">
        <is>
          <t>EKSJÖ</t>
        </is>
      </c>
      <c r="G1099" t="n">
        <v>7.8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27310-2021</t>
        </is>
      </c>
      <c r="B1100" s="1" t="n">
        <v>44351.35524305556</v>
      </c>
      <c r="C1100" s="1" t="n">
        <v>45962</v>
      </c>
      <c r="D1100" t="inlineStr">
        <is>
          <t>JÖNKÖPINGS LÄN</t>
        </is>
      </c>
      <c r="E1100" t="inlineStr">
        <is>
          <t>VAGGERYD</t>
        </is>
      </c>
      <c r="G1100" t="n">
        <v>1.2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11039-2022</t>
        </is>
      </c>
      <c r="B1101" s="1" t="n">
        <v>44628</v>
      </c>
      <c r="C1101" s="1" t="n">
        <v>45962</v>
      </c>
      <c r="D1101" t="inlineStr">
        <is>
          <t>JÖNKÖPINGS LÄN</t>
        </is>
      </c>
      <c r="E1101" t="inlineStr">
        <is>
          <t>JÖNKÖPING</t>
        </is>
      </c>
      <c r="G1101" t="n">
        <v>1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3836-2022</t>
        </is>
      </c>
      <c r="B1102" s="1" t="n">
        <v>44587.36517361111</v>
      </c>
      <c r="C1102" s="1" t="n">
        <v>45962</v>
      </c>
      <c r="D1102" t="inlineStr">
        <is>
          <t>JÖNKÖPINGS LÄN</t>
        </is>
      </c>
      <c r="E1102" t="inlineStr">
        <is>
          <t>VETLANDA</t>
        </is>
      </c>
      <c r="G1102" t="n">
        <v>1.6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15670-2022</t>
        </is>
      </c>
      <c r="B1103" s="1" t="n">
        <v>44662.95068287037</v>
      </c>
      <c r="C1103" s="1" t="n">
        <v>45962</v>
      </c>
      <c r="D1103" t="inlineStr">
        <is>
          <t>JÖNKÖPINGS LÄN</t>
        </is>
      </c>
      <c r="E1103" t="inlineStr">
        <is>
          <t>SÄVSJÖ</t>
        </is>
      </c>
      <c r="G1103" t="n">
        <v>0.5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12592-2022</t>
        </is>
      </c>
      <c r="B1104" s="1" t="n">
        <v>44640</v>
      </c>
      <c r="C1104" s="1" t="n">
        <v>45962</v>
      </c>
      <c r="D1104" t="inlineStr">
        <is>
          <t>JÖNKÖPINGS LÄN</t>
        </is>
      </c>
      <c r="E1104" t="inlineStr">
        <is>
          <t>HABO</t>
        </is>
      </c>
      <c r="G1104" t="n">
        <v>1.7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10985-2022</t>
        </is>
      </c>
      <c r="B1105" s="1" t="n">
        <v>44628</v>
      </c>
      <c r="C1105" s="1" t="n">
        <v>45962</v>
      </c>
      <c r="D1105" t="inlineStr">
        <is>
          <t>JÖNKÖPINGS LÄN</t>
        </is>
      </c>
      <c r="E1105" t="inlineStr">
        <is>
          <t>TRANÅS</t>
        </is>
      </c>
      <c r="F1105" t="inlineStr">
        <is>
          <t>Allmännings- och besparingsskogar</t>
        </is>
      </c>
      <c r="G1105" t="n">
        <v>3.1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60378-2021</t>
        </is>
      </c>
      <c r="B1106" s="1" t="n">
        <v>44496.35853009259</v>
      </c>
      <c r="C1106" s="1" t="n">
        <v>45962</v>
      </c>
      <c r="D1106" t="inlineStr">
        <is>
          <t>JÖNKÖPINGS LÄN</t>
        </is>
      </c>
      <c r="E1106" t="inlineStr">
        <is>
          <t>VÄRNAMO</t>
        </is>
      </c>
      <c r="G1106" t="n">
        <v>4.2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40673-2021</t>
        </is>
      </c>
      <c r="B1107" s="1" t="n">
        <v>44420.58342592593</v>
      </c>
      <c r="C1107" s="1" t="n">
        <v>45962</v>
      </c>
      <c r="D1107" t="inlineStr">
        <is>
          <t>JÖNKÖPINGS LÄN</t>
        </is>
      </c>
      <c r="E1107" t="inlineStr">
        <is>
          <t>EKSJÖ</t>
        </is>
      </c>
      <c r="G1107" t="n">
        <v>0.7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65645-2021</t>
        </is>
      </c>
      <c r="B1108" s="1" t="n">
        <v>44516</v>
      </c>
      <c r="C1108" s="1" t="n">
        <v>45962</v>
      </c>
      <c r="D1108" t="inlineStr">
        <is>
          <t>JÖNKÖPINGS LÄN</t>
        </is>
      </c>
      <c r="E1108" t="inlineStr">
        <is>
          <t>EKSJÖ</t>
        </is>
      </c>
      <c r="G1108" t="n">
        <v>0.6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13378-2022</t>
        </is>
      </c>
      <c r="B1109" s="1" t="n">
        <v>44645</v>
      </c>
      <c r="C1109" s="1" t="n">
        <v>45962</v>
      </c>
      <c r="D1109" t="inlineStr">
        <is>
          <t>JÖNKÖPINGS LÄN</t>
        </is>
      </c>
      <c r="E1109" t="inlineStr">
        <is>
          <t>VETLANDA</t>
        </is>
      </c>
      <c r="G1109" t="n">
        <v>0.5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21923-2022</t>
        </is>
      </c>
      <c r="B1110" s="1" t="n">
        <v>44711</v>
      </c>
      <c r="C1110" s="1" t="n">
        <v>45962</v>
      </c>
      <c r="D1110" t="inlineStr">
        <is>
          <t>JÖNKÖPINGS LÄN</t>
        </is>
      </c>
      <c r="E1110" t="inlineStr">
        <is>
          <t>JÖNKÖPING</t>
        </is>
      </c>
      <c r="G1110" t="n">
        <v>0.6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21947-2022</t>
        </is>
      </c>
      <c r="B1111" s="1" t="n">
        <v>44711</v>
      </c>
      <c r="C1111" s="1" t="n">
        <v>45962</v>
      </c>
      <c r="D1111" t="inlineStr">
        <is>
          <t>JÖNKÖPINGS LÄN</t>
        </is>
      </c>
      <c r="E1111" t="inlineStr">
        <is>
          <t>JÖNKÖPING</t>
        </is>
      </c>
      <c r="G1111" t="n">
        <v>0.4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55461-2022</t>
        </is>
      </c>
      <c r="B1112" s="1" t="n">
        <v>44887.6541087963</v>
      </c>
      <c r="C1112" s="1" t="n">
        <v>45962</v>
      </c>
      <c r="D1112" t="inlineStr">
        <is>
          <t>JÖNKÖPINGS LÄN</t>
        </is>
      </c>
      <c r="E1112" t="inlineStr">
        <is>
          <t>NÄSSJÖ</t>
        </is>
      </c>
      <c r="G1112" t="n">
        <v>1.4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39741-2022</t>
        </is>
      </c>
      <c r="B1113" s="1" t="n">
        <v>44819.35944444445</v>
      </c>
      <c r="C1113" s="1" t="n">
        <v>45962</v>
      </c>
      <c r="D1113" t="inlineStr">
        <is>
          <t>JÖNKÖPINGS LÄN</t>
        </is>
      </c>
      <c r="E1113" t="inlineStr">
        <is>
          <t>VETLANDA</t>
        </is>
      </c>
      <c r="G1113" t="n">
        <v>0.8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28582-2022</t>
        </is>
      </c>
      <c r="B1114" s="1" t="n">
        <v>44748</v>
      </c>
      <c r="C1114" s="1" t="n">
        <v>45962</v>
      </c>
      <c r="D1114" t="inlineStr">
        <is>
          <t>JÖNKÖPINGS LÄN</t>
        </is>
      </c>
      <c r="E1114" t="inlineStr">
        <is>
          <t>GISLAVED</t>
        </is>
      </c>
      <c r="G1114" t="n">
        <v>5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47095-2022</t>
        </is>
      </c>
      <c r="B1115" s="1" t="n">
        <v>44852.46984953704</v>
      </c>
      <c r="C1115" s="1" t="n">
        <v>45962</v>
      </c>
      <c r="D1115" t="inlineStr">
        <is>
          <t>JÖNKÖPINGS LÄN</t>
        </is>
      </c>
      <c r="E1115" t="inlineStr">
        <is>
          <t>SÄVSJÖ</t>
        </is>
      </c>
      <c r="G1115" t="n">
        <v>0.4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47103-2021</t>
        </is>
      </c>
      <c r="B1116" s="1" t="n">
        <v>44446</v>
      </c>
      <c r="C1116" s="1" t="n">
        <v>45962</v>
      </c>
      <c r="D1116" t="inlineStr">
        <is>
          <t>JÖNKÖPINGS LÄN</t>
        </is>
      </c>
      <c r="E1116" t="inlineStr">
        <is>
          <t>VÄRNAMO</t>
        </is>
      </c>
      <c r="G1116" t="n">
        <v>1.7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753-2021</t>
        </is>
      </c>
      <c r="B1117" s="1" t="n">
        <v>44204</v>
      </c>
      <c r="C1117" s="1" t="n">
        <v>45962</v>
      </c>
      <c r="D1117" t="inlineStr">
        <is>
          <t>JÖNKÖPINGS LÄN</t>
        </is>
      </c>
      <c r="E1117" t="inlineStr">
        <is>
          <t>VETLANDA</t>
        </is>
      </c>
      <c r="F1117" t="inlineStr">
        <is>
          <t>Sveaskog</t>
        </is>
      </c>
      <c r="G1117" t="n">
        <v>0.3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71848-2021</t>
        </is>
      </c>
      <c r="B1118" s="1" t="n">
        <v>44539</v>
      </c>
      <c r="C1118" s="1" t="n">
        <v>45962</v>
      </c>
      <c r="D1118" t="inlineStr">
        <is>
          <t>JÖNKÖPINGS LÄN</t>
        </is>
      </c>
      <c r="E1118" t="inlineStr">
        <is>
          <t>VÄRNAMO</t>
        </is>
      </c>
      <c r="G1118" t="n">
        <v>0.2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25893-2021</t>
        </is>
      </c>
      <c r="B1119" s="1" t="n">
        <v>44344.39539351852</v>
      </c>
      <c r="C1119" s="1" t="n">
        <v>45962</v>
      </c>
      <c r="D1119" t="inlineStr">
        <is>
          <t>JÖNKÖPINGS LÄN</t>
        </is>
      </c>
      <c r="E1119" t="inlineStr">
        <is>
          <t>GISLAVED</t>
        </is>
      </c>
      <c r="G1119" t="n">
        <v>0.8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52817-2021</t>
        </is>
      </c>
      <c r="B1120" s="1" t="n">
        <v>44467</v>
      </c>
      <c r="C1120" s="1" t="n">
        <v>45962</v>
      </c>
      <c r="D1120" t="inlineStr">
        <is>
          <t>JÖNKÖPINGS LÄN</t>
        </is>
      </c>
      <c r="E1120" t="inlineStr">
        <is>
          <t>EKSJÖ</t>
        </is>
      </c>
      <c r="G1120" t="n">
        <v>0.8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28372-2022</t>
        </is>
      </c>
      <c r="B1121" s="1" t="n">
        <v>44747</v>
      </c>
      <c r="C1121" s="1" t="n">
        <v>45962</v>
      </c>
      <c r="D1121" t="inlineStr">
        <is>
          <t>JÖNKÖPINGS LÄN</t>
        </is>
      </c>
      <c r="E1121" t="inlineStr">
        <is>
          <t>GNOSJÖ</t>
        </is>
      </c>
      <c r="G1121" t="n">
        <v>4.3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5103-2022</t>
        </is>
      </c>
      <c r="B1122" s="1" t="n">
        <v>44593.88670138889</v>
      </c>
      <c r="C1122" s="1" t="n">
        <v>45962</v>
      </c>
      <c r="D1122" t="inlineStr">
        <is>
          <t>JÖNKÖPINGS LÄN</t>
        </is>
      </c>
      <c r="E1122" t="inlineStr">
        <is>
          <t>VETLANDA</t>
        </is>
      </c>
      <c r="G1122" t="n">
        <v>0.9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13675-2022</t>
        </is>
      </c>
      <c r="B1123" s="1" t="n">
        <v>44648</v>
      </c>
      <c r="C1123" s="1" t="n">
        <v>45962</v>
      </c>
      <c r="D1123" t="inlineStr">
        <is>
          <t>JÖNKÖPINGS LÄN</t>
        </is>
      </c>
      <c r="E1123" t="inlineStr">
        <is>
          <t>VAGGERYD</t>
        </is>
      </c>
      <c r="G1123" t="n">
        <v>0.7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22164-2021</t>
        </is>
      </c>
      <c r="B1124" s="1" t="n">
        <v>44325.75143518519</v>
      </c>
      <c r="C1124" s="1" t="n">
        <v>45962</v>
      </c>
      <c r="D1124" t="inlineStr">
        <is>
          <t>JÖNKÖPINGS LÄN</t>
        </is>
      </c>
      <c r="E1124" t="inlineStr">
        <is>
          <t>VETLANDA</t>
        </is>
      </c>
      <c r="G1124" t="n">
        <v>0.5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36344-2021</t>
        </is>
      </c>
      <c r="B1125" s="1" t="n">
        <v>44389</v>
      </c>
      <c r="C1125" s="1" t="n">
        <v>45962</v>
      </c>
      <c r="D1125" t="inlineStr">
        <is>
          <t>JÖNKÖPINGS LÄN</t>
        </is>
      </c>
      <c r="E1125" t="inlineStr">
        <is>
          <t>NÄSSJÖ</t>
        </is>
      </c>
      <c r="G1125" t="n">
        <v>1.8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25753-2021</t>
        </is>
      </c>
      <c r="B1126" s="1" t="n">
        <v>44343.65755787037</v>
      </c>
      <c r="C1126" s="1" t="n">
        <v>45962</v>
      </c>
      <c r="D1126" t="inlineStr">
        <is>
          <t>JÖNKÖPINGS LÄN</t>
        </is>
      </c>
      <c r="E1126" t="inlineStr">
        <is>
          <t>ANEBY</t>
        </is>
      </c>
      <c r="G1126" t="n">
        <v>1.4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20080-2022</t>
        </is>
      </c>
      <c r="B1127" s="1" t="n">
        <v>44698.27609953703</v>
      </c>
      <c r="C1127" s="1" t="n">
        <v>45962</v>
      </c>
      <c r="D1127" t="inlineStr">
        <is>
          <t>JÖNKÖPINGS LÄN</t>
        </is>
      </c>
      <c r="E1127" t="inlineStr">
        <is>
          <t>GNOSJÖ</t>
        </is>
      </c>
      <c r="G1127" t="n">
        <v>1.8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14511-2022</t>
        </is>
      </c>
      <c r="B1128" s="1" t="n">
        <v>44655.39390046296</v>
      </c>
      <c r="C1128" s="1" t="n">
        <v>45962</v>
      </c>
      <c r="D1128" t="inlineStr">
        <is>
          <t>JÖNKÖPINGS LÄN</t>
        </is>
      </c>
      <c r="E1128" t="inlineStr">
        <is>
          <t>VETLANDA</t>
        </is>
      </c>
      <c r="G1128" t="n">
        <v>1.8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30836-2022</t>
        </is>
      </c>
      <c r="B1129" s="1" t="n">
        <v>44743</v>
      </c>
      <c r="C1129" s="1" t="n">
        <v>45962</v>
      </c>
      <c r="D1129" t="inlineStr">
        <is>
          <t>JÖNKÖPINGS LÄN</t>
        </is>
      </c>
      <c r="E1129" t="inlineStr">
        <is>
          <t>VETLANDA</t>
        </is>
      </c>
      <c r="G1129" t="n">
        <v>1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10683-2022</t>
        </is>
      </c>
      <c r="B1130" s="1" t="n">
        <v>44624</v>
      </c>
      <c r="C1130" s="1" t="n">
        <v>45962</v>
      </c>
      <c r="D1130" t="inlineStr">
        <is>
          <t>JÖNKÖPINGS LÄN</t>
        </is>
      </c>
      <c r="E1130" t="inlineStr">
        <is>
          <t>ANEBY</t>
        </is>
      </c>
      <c r="G1130" t="n">
        <v>0.2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66450-2020</t>
        </is>
      </c>
      <c r="B1131" s="1" t="n">
        <v>44176</v>
      </c>
      <c r="C1131" s="1" t="n">
        <v>45962</v>
      </c>
      <c r="D1131" t="inlineStr">
        <is>
          <t>JÖNKÖPINGS LÄN</t>
        </is>
      </c>
      <c r="E1131" t="inlineStr">
        <is>
          <t>VETLANDA</t>
        </is>
      </c>
      <c r="G1131" t="n">
        <v>1.1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66504-2020</t>
        </is>
      </c>
      <c r="B1132" s="1" t="n">
        <v>44178</v>
      </c>
      <c r="C1132" s="1" t="n">
        <v>45962</v>
      </c>
      <c r="D1132" t="inlineStr">
        <is>
          <t>JÖNKÖPINGS LÄN</t>
        </is>
      </c>
      <c r="E1132" t="inlineStr">
        <is>
          <t>VÄRNAMO</t>
        </is>
      </c>
      <c r="F1132" t="inlineStr">
        <is>
          <t>Sveaskog</t>
        </is>
      </c>
      <c r="G1132" t="n">
        <v>0.8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36138-2022</t>
        </is>
      </c>
      <c r="B1133" s="1" t="n">
        <v>44803</v>
      </c>
      <c r="C1133" s="1" t="n">
        <v>45962</v>
      </c>
      <c r="D1133" t="inlineStr">
        <is>
          <t>JÖNKÖPINGS LÄN</t>
        </is>
      </c>
      <c r="E1133" t="inlineStr">
        <is>
          <t>VAGGERYD</t>
        </is>
      </c>
      <c r="G1133" t="n">
        <v>0.5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40852-2022</t>
        </is>
      </c>
      <c r="B1134" s="1" t="n">
        <v>44825</v>
      </c>
      <c r="C1134" s="1" t="n">
        <v>45962</v>
      </c>
      <c r="D1134" t="inlineStr">
        <is>
          <t>JÖNKÖPINGS LÄN</t>
        </is>
      </c>
      <c r="E1134" t="inlineStr">
        <is>
          <t>VÄRNAMO</t>
        </is>
      </c>
      <c r="G1134" t="n">
        <v>2.6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47649-2022</t>
        </is>
      </c>
      <c r="B1135" s="1" t="n">
        <v>44854.44881944444</v>
      </c>
      <c r="C1135" s="1" t="n">
        <v>45962</v>
      </c>
      <c r="D1135" t="inlineStr">
        <is>
          <t>JÖNKÖPINGS LÄN</t>
        </is>
      </c>
      <c r="E1135" t="inlineStr">
        <is>
          <t>VÄRNAMO</t>
        </is>
      </c>
      <c r="G1135" t="n">
        <v>0.7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69616-2020</t>
        </is>
      </c>
      <c r="B1136" s="1" t="n">
        <v>44195.52358796296</v>
      </c>
      <c r="C1136" s="1" t="n">
        <v>45962</v>
      </c>
      <c r="D1136" t="inlineStr">
        <is>
          <t>JÖNKÖPINGS LÄN</t>
        </is>
      </c>
      <c r="E1136" t="inlineStr">
        <is>
          <t>SÄVSJÖ</t>
        </is>
      </c>
      <c r="G1136" t="n">
        <v>0.6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51340-2021</t>
        </is>
      </c>
      <c r="B1137" s="1" t="n">
        <v>44461</v>
      </c>
      <c r="C1137" s="1" t="n">
        <v>45962</v>
      </c>
      <c r="D1137" t="inlineStr">
        <is>
          <t>JÖNKÖPINGS LÄN</t>
        </is>
      </c>
      <c r="E1137" t="inlineStr">
        <is>
          <t>VETLANDA</t>
        </is>
      </c>
      <c r="G1137" t="n">
        <v>6.6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49182-2021</t>
        </is>
      </c>
      <c r="B1138" s="1" t="n">
        <v>44454.32325231482</v>
      </c>
      <c r="C1138" s="1" t="n">
        <v>45962</v>
      </c>
      <c r="D1138" t="inlineStr">
        <is>
          <t>JÖNKÖPINGS LÄN</t>
        </is>
      </c>
      <c r="E1138" t="inlineStr">
        <is>
          <t>GISLAVED</t>
        </is>
      </c>
      <c r="G1138" t="n">
        <v>0.7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47883-2022</t>
        </is>
      </c>
      <c r="B1139" s="1" t="n">
        <v>44855.44949074074</v>
      </c>
      <c r="C1139" s="1" t="n">
        <v>45962</v>
      </c>
      <c r="D1139" t="inlineStr">
        <is>
          <t>JÖNKÖPINGS LÄN</t>
        </is>
      </c>
      <c r="E1139" t="inlineStr">
        <is>
          <t>GISLAVED</t>
        </is>
      </c>
      <c r="G1139" t="n">
        <v>1.4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49318-2021</t>
        </is>
      </c>
      <c r="B1140" s="1" t="n">
        <v>44454</v>
      </c>
      <c r="C1140" s="1" t="n">
        <v>45962</v>
      </c>
      <c r="D1140" t="inlineStr">
        <is>
          <t>JÖNKÖPINGS LÄN</t>
        </is>
      </c>
      <c r="E1140" t="inlineStr">
        <is>
          <t>VETLANDA</t>
        </is>
      </c>
      <c r="G1140" t="n">
        <v>0.9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35880-2021</t>
        </is>
      </c>
      <c r="B1141" s="1" t="n">
        <v>44387.37766203703</v>
      </c>
      <c r="C1141" s="1" t="n">
        <v>45962</v>
      </c>
      <c r="D1141" t="inlineStr">
        <is>
          <t>JÖNKÖPINGS LÄN</t>
        </is>
      </c>
      <c r="E1141" t="inlineStr">
        <is>
          <t>NÄSSJÖ</t>
        </is>
      </c>
      <c r="G1141" t="n">
        <v>1.1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14785-2022</t>
        </is>
      </c>
      <c r="B1142" s="1" t="n">
        <v>44656.46634259259</v>
      </c>
      <c r="C1142" s="1" t="n">
        <v>45962</v>
      </c>
      <c r="D1142" t="inlineStr">
        <is>
          <t>JÖNKÖPINGS LÄN</t>
        </is>
      </c>
      <c r="E1142" t="inlineStr">
        <is>
          <t>VETLANDA</t>
        </is>
      </c>
      <c r="G1142" t="n">
        <v>1.4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48777-2021</t>
        </is>
      </c>
      <c r="B1143" s="1" t="n">
        <v>44452</v>
      </c>
      <c r="C1143" s="1" t="n">
        <v>45962</v>
      </c>
      <c r="D1143" t="inlineStr">
        <is>
          <t>JÖNKÖPINGS LÄN</t>
        </is>
      </c>
      <c r="E1143" t="inlineStr">
        <is>
          <t>VAGGERYD</t>
        </is>
      </c>
      <c r="G1143" t="n">
        <v>0.5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47692-2022</t>
        </is>
      </c>
      <c r="B1144" s="1" t="n">
        <v>44854</v>
      </c>
      <c r="C1144" s="1" t="n">
        <v>45962</v>
      </c>
      <c r="D1144" t="inlineStr">
        <is>
          <t>JÖNKÖPINGS LÄN</t>
        </is>
      </c>
      <c r="E1144" t="inlineStr">
        <is>
          <t>MULLSJÖ</t>
        </is>
      </c>
      <c r="G1144" t="n">
        <v>1.1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47664-2021</t>
        </is>
      </c>
      <c r="B1145" s="1" t="n">
        <v>44448</v>
      </c>
      <c r="C1145" s="1" t="n">
        <v>45962</v>
      </c>
      <c r="D1145" t="inlineStr">
        <is>
          <t>JÖNKÖPINGS LÄN</t>
        </is>
      </c>
      <c r="E1145" t="inlineStr">
        <is>
          <t>VÄRNAMO</t>
        </is>
      </c>
      <c r="G1145" t="n">
        <v>1.3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30354-2022</t>
        </is>
      </c>
      <c r="B1146" s="1" t="n">
        <v>44760.57719907408</v>
      </c>
      <c r="C1146" s="1" t="n">
        <v>45962</v>
      </c>
      <c r="D1146" t="inlineStr">
        <is>
          <t>JÖNKÖPINGS LÄN</t>
        </is>
      </c>
      <c r="E1146" t="inlineStr">
        <is>
          <t>VÄRNAMO</t>
        </is>
      </c>
      <c r="G1146" t="n">
        <v>0.6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66939-2020</t>
        </is>
      </c>
      <c r="B1147" s="1" t="n">
        <v>44174</v>
      </c>
      <c r="C1147" s="1" t="n">
        <v>45962</v>
      </c>
      <c r="D1147" t="inlineStr">
        <is>
          <t>JÖNKÖPINGS LÄN</t>
        </is>
      </c>
      <c r="E1147" t="inlineStr">
        <is>
          <t>VAGGERYD</t>
        </is>
      </c>
      <c r="F1147" t="inlineStr">
        <is>
          <t>Övriga Aktiebolag</t>
        </is>
      </c>
      <c r="G1147" t="n">
        <v>0.4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58531-2021</t>
        </is>
      </c>
      <c r="B1148" s="1" t="n">
        <v>44488</v>
      </c>
      <c r="C1148" s="1" t="n">
        <v>45962</v>
      </c>
      <c r="D1148" t="inlineStr">
        <is>
          <t>JÖNKÖPINGS LÄN</t>
        </is>
      </c>
      <c r="E1148" t="inlineStr">
        <is>
          <t>GISLAVED</t>
        </is>
      </c>
      <c r="F1148" t="inlineStr">
        <is>
          <t>Kyrkan</t>
        </is>
      </c>
      <c r="G1148" t="n">
        <v>3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31851-2021</t>
        </is>
      </c>
      <c r="B1149" s="1" t="n">
        <v>44370.42076388889</v>
      </c>
      <c r="C1149" s="1" t="n">
        <v>45962</v>
      </c>
      <c r="D1149" t="inlineStr">
        <is>
          <t>JÖNKÖPINGS LÄN</t>
        </is>
      </c>
      <c r="E1149" t="inlineStr">
        <is>
          <t>SÄVSJÖ</t>
        </is>
      </c>
      <c r="G1149" t="n">
        <v>1.7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41213-2021</t>
        </is>
      </c>
      <c r="B1150" s="1" t="n">
        <v>44424.39822916667</v>
      </c>
      <c r="C1150" s="1" t="n">
        <v>45962</v>
      </c>
      <c r="D1150" t="inlineStr">
        <is>
          <t>JÖNKÖPINGS LÄN</t>
        </is>
      </c>
      <c r="E1150" t="inlineStr">
        <is>
          <t>HABO</t>
        </is>
      </c>
      <c r="G1150" t="n">
        <v>2.1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41216-2021</t>
        </is>
      </c>
      <c r="B1151" s="1" t="n">
        <v>44424.40296296297</v>
      </c>
      <c r="C1151" s="1" t="n">
        <v>45962</v>
      </c>
      <c r="D1151" t="inlineStr">
        <is>
          <t>JÖNKÖPINGS LÄN</t>
        </is>
      </c>
      <c r="E1151" t="inlineStr">
        <is>
          <t>HABO</t>
        </is>
      </c>
      <c r="G1151" t="n">
        <v>3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3985-2022</t>
        </is>
      </c>
      <c r="B1152" s="1" t="n">
        <v>44587</v>
      </c>
      <c r="C1152" s="1" t="n">
        <v>45962</v>
      </c>
      <c r="D1152" t="inlineStr">
        <is>
          <t>JÖNKÖPINGS LÄN</t>
        </is>
      </c>
      <c r="E1152" t="inlineStr">
        <is>
          <t>TRANÅS</t>
        </is>
      </c>
      <c r="G1152" t="n">
        <v>0.8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4201-2021</t>
        </is>
      </c>
      <c r="B1153" s="1" t="n">
        <v>44223</v>
      </c>
      <c r="C1153" s="1" t="n">
        <v>45962</v>
      </c>
      <c r="D1153" t="inlineStr">
        <is>
          <t>JÖNKÖPINGS LÄN</t>
        </is>
      </c>
      <c r="E1153" t="inlineStr">
        <is>
          <t>VÄRNAMO</t>
        </is>
      </c>
      <c r="G1153" t="n">
        <v>0.4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4261-2021</t>
        </is>
      </c>
      <c r="B1154" s="1" t="n">
        <v>44223</v>
      </c>
      <c r="C1154" s="1" t="n">
        <v>45962</v>
      </c>
      <c r="D1154" t="inlineStr">
        <is>
          <t>JÖNKÖPINGS LÄN</t>
        </is>
      </c>
      <c r="E1154" t="inlineStr">
        <is>
          <t>GNOSJÖ</t>
        </is>
      </c>
      <c r="G1154" t="n">
        <v>0.6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31737-2022</t>
        </is>
      </c>
      <c r="B1155" s="1" t="n">
        <v>44776.50158564815</v>
      </c>
      <c r="C1155" s="1" t="n">
        <v>45962</v>
      </c>
      <c r="D1155" t="inlineStr">
        <is>
          <t>JÖNKÖPINGS LÄN</t>
        </is>
      </c>
      <c r="E1155" t="inlineStr">
        <is>
          <t>VÄRNAMO</t>
        </is>
      </c>
      <c r="G1155" t="n">
        <v>0.6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47542-2022</t>
        </is>
      </c>
      <c r="B1156" s="1" t="n">
        <v>44853</v>
      </c>
      <c r="C1156" s="1" t="n">
        <v>45962</v>
      </c>
      <c r="D1156" t="inlineStr">
        <is>
          <t>JÖNKÖPINGS LÄN</t>
        </is>
      </c>
      <c r="E1156" t="inlineStr">
        <is>
          <t>SÄVSJÖ</t>
        </is>
      </c>
      <c r="G1156" t="n">
        <v>1.7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34734-2021</t>
        </is>
      </c>
      <c r="B1157" s="1" t="n">
        <v>44382</v>
      </c>
      <c r="C1157" s="1" t="n">
        <v>45962</v>
      </c>
      <c r="D1157" t="inlineStr">
        <is>
          <t>JÖNKÖPINGS LÄN</t>
        </is>
      </c>
      <c r="E1157" t="inlineStr">
        <is>
          <t>HABO</t>
        </is>
      </c>
      <c r="G1157" t="n">
        <v>7.4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34119-2022</t>
        </is>
      </c>
      <c r="B1158" s="1" t="n">
        <v>44791</v>
      </c>
      <c r="C1158" s="1" t="n">
        <v>45962</v>
      </c>
      <c r="D1158" t="inlineStr">
        <is>
          <t>JÖNKÖPINGS LÄN</t>
        </is>
      </c>
      <c r="E1158" t="inlineStr">
        <is>
          <t>SÄVSJÖ</t>
        </is>
      </c>
      <c r="G1158" t="n">
        <v>1.2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51374-2022</t>
        </is>
      </c>
      <c r="B1159" s="1" t="n">
        <v>44869.40421296296</v>
      </c>
      <c r="C1159" s="1" t="n">
        <v>45962</v>
      </c>
      <c r="D1159" t="inlineStr">
        <is>
          <t>JÖNKÖPINGS LÄN</t>
        </is>
      </c>
      <c r="E1159" t="inlineStr">
        <is>
          <t>SÄVSJÖ</t>
        </is>
      </c>
      <c r="G1159" t="n">
        <v>0.8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44780-2022</t>
        </is>
      </c>
      <c r="B1160" s="1" t="n">
        <v>44841.31997685185</v>
      </c>
      <c r="C1160" s="1" t="n">
        <v>45962</v>
      </c>
      <c r="D1160" t="inlineStr">
        <is>
          <t>JÖNKÖPINGS LÄN</t>
        </is>
      </c>
      <c r="E1160" t="inlineStr">
        <is>
          <t>JÖNKÖPING</t>
        </is>
      </c>
      <c r="G1160" t="n">
        <v>5.6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57429-2020</t>
        </is>
      </c>
      <c r="B1161" s="1" t="n">
        <v>44140</v>
      </c>
      <c r="C1161" s="1" t="n">
        <v>45962</v>
      </c>
      <c r="D1161" t="inlineStr">
        <is>
          <t>JÖNKÖPINGS LÄN</t>
        </is>
      </c>
      <c r="E1161" t="inlineStr">
        <is>
          <t>MULLSJÖ</t>
        </is>
      </c>
      <c r="G1161" t="n">
        <v>10.1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23549-2022</t>
        </is>
      </c>
      <c r="B1162" s="1" t="n">
        <v>44721</v>
      </c>
      <c r="C1162" s="1" t="n">
        <v>45962</v>
      </c>
      <c r="D1162" t="inlineStr">
        <is>
          <t>JÖNKÖPINGS LÄN</t>
        </is>
      </c>
      <c r="E1162" t="inlineStr">
        <is>
          <t>NÄSSJÖ</t>
        </is>
      </c>
      <c r="G1162" t="n">
        <v>0.4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21998-2021</t>
        </is>
      </c>
      <c r="B1163" s="1" t="n">
        <v>44323</v>
      </c>
      <c r="C1163" s="1" t="n">
        <v>45962</v>
      </c>
      <c r="D1163" t="inlineStr">
        <is>
          <t>JÖNKÖPINGS LÄN</t>
        </is>
      </c>
      <c r="E1163" t="inlineStr">
        <is>
          <t>EKSJÖ</t>
        </is>
      </c>
      <c r="G1163" t="n">
        <v>1.1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22030-2021</t>
        </is>
      </c>
      <c r="B1164" s="1" t="n">
        <v>44322</v>
      </c>
      <c r="C1164" s="1" t="n">
        <v>45962</v>
      </c>
      <c r="D1164" t="inlineStr">
        <is>
          <t>JÖNKÖPINGS LÄN</t>
        </is>
      </c>
      <c r="E1164" t="inlineStr">
        <is>
          <t>VETLANDA</t>
        </is>
      </c>
      <c r="G1164" t="n">
        <v>1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67308-2021</t>
        </is>
      </c>
      <c r="B1165" s="1" t="n">
        <v>44523</v>
      </c>
      <c r="C1165" s="1" t="n">
        <v>45962</v>
      </c>
      <c r="D1165" t="inlineStr">
        <is>
          <t>JÖNKÖPINGS LÄN</t>
        </is>
      </c>
      <c r="E1165" t="inlineStr">
        <is>
          <t>EKSJÖ</t>
        </is>
      </c>
      <c r="G1165" t="n">
        <v>1.3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9304-2021</t>
        </is>
      </c>
      <c r="B1166" s="1" t="n">
        <v>44250.57805555555</v>
      </c>
      <c r="C1166" s="1" t="n">
        <v>45962</v>
      </c>
      <c r="D1166" t="inlineStr">
        <is>
          <t>JÖNKÖPINGS LÄN</t>
        </is>
      </c>
      <c r="E1166" t="inlineStr">
        <is>
          <t>VETLANDA</t>
        </is>
      </c>
      <c r="G1166" t="n">
        <v>1.8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57931-2021</t>
        </is>
      </c>
      <c r="B1167" s="1" t="n">
        <v>44487.32478009259</v>
      </c>
      <c r="C1167" s="1" t="n">
        <v>45962</v>
      </c>
      <c r="D1167" t="inlineStr">
        <is>
          <t>JÖNKÖPINGS LÄN</t>
        </is>
      </c>
      <c r="E1167" t="inlineStr">
        <is>
          <t>NÄSSJÖ</t>
        </is>
      </c>
      <c r="G1167" t="n">
        <v>1.2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73243-2021</t>
        </is>
      </c>
      <c r="B1168" s="1" t="n">
        <v>44550</v>
      </c>
      <c r="C1168" s="1" t="n">
        <v>45962</v>
      </c>
      <c r="D1168" t="inlineStr">
        <is>
          <t>JÖNKÖPINGS LÄN</t>
        </is>
      </c>
      <c r="E1168" t="inlineStr">
        <is>
          <t>TRANÅS</t>
        </is>
      </c>
      <c r="G1168" t="n">
        <v>7.2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29428-2022</t>
        </is>
      </c>
      <c r="B1169" s="1" t="n">
        <v>44752</v>
      </c>
      <c r="C1169" s="1" t="n">
        <v>45962</v>
      </c>
      <c r="D1169" t="inlineStr">
        <is>
          <t>JÖNKÖPINGS LÄN</t>
        </is>
      </c>
      <c r="E1169" t="inlineStr">
        <is>
          <t>VETLANDA</t>
        </is>
      </c>
      <c r="F1169" t="inlineStr">
        <is>
          <t>Kyrkan</t>
        </is>
      </c>
      <c r="G1169" t="n">
        <v>2.7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32882-2022</t>
        </is>
      </c>
      <c r="B1170" s="1" t="n">
        <v>44784.54667824074</v>
      </c>
      <c r="C1170" s="1" t="n">
        <v>45962</v>
      </c>
      <c r="D1170" t="inlineStr">
        <is>
          <t>JÖNKÖPINGS LÄN</t>
        </is>
      </c>
      <c r="E1170" t="inlineStr">
        <is>
          <t>VETLANDA</t>
        </is>
      </c>
      <c r="G1170" t="n">
        <v>0.6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36268-2021</t>
        </is>
      </c>
      <c r="B1171" s="1" t="n">
        <v>44390.35111111111</v>
      </c>
      <c r="C1171" s="1" t="n">
        <v>45962</v>
      </c>
      <c r="D1171" t="inlineStr">
        <is>
          <t>JÖNKÖPINGS LÄN</t>
        </is>
      </c>
      <c r="E1171" t="inlineStr">
        <is>
          <t>SÄVSJÖ</t>
        </is>
      </c>
      <c r="G1171" t="n">
        <v>1.4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2394-2022</t>
        </is>
      </c>
      <c r="B1172" s="1" t="n">
        <v>44579.41064814815</v>
      </c>
      <c r="C1172" s="1" t="n">
        <v>45962</v>
      </c>
      <c r="D1172" t="inlineStr">
        <is>
          <t>JÖNKÖPINGS LÄN</t>
        </is>
      </c>
      <c r="E1172" t="inlineStr">
        <is>
          <t>JÖNKÖPING</t>
        </is>
      </c>
      <c r="G1172" t="n">
        <v>0.7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13449-2021</t>
        </is>
      </c>
      <c r="B1173" s="1" t="n">
        <v>44273</v>
      </c>
      <c r="C1173" s="1" t="n">
        <v>45962</v>
      </c>
      <c r="D1173" t="inlineStr">
        <is>
          <t>JÖNKÖPINGS LÄN</t>
        </is>
      </c>
      <c r="E1173" t="inlineStr">
        <is>
          <t>GISLAVED</t>
        </is>
      </c>
      <c r="G1173" t="n">
        <v>1.4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73108-2021</t>
        </is>
      </c>
      <c r="B1174" s="1" t="n">
        <v>44550.45775462963</v>
      </c>
      <c r="C1174" s="1" t="n">
        <v>45962</v>
      </c>
      <c r="D1174" t="inlineStr">
        <is>
          <t>JÖNKÖPINGS LÄN</t>
        </is>
      </c>
      <c r="E1174" t="inlineStr">
        <is>
          <t>VAGGERYD</t>
        </is>
      </c>
      <c r="F1174" t="inlineStr">
        <is>
          <t>Sveaskog</t>
        </is>
      </c>
      <c r="G1174" t="n">
        <v>1.7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53027-2021</t>
        </is>
      </c>
      <c r="B1175" s="1" t="n">
        <v>44467.68283564815</v>
      </c>
      <c r="C1175" s="1" t="n">
        <v>45962</v>
      </c>
      <c r="D1175" t="inlineStr">
        <is>
          <t>JÖNKÖPINGS LÄN</t>
        </is>
      </c>
      <c r="E1175" t="inlineStr">
        <is>
          <t>JÖNKÖPING</t>
        </is>
      </c>
      <c r="G1175" t="n">
        <v>1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42578-2021</t>
        </is>
      </c>
      <c r="B1176" s="1" t="n">
        <v>44428.34821759259</v>
      </c>
      <c r="C1176" s="1" t="n">
        <v>45962</v>
      </c>
      <c r="D1176" t="inlineStr">
        <is>
          <t>JÖNKÖPINGS LÄN</t>
        </is>
      </c>
      <c r="E1176" t="inlineStr">
        <is>
          <t>JÖNKÖPING</t>
        </is>
      </c>
      <c r="F1176" t="inlineStr">
        <is>
          <t>Sveaskog</t>
        </is>
      </c>
      <c r="G1176" t="n">
        <v>4.5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74127-2021</t>
        </is>
      </c>
      <c r="B1177" s="1" t="n">
        <v>44557</v>
      </c>
      <c r="C1177" s="1" t="n">
        <v>45962</v>
      </c>
      <c r="D1177" t="inlineStr">
        <is>
          <t>JÖNKÖPINGS LÄN</t>
        </is>
      </c>
      <c r="E1177" t="inlineStr">
        <is>
          <t>VÄRNAMO</t>
        </is>
      </c>
      <c r="F1177" t="inlineStr">
        <is>
          <t>Sveaskog</t>
        </is>
      </c>
      <c r="G1177" t="n">
        <v>0.5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32007-2022</t>
        </is>
      </c>
      <c r="B1178" s="1" t="n">
        <v>44778.37704861111</v>
      </c>
      <c r="C1178" s="1" t="n">
        <v>45962</v>
      </c>
      <c r="D1178" t="inlineStr">
        <is>
          <t>JÖNKÖPINGS LÄN</t>
        </is>
      </c>
      <c r="E1178" t="inlineStr">
        <is>
          <t>VETLANDA</t>
        </is>
      </c>
      <c r="G1178" t="n">
        <v>1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24701-2022</t>
        </is>
      </c>
      <c r="B1179" s="1" t="n">
        <v>44727</v>
      </c>
      <c r="C1179" s="1" t="n">
        <v>45962</v>
      </c>
      <c r="D1179" t="inlineStr">
        <is>
          <t>JÖNKÖPINGS LÄN</t>
        </is>
      </c>
      <c r="E1179" t="inlineStr">
        <is>
          <t>HABO</t>
        </is>
      </c>
      <c r="G1179" t="n">
        <v>12.4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26256-2022</t>
        </is>
      </c>
      <c r="B1180" s="1" t="n">
        <v>44735</v>
      </c>
      <c r="C1180" s="1" t="n">
        <v>45962</v>
      </c>
      <c r="D1180" t="inlineStr">
        <is>
          <t>JÖNKÖPINGS LÄN</t>
        </is>
      </c>
      <c r="E1180" t="inlineStr">
        <is>
          <t>GISLAVED</t>
        </is>
      </c>
      <c r="G1180" t="n">
        <v>1.7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8216-2021</t>
        </is>
      </c>
      <c r="B1181" s="1" t="n">
        <v>44244</v>
      </c>
      <c r="C1181" s="1" t="n">
        <v>45962</v>
      </c>
      <c r="D1181" t="inlineStr">
        <is>
          <t>JÖNKÖPINGS LÄN</t>
        </is>
      </c>
      <c r="E1181" t="inlineStr">
        <is>
          <t>VÄRNAMO</t>
        </is>
      </c>
      <c r="G1181" t="n">
        <v>0.5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53697-2022</t>
        </is>
      </c>
      <c r="B1182" s="1" t="n">
        <v>44880.34321759259</v>
      </c>
      <c r="C1182" s="1" t="n">
        <v>45962</v>
      </c>
      <c r="D1182" t="inlineStr">
        <is>
          <t>JÖNKÖPINGS LÄN</t>
        </is>
      </c>
      <c r="E1182" t="inlineStr">
        <is>
          <t>VAGGERYD</t>
        </is>
      </c>
      <c r="G1182" t="n">
        <v>4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13228-2021</t>
        </is>
      </c>
      <c r="B1183" s="1" t="n">
        <v>44272</v>
      </c>
      <c r="C1183" s="1" t="n">
        <v>45962</v>
      </c>
      <c r="D1183" t="inlineStr">
        <is>
          <t>JÖNKÖPINGS LÄN</t>
        </is>
      </c>
      <c r="E1183" t="inlineStr">
        <is>
          <t>JÖNKÖPING</t>
        </is>
      </c>
      <c r="G1183" t="n">
        <v>1.3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1066-2022</t>
        </is>
      </c>
      <c r="B1184" s="1" t="n">
        <v>44571.74010416667</v>
      </c>
      <c r="C1184" s="1" t="n">
        <v>45962</v>
      </c>
      <c r="D1184" t="inlineStr">
        <is>
          <t>JÖNKÖPINGS LÄN</t>
        </is>
      </c>
      <c r="E1184" t="inlineStr">
        <is>
          <t>GISLAVED</t>
        </is>
      </c>
      <c r="G1184" t="n">
        <v>0.8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62682-2021</t>
        </is>
      </c>
      <c r="B1185" s="1" t="n">
        <v>44504.29353009259</v>
      </c>
      <c r="C1185" s="1" t="n">
        <v>45962</v>
      </c>
      <c r="D1185" t="inlineStr">
        <is>
          <t>JÖNKÖPINGS LÄN</t>
        </is>
      </c>
      <c r="E1185" t="inlineStr">
        <is>
          <t>VETLANDA</t>
        </is>
      </c>
      <c r="G1185" t="n">
        <v>1.4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63130-2020</t>
        </is>
      </c>
      <c r="B1186" s="1" t="n">
        <v>44162</v>
      </c>
      <c r="C1186" s="1" t="n">
        <v>45962</v>
      </c>
      <c r="D1186" t="inlineStr">
        <is>
          <t>JÖNKÖPINGS LÄN</t>
        </is>
      </c>
      <c r="E1186" t="inlineStr">
        <is>
          <t>NÄSSJÖ</t>
        </is>
      </c>
      <c r="G1186" t="n">
        <v>1.7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34408-2022</t>
        </is>
      </c>
      <c r="B1187" s="1" t="n">
        <v>44792.53936342592</v>
      </c>
      <c r="C1187" s="1" t="n">
        <v>45962</v>
      </c>
      <c r="D1187" t="inlineStr">
        <is>
          <t>JÖNKÖPINGS LÄN</t>
        </is>
      </c>
      <c r="E1187" t="inlineStr">
        <is>
          <t>JÖNKÖPING</t>
        </is>
      </c>
      <c r="G1187" t="n">
        <v>0.5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45745-2021</t>
        </is>
      </c>
      <c r="B1188" s="1" t="n">
        <v>44441.42619212963</v>
      </c>
      <c r="C1188" s="1" t="n">
        <v>45962</v>
      </c>
      <c r="D1188" t="inlineStr">
        <is>
          <t>JÖNKÖPINGS LÄN</t>
        </is>
      </c>
      <c r="E1188" t="inlineStr">
        <is>
          <t>TRANÅS</t>
        </is>
      </c>
      <c r="G1188" t="n">
        <v>1.1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42361-2021</t>
        </is>
      </c>
      <c r="B1189" s="1" t="n">
        <v>44427.45282407408</v>
      </c>
      <c r="C1189" s="1" t="n">
        <v>45962</v>
      </c>
      <c r="D1189" t="inlineStr">
        <is>
          <t>JÖNKÖPINGS LÄN</t>
        </is>
      </c>
      <c r="E1189" t="inlineStr">
        <is>
          <t>HABO</t>
        </is>
      </c>
      <c r="G1189" t="n">
        <v>5.7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36525-2022</t>
        </is>
      </c>
      <c r="B1190" s="1" t="n">
        <v>44804.54425925926</v>
      </c>
      <c r="C1190" s="1" t="n">
        <v>45962</v>
      </c>
      <c r="D1190" t="inlineStr">
        <is>
          <t>JÖNKÖPINGS LÄN</t>
        </is>
      </c>
      <c r="E1190" t="inlineStr">
        <is>
          <t>GNOSJÖ</t>
        </is>
      </c>
      <c r="G1190" t="n">
        <v>1.4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74120-2021</t>
        </is>
      </c>
      <c r="B1191" s="1" t="n">
        <v>44557.71989583333</v>
      </c>
      <c r="C1191" s="1" t="n">
        <v>45962</v>
      </c>
      <c r="D1191" t="inlineStr">
        <is>
          <t>JÖNKÖPINGS LÄN</t>
        </is>
      </c>
      <c r="E1191" t="inlineStr">
        <is>
          <t>JÖNKÖPING</t>
        </is>
      </c>
      <c r="G1191" t="n">
        <v>10.8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10022-2022</t>
        </is>
      </c>
      <c r="B1192" s="1" t="n">
        <v>44621</v>
      </c>
      <c r="C1192" s="1" t="n">
        <v>45962</v>
      </c>
      <c r="D1192" t="inlineStr">
        <is>
          <t>JÖNKÖPINGS LÄN</t>
        </is>
      </c>
      <c r="E1192" t="inlineStr">
        <is>
          <t>ANEBY</t>
        </is>
      </c>
      <c r="G1192" t="n">
        <v>1.6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27014-2021</t>
        </is>
      </c>
      <c r="B1193" s="1" t="n">
        <v>44350.37376157408</v>
      </c>
      <c r="C1193" s="1" t="n">
        <v>45962</v>
      </c>
      <c r="D1193" t="inlineStr">
        <is>
          <t>JÖNKÖPINGS LÄN</t>
        </is>
      </c>
      <c r="E1193" t="inlineStr">
        <is>
          <t>GNOSJÖ</t>
        </is>
      </c>
      <c r="G1193" t="n">
        <v>2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7370-2021</t>
        </is>
      </c>
      <c r="B1194" s="1" t="n">
        <v>44239</v>
      </c>
      <c r="C1194" s="1" t="n">
        <v>45962</v>
      </c>
      <c r="D1194" t="inlineStr">
        <is>
          <t>JÖNKÖPINGS LÄN</t>
        </is>
      </c>
      <c r="E1194" t="inlineStr">
        <is>
          <t>EKSJÖ</t>
        </is>
      </c>
      <c r="G1194" t="n">
        <v>2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74247-2021</t>
        </is>
      </c>
      <c r="B1195" s="1" t="n">
        <v>44558.62664351852</v>
      </c>
      <c r="C1195" s="1" t="n">
        <v>45962</v>
      </c>
      <c r="D1195" t="inlineStr">
        <is>
          <t>JÖNKÖPINGS LÄN</t>
        </is>
      </c>
      <c r="E1195" t="inlineStr">
        <is>
          <t>GISLAVED</t>
        </is>
      </c>
      <c r="G1195" t="n">
        <v>0.1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61399-2021</t>
        </is>
      </c>
      <c r="B1196" s="1" t="n">
        <v>44500</v>
      </c>
      <c r="C1196" s="1" t="n">
        <v>45962</v>
      </c>
      <c r="D1196" t="inlineStr">
        <is>
          <t>JÖNKÖPINGS LÄN</t>
        </is>
      </c>
      <c r="E1196" t="inlineStr">
        <is>
          <t>HABO</t>
        </is>
      </c>
      <c r="G1196" t="n">
        <v>0.3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50676-2021</t>
        </is>
      </c>
      <c r="B1197" s="1" t="n">
        <v>44459</v>
      </c>
      <c r="C1197" s="1" t="n">
        <v>45962</v>
      </c>
      <c r="D1197" t="inlineStr">
        <is>
          <t>JÖNKÖPINGS LÄN</t>
        </is>
      </c>
      <c r="E1197" t="inlineStr">
        <is>
          <t>VETLANDA</t>
        </is>
      </c>
      <c r="G1197" t="n">
        <v>5.2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25771-2022</t>
        </is>
      </c>
      <c r="B1198" s="1" t="n">
        <v>44721</v>
      </c>
      <c r="C1198" s="1" t="n">
        <v>45962</v>
      </c>
      <c r="D1198" t="inlineStr">
        <is>
          <t>JÖNKÖPINGS LÄN</t>
        </is>
      </c>
      <c r="E1198" t="inlineStr">
        <is>
          <t>VETLANDA</t>
        </is>
      </c>
      <c r="G1198" t="n">
        <v>2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60762-2021</t>
        </is>
      </c>
      <c r="B1199" s="1" t="n">
        <v>44496.92871527778</v>
      </c>
      <c r="C1199" s="1" t="n">
        <v>45962</v>
      </c>
      <c r="D1199" t="inlineStr">
        <is>
          <t>JÖNKÖPINGS LÄN</t>
        </is>
      </c>
      <c r="E1199" t="inlineStr">
        <is>
          <t>TRANÅS</t>
        </is>
      </c>
      <c r="G1199" t="n">
        <v>0.7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73189-2021</t>
        </is>
      </c>
      <c r="B1200" s="1" t="n">
        <v>44550.6044675926</v>
      </c>
      <c r="C1200" s="1" t="n">
        <v>45962</v>
      </c>
      <c r="D1200" t="inlineStr">
        <is>
          <t>JÖNKÖPINGS LÄN</t>
        </is>
      </c>
      <c r="E1200" t="inlineStr">
        <is>
          <t>VAGGERYD</t>
        </is>
      </c>
      <c r="F1200" t="inlineStr">
        <is>
          <t>Sveaskog</t>
        </is>
      </c>
      <c r="G1200" t="n">
        <v>1.1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41298-2022</t>
        </is>
      </c>
      <c r="B1201" s="1" t="n">
        <v>44826.43283564815</v>
      </c>
      <c r="C1201" s="1" t="n">
        <v>45962</v>
      </c>
      <c r="D1201" t="inlineStr">
        <is>
          <t>JÖNKÖPINGS LÄN</t>
        </is>
      </c>
      <c r="E1201" t="inlineStr">
        <is>
          <t>ANEBY</t>
        </is>
      </c>
      <c r="G1201" t="n">
        <v>0.5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58796-2021</t>
        </is>
      </c>
      <c r="B1202" s="1" t="n">
        <v>44489.57219907407</v>
      </c>
      <c r="C1202" s="1" t="n">
        <v>45962</v>
      </c>
      <c r="D1202" t="inlineStr">
        <is>
          <t>JÖNKÖPINGS LÄN</t>
        </is>
      </c>
      <c r="E1202" t="inlineStr">
        <is>
          <t>VAGGERYD</t>
        </is>
      </c>
      <c r="G1202" t="n">
        <v>2.5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61894-2021</t>
        </is>
      </c>
      <c r="B1203" s="1" t="n">
        <v>44502.32267361111</v>
      </c>
      <c r="C1203" s="1" t="n">
        <v>45962</v>
      </c>
      <c r="D1203" t="inlineStr">
        <is>
          <t>JÖNKÖPINGS LÄN</t>
        </is>
      </c>
      <c r="E1203" t="inlineStr">
        <is>
          <t>VETLANDA</t>
        </is>
      </c>
      <c r="G1203" t="n">
        <v>2.8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61944-2021</t>
        </is>
      </c>
      <c r="B1204" s="1" t="n">
        <v>44502</v>
      </c>
      <c r="C1204" s="1" t="n">
        <v>45962</v>
      </c>
      <c r="D1204" t="inlineStr">
        <is>
          <t>JÖNKÖPINGS LÄN</t>
        </is>
      </c>
      <c r="E1204" t="inlineStr">
        <is>
          <t>SÄVSJÖ</t>
        </is>
      </c>
      <c r="G1204" t="n">
        <v>3.6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1312-2021</t>
        </is>
      </c>
      <c r="B1205" s="1" t="n">
        <v>44208</v>
      </c>
      <c r="C1205" s="1" t="n">
        <v>45962</v>
      </c>
      <c r="D1205" t="inlineStr">
        <is>
          <t>JÖNKÖPINGS LÄN</t>
        </is>
      </c>
      <c r="E1205" t="inlineStr">
        <is>
          <t>GISLAVED</t>
        </is>
      </c>
      <c r="G1205" t="n">
        <v>1.2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13095-2021</t>
        </is>
      </c>
      <c r="B1206" s="1" t="n">
        <v>44272</v>
      </c>
      <c r="C1206" s="1" t="n">
        <v>45962</v>
      </c>
      <c r="D1206" t="inlineStr">
        <is>
          <t>JÖNKÖPINGS LÄN</t>
        </is>
      </c>
      <c r="E1206" t="inlineStr">
        <is>
          <t>MULLSJÖ</t>
        </is>
      </c>
      <c r="G1206" t="n">
        <v>1.3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24951-2021</t>
        </is>
      </c>
      <c r="B1207" s="1" t="n">
        <v>44341</v>
      </c>
      <c r="C1207" s="1" t="n">
        <v>45962</v>
      </c>
      <c r="D1207" t="inlineStr">
        <is>
          <t>JÖNKÖPINGS LÄN</t>
        </is>
      </c>
      <c r="E1207" t="inlineStr">
        <is>
          <t>VÄRNAMO</t>
        </is>
      </c>
      <c r="G1207" t="n">
        <v>2.5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14133-2021</t>
        </is>
      </c>
      <c r="B1208" s="1" t="n">
        <v>44278.37649305556</v>
      </c>
      <c r="C1208" s="1" t="n">
        <v>45962</v>
      </c>
      <c r="D1208" t="inlineStr">
        <is>
          <t>JÖNKÖPINGS LÄN</t>
        </is>
      </c>
      <c r="E1208" t="inlineStr">
        <is>
          <t>VÄRNAMO</t>
        </is>
      </c>
      <c r="G1208" t="n">
        <v>1.6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10869-2021</t>
        </is>
      </c>
      <c r="B1209" s="1" t="n">
        <v>44259</v>
      </c>
      <c r="C1209" s="1" t="n">
        <v>45962</v>
      </c>
      <c r="D1209" t="inlineStr">
        <is>
          <t>JÖNKÖPINGS LÄN</t>
        </is>
      </c>
      <c r="E1209" t="inlineStr">
        <is>
          <t>JÖNKÖPING</t>
        </is>
      </c>
      <c r="G1209" t="n">
        <v>1.1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65267-2021</t>
        </is>
      </c>
      <c r="B1210" s="1" t="n">
        <v>44515</v>
      </c>
      <c r="C1210" s="1" t="n">
        <v>45962</v>
      </c>
      <c r="D1210" t="inlineStr">
        <is>
          <t>JÖNKÖPINGS LÄN</t>
        </is>
      </c>
      <c r="E1210" t="inlineStr">
        <is>
          <t>VETLANDA</t>
        </is>
      </c>
      <c r="F1210" t="inlineStr">
        <is>
          <t>Kyrkan</t>
        </is>
      </c>
      <c r="G1210" t="n">
        <v>1.6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3504-2022</t>
        </is>
      </c>
      <c r="B1211" s="1" t="n">
        <v>44585</v>
      </c>
      <c r="C1211" s="1" t="n">
        <v>45962</v>
      </c>
      <c r="D1211" t="inlineStr">
        <is>
          <t>JÖNKÖPINGS LÄN</t>
        </is>
      </c>
      <c r="E1211" t="inlineStr">
        <is>
          <t>VETLANDA</t>
        </is>
      </c>
      <c r="F1211" t="inlineStr">
        <is>
          <t>Kommuner</t>
        </is>
      </c>
      <c r="G1211" t="n">
        <v>1.7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3506-2022</t>
        </is>
      </c>
      <c r="B1212" s="1" t="n">
        <v>44585</v>
      </c>
      <c r="C1212" s="1" t="n">
        <v>45962</v>
      </c>
      <c r="D1212" t="inlineStr">
        <is>
          <t>JÖNKÖPINGS LÄN</t>
        </is>
      </c>
      <c r="E1212" t="inlineStr">
        <is>
          <t>VETLANDA</t>
        </is>
      </c>
      <c r="F1212" t="inlineStr">
        <is>
          <t>Kommuner</t>
        </is>
      </c>
      <c r="G1212" t="n">
        <v>2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73123-2021</t>
        </is>
      </c>
      <c r="B1213" s="1" t="n">
        <v>44550.47495370371</v>
      </c>
      <c r="C1213" s="1" t="n">
        <v>45962</v>
      </c>
      <c r="D1213" t="inlineStr">
        <is>
          <t>JÖNKÖPINGS LÄN</t>
        </is>
      </c>
      <c r="E1213" t="inlineStr">
        <is>
          <t>VAGGERYD</t>
        </is>
      </c>
      <c r="F1213" t="inlineStr">
        <is>
          <t>Sveaskog</t>
        </is>
      </c>
      <c r="G1213" t="n">
        <v>2.2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46852-2022</t>
        </is>
      </c>
      <c r="B1214" s="1" t="n">
        <v>44851</v>
      </c>
      <c r="C1214" s="1" t="n">
        <v>45962</v>
      </c>
      <c r="D1214" t="inlineStr">
        <is>
          <t>JÖNKÖPINGS LÄN</t>
        </is>
      </c>
      <c r="E1214" t="inlineStr">
        <is>
          <t>EKSJÖ</t>
        </is>
      </c>
      <c r="G1214" t="n">
        <v>0.5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44575-2022</t>
        </is>
      </c>
      <c r="B1215" s="1" t="n">
        <v>44840</v>
      </c>
      <c r="C1215" s="1" t="n">
        <v>45962</v>
      </c>
      <c r="D1215" t="inlineStr">
        <is>
          <t>JÖNKÖPINGS LÄN</t>
        </is>
      </c>
      <c r="E1215" t="inlineStr">
        <is>
          <t>GISLAVED</t>
        </is>
      </c>
      <c r="G1215" t="n">
        <v>1.1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48131-2021</t>
        </is>
      </c>
      <c r="B1216" s="1" t="n">
        <v>44449</v>
      </c>
      <c r="C1216" s="1" t="n">
        <v>45962</v>
      </c>
      <c r="D1216" t="inlineStr">
        <is>
          <t>JÖNKÖPINGS LÄN</t>
        </is>
      </c>
      <c r="E1216" t="inlineStr">
        <is>
          <t>VÄRNAMO</t>
        </is>
      </c>
      <c r="G1216" t="n">
        <v>0.7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53364-2021</t>
        </is>
      </c>
      <c r="B1217" s="1" t="n">
        <v>44468.59461805555</v>
      </c>
      <c r="C1217" s="1" t="n">
        <v>45962</v>
      </c>
      <c r="D1217" t="inlineStr">
        <is>
          <t>JÖNKÖPINGS LÄN</t>
        </is>
      </c>
      <c r="E1217" t="inlineStr">
        <is>
          <t>SÄVSJÖ</t>
        </is>
      </c>
      <c r="G1217" t="n">
        <v>1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9248-2022</t>
        </is>
      </c>
      <c r="B1218" s="1" t="n">
        <v>44616.39256944445</v>
      </c>
      <c r="C1218" s="1" t="n">
        <v>45962</v>
      </c>
      <c r="D1218" t="inlineStr">
        <is>
          <t>JÖNKÖPINGS LÄN</t>
        </is>
      </c>
      <c r="E1218" t="inlineStr">
        <is>
          <t>JÖNKÖPING</t>
        </is>
      </c>
      <c r="G1218" t="n">
        <v>0.5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33560-2022</t>
        </is>
      </c>
      <c r="B1219" s="1" t="n">
        <v>44789.39461805556</v>
      </c>
      <c r="C1219" s="1" t="n">
        <v>45962</v>
      </c>
      <c r="D1219" t="inlineStr">
        <is>
          <t>JÖNKÖPINGS LÄN</t>
        </is>
      </c>
      <c r="E1219" t="inlineStr">
        <is>
          <t>SÄVSJÖ</t>
        </is>
      </c>
      <c r="G1219" t="n">
        <v>1.5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24981-2021</t>
        </is>
      </c>
      <c r="B1220" s="1" t="n">
        <v>44341.51976851852</v>
      </c>
      <c r="C1220" s="1" t="n">
        <v>45962</v>
      </c>
      <c r="D1220" t="inlineStr">
        <is>
          <t>JÖNKÖPINGS LÄN</t>
        </is>
      </c>
      <c r="E1220" t="inlineStr">
        <is>
          <t>VÄRNAMO</t>
        </is>
      </c>
      <c r="G1220" t="n">
        <v>0.5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28667-2021</t>
        </is>
      </c>
      <c r="B1221" s="1" t="n">
        <v>44357.3718287037</v>
      </c>
      <c r="C1221" s="1" t="n">
        <v>45962</v>
      </c>
      <c r="D1221" t="inlineStr">
        <is>
          <t>JÖNKÖPINGS LÄN</t>
        </is>
      </c>
      <c r="E1221" t="inlineStr">
        <is>
          <t>SÄVSJÖ</t>
        </is>
      </c>
      <c r="G1221" t="n">
        <v>1.1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3507-2022</t>
        </is>
      </c>
      <c r="B1222" s="1" t="n">
        <v>44585</v>
      </c>
      <c r="C1222" s="1" t="n">
        <v>45962</v>
      </c>
      <c r="D1222" t="inlineStr">
        <is>
          <t>JÖNKÖPINGS LÄN</t>
        </is>
      </c>
      <c r="E1222" t="inlineStr">
        <is>
          <t>VETLANDA</t>
        </is>
      </c>
      <c r="F1222" t="inlineStr">
        <is>
          <t>Kommuner</t>
        </is>
      </c>
      <c r="G1222" t="n">
        <v>0.5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32509-2021</t>
        </is>
      </c>
      <c r="B1223" s="1" t="n">
        <v>44373</v>
      </c>
      <c r="C1223" s="1" t="n">
        <v>45962</v>
      </c>
      <c r="D1223" t="inlineStr">
        <is>
          <t>JÖNKÖPINGS LÄN</t>
        </is>
      </c>
      <c r="E1223" t="inlineStr">
        <is>
          <t>JÖNKÖPING</t>
        </is>
      </c>
      <c r="G1223" t="n">
        <v>3.1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71610-2021</t>
        </is>
      </c>
      <c r="B1224" s="1" t="n">
        <v>44541</v>
      </c>
      <c r="C1224" s="1" t="n">
        <v>45962</v>
      </c>
      <c r="D1224" t="inlineStr">
        <is>
          <t>JÖNKÖPINGS LÄN</t>
        </is>
      </c>
      <c r="E1224" t="inlineStr">
        <is>
          <t>SÄVSJÖ</t>
        </is>
      </c>
      <c r="G1224" t="n">
        <v>0.8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28007-2021</t>
        </is>
      </c>
      <c r="B1225" s="1" t="n">
        <v>44355</v>
      </c>
      <c r="C1225" s="1" t="n">
        <v>45962</v>
      </c>
      <c r="D1225" t="inlineStr">
        <is>
          <t>JÖNKÖPINGS LÄN</t>
        </is>
      </c>
      <c r="E1225" t="inlineStr">
        <is>
          <t>VAGGERYD</t>
        </is>
      </c>
      <c r="G1225" t="n">
        <v>1.8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61912-2021</t>
        </is>
      </c>
      <c r="B1226" s="1" t="n">
        <v>44502.35916666667</v>
      </c>
      <c r="C1226" s="1" t="n">
        <v>45962</v>
      </c>
      <c r="D1226" t="inlineStr">
        <is>
          <t>JÖNKÖPINGS LÄN</t>
        </is>
      </c>
      <c r="E1226" t="inlineStr">
        <is>
          <t>VÄRNAMO</t>
        </is>
      </c>
      <c r="G1226" t="n">
        <v>4.7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32338-2021</t>
        </is>
      </c>
      <c r="B1227" s="1" t="n">
        <v>44371</v>
      </c>
      <c r="C1227" s="1" t="n">
        <v>45962</v>
      </c>
      <c r="D1227" t="inlineStr">
        <is>
          <t>JÖNKÖPINGS LÄN</t>
        </is>
      </c>
      <c r="E1227" t="inlineStr">
        <is>
          <t>GISLAVED</t>
        </is>
      </c>
      <c r="G1227" t="n">
        <v>1.2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43701-2022</t>
        </is>
      </c>
      <c r="B1228" s="1" t="n">
        <v>44837</v>
      </c>
      <c r="C1228" s="1" t="n">
        <v>45962</v>
      </c>
      <c r="D1228" t="inlineStr">
        <is>
          <t>JÖNKÖPINGS LÄN</t>
        </is>
      </c>
      <c r="E1228" t="inlineStr">
        <is>
          <t>VAGGERYD</t>
        </is>
      </c>
      <c r="G1228" t="n">
        <v>2.8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31021-2021</t>
        </is>
      </c>
      <c r="B1229" s="1" t="n">
        <v>44367</v>
      </c>
      <c r="C1229" s="1" t="n">
        <v>45962</v>
      </c>
      <c r="D1229" t="inlineStr">
        <is>
          <t>JÖNKÖPINGS LÄN</t>
        </is>
      </c>
      <c r="E1229" t="inlineStr">
        <is>
          <t>VAGGERYD</t>
        </is>
      </c>
      <c r="G1229" t="n">
        <v>1.9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53697-2021</t>
        </is>
      </c>
      <c r="B1230" s="1" t="n">
        <v>44469</v>
      </c>
      <c r="C1230" s="1" t="n">
        <v>45962</v>
      </c>
      <c r="D1230" t="inlineStr">
        <is>
          <t>JÖNKÖPINGS LÄN</t>
        </is>
      </c>
      <c r="E1230" t="inlineStr">
        <is>
          <t>VAGGERYD</t>
        </is>
      </c>
      <c r="G1230" t="n">
        <v>1.7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35693-2021</t>
        </is>
      </c>
      <c r="B1231" s="1" t="n">
        <v>44386</v>
      </c>
      <c r="C1231" s="1" t="n">
        <v>45962</v>
      </c>
      <c r="D1231" t="inlineStr">
        <is>
          <t>JÖNKÖPINGS LÄN</t>
        </is>
      </c>
      <c r="E1231" t="inlineStr">
        <is>
          <t>ANEBY</t>
        </is>
      </c>
      <c r="G1231" t="n">
        <v>2.9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35694-2021</t>
        </is>
      </c>
      <c r="B1232" s="1" t="n">
        <v>44386</v>
      </c>
      <c r="C1232" s="1" t="n">
        <v>45962</v>
      </c>
      <c r="D1232" t="inlineStr">
        <is>
          <t>JÖNKÖPINGS LÄN</t>
        </is>
      </c>
      <c r="E1232" t="inlineStr">
        <is>
          <t>TRANÅS</t>
        </is>
      </c>
      <c r="G1232" t="n">
        <v>1.6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35730-2021</t>
        </is>
      </c>
      <c r="B1233" s="1" t="n">
        <v>44385</v>
      </c>
      <c r="C1233" s="1" t="n">
        <v>45962</v>
      </c>
      <c r="D1233" t="inlineStr">
        <is>
          <t>JÖNKÖPINGS LÄN</t>
        </is>
      </c>
      <c r="E1233" t="inlineStr">
        <is>
          <t>VÄRNAMO</t>
        </is>
      </c>
      <c r="G1233" t="n">
        <v>1.1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28931-2021</t>
        </is>
      </c>
      <c r="B1234" s="1" t="n">
        <v>44358.31386574074</v>
      </c>
      <c r="C1234" s="1" t="n">
        <v>45962</v>
      </c>
      <c r="D1234" t="inlineStr">
        <is>
          <t>JÖNKÖPINGS LÄN</t>
        </is>
      </c>
      <c r="E1234" t="inlineStr">
        <is>
          <t>GISLAVED</t>
        </is>
      </c>
      <c r="G1234" t="n">
        <v>1.1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28972-2021</t>
        </is>
      </c>
      <c r="B1235" s="1" t="n">
        <v>44358.40704861111</v>
      </c>
      <c r="C1235" s="1" t="n">
        <v>45962</v>
      </c>
      <c r="D1235" t="inlineStr">
        <is>
          <t>JÖNKÖPINGS LÄN</t>
        </is>
      </c>
      <c r="E1235" t="inlineStr">
        <is>
          <t>NÄSSJÖ</t>
        </is>
      </c>
      <c r="G1235" t="n">
        <v>1.1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7243-2022</t>
        </is>
      </c>
      <c r="B1236" s="1" t="n">
        <v>44606.39925925926</v>
      </c>
      <c r="C1236" s="1" t="n">
        <v>45962</v>
      </c>
      <c r="D1236" t="inlineStr">
        <is>
          <t>JÖNKÖPINGS LÄN</t>
        </is>
      </c>
      <c r="E1236" t="inlineStr">
        <is>
          <t>VÄRNAMO</t>
        </is>
      </c>
      <c r="G1236" t="n">
        <v>0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1141-2022</t>
        </is>
      </c>
      <c r="B1237" s="1" t="n">
        <v>44572.3869212963</v>
      </c>
      <c r="C1237" s="1" t="n">
        <v>45962</v>
      </c>
      <c r="D1237" t="inlineStr">
        <is>
          <t>JÖNKÖPINGS LÄN</t>
        </is>
      </c>
      <c r="E1237" t="inlineStr">
        <is>
          <t>VÄRNAMO</t>
        </is>
      </c>
      <c r="G1237" t="n">
        <v>0.7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35298-2021</t>
        </is>
      </c>
      <c r="B1238" s="1" t="n">
        <v>44384.6803125</v>
      </c>
      <c r="C1238" s="1" t="n">
        <v>45962</v>
      </c>
      <c r="D1238" t="inlineStr">
        <is>
          <t>JÖNKÖPINGS LÄN</t>
        </is>
      </c>
      <c r="E1238" t="inlineStr">
        <is>
          <t>EKSJÖ</t>
        </is>
      </c>
      <c r="G1238" t="n">
        <v>1.3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43404-2022</t>
        </is>
      </c>
      <c r="B1239" s="1" t="n">
        <v>44834.76903935185</v>
      </c>
      <c r="C1239" s="1" t="n">
        <v>45962</v>
      </c>
      <c r="D1239" t="inlineStr">
        <is>
          <t>JÖNKÖPINGS LÄN</t>
        </is>
      </c>
      <c r="E1239" t="inlineStr">
        <is>
          <t>VETLANDA</t>
        </is>
      </c>
      <c r="G1239" t="n">
        <v>0.5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8820-2022</t>
        </is>
      </c>
      <c r="B1240" s="1" t="n">
        <v>44614.4587962963</v>
      </c>
      <c r="C1240" s="1" t="n">
        <v>45962</v>
      </c>
      <c r="D1240" t="inlineStr">
        <is>
          <t>JÖNKÖPINGS LÄN</t>
        </is>
      </c>
      <c r="E1240" t="inlineStr">
        <is>
          <t>VAGGERYD</t>
        </is>
      </c>
      <c r="G1240" t="n">
        <v>1.9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48124-2022</t>
        </is>
      </c>
      <c r="B1241" s="1" t="n">
        <v>44857.73039351852</v>
      </c>
      <c r="C1241" s="1" t="n">
        <v>45962</v>
      </c>
      <c r="D1241" t="inlineStr">
        <is>
          <t>JÖNKÖPINGS LÄN</t>
        </is>
      </c>
      <c r="E1241" t="inlineStr">
        <is>
          <t>SÄVSJÖ</t>
        </is>
      </c>
      <c r="G1241" t="n">
        <v>0.3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7654-2022</t>
        </is>
      </c>
      <c r="B1242" s="1" t="n">
        <v>44607</v>
      </c>
      <c r="C1242" s="1" t="n">
        <v>45962</v>
      </c>
      <c r="D1242" t="inlineStr">
        <is>
          <t>JÖNKÖPINGS LÄN</t>
        </is>
      </c>
      <c r="E1242" t="inlineStr">
        <is>
          <t>MULLSJÖ</t>
        </is>
      </c>
      <c r="G1242" t="n">
        <v>1.5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39148-2021</t>
        </is>
      </c>
      <c r="B1243" s="1" t="n">
        <v>44412</v>
      </c>
      <c r="C1243" s="1" t="n">
        <v>45962</v>
      </c>
      <c r="D1243" t="inlineStr">
        <is>
          <t>JÖNKÖPINGS LÄN</t>
        </is>
      </c>
      <c r="E1243" t="inlineStr">
        <is>
          <t>JÖNKÖPING</t>
        </is>
      </c>
      <c r="G1243" t="n">
        <v>0.5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39150-2021</t>
        </is>
      </c>
      <c r="B1244" s="1" t="n">
        <v>44412.68837962963</v>
      </c>
      <c r="C1244" s="1" t="n">
        <v>45962</v>
      </c>
      <c r="D1244" t="inlineStr">
        <is>
          <t>JÖNKÖPINGS LÄN</t>
        </is>
      </c>
      <c r="E1244" t="inlineStr">
        <is>
          <t>SÄVSJÖ</t>
        </is>
      </c>
      <c r="G1244" t="n">
        <v>0.7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4842-2022</t>
        </is>
      </c>
      <c r="B1245" s="1" t="n">
        <v>44592</v>
      </c>
      <c r="C1245" s="1" t="n">
        <v>45962</v>
      </c>
      <c r="D1245" t="inlineStr">
        <is>
          <t>JÖNKÖPINGS LÄN</t>
        </is>
      </c>
      <c r="E1245" t="inlineStr">
        <is>
          <t>VETLANDA</t>
        </is>
      </c>
      <c r="G1245" t="n">
        <v>1.1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42242-2022</t>
        </is>
      </c>
      <c r="B1246" s="1" t="n">
        <v>44830.90146990741</v>
      </c>
      <c r="C1246" s="1" t="n">
        <v>45962</v>
      </c>
      <c r="D1246" t="inlineStr">
        <is>
          <t>JÖNKÖPINGS LÄN</t>
        </is>
      </c>
      <c r="E1246" t="inlineStr">
        <is>
          <t>JÖNKÖPING</t>
        </is>
      </c>
      <c r="G1246" t="n">
        <v>1.1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33259-2022</t>
        </is>
      </c>
      <c r="B1247" s="1" t="n">
        <v>44787.80010416666</v>
      </c>
      <c r="C1247" s="1" t="n">
        <v>45962</v>
      </c>
      <c r="D1247" t="inlineStr">
        <is>
          <t>JÖNKÖPINGS LÄN</t>
        </is>
      </c>
      <c r="E1247" t="inlineStr">
        <is>
          <t>JÖNKÖPING</t>
        </is>
      </c>
      <c r="G1247" t="n">
        <v>0.6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7452-2021</t>
        </is>
      </c>
      <c r="B1248" s="1" t="n">
        <v>44239</v>
      </c>
      <c r="C1248" s="1" t="n">
        <v>45962</v>
      </c>
      <c r="D1248" t="inlineStr">
        <is>
          <t>JÖNKÖPINGS LÄN</t>
        </is>
      </c>
      <c r="E1248" t="inlineStr">
        <is>
          <t>JÖNKÖPING</t>
        </is>
      </c>
      <c r="G1248" t="n">
        <v>1.1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7499-2021</t>
        </is>
      </c>
      <c r="B1249" s="1" t="n">
        <v>44239</v>
      </c>
      <c r="C1249" s="1" t="n">
        <v>45962</v>
      </c>
      <c r="D1249" t="inlineStr">
        <is>
          <t>JÖNKÖPINGS LÄN</t>
        </is>
      </c>
      <c r="E1249" t="inlineStr">
        <is>
          <t>EKSJÖ</t>
        </is>
      </c>
      <c r="G1249" t="n">
        <v>3.3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33938-2022</t>
        </is>
      </c>
      <c r="B1250" s="1" t="n">
        <v>44790.65711805555</v>
      </c>
      <c r="C1250" s="1" t="n">
        <v>45962</v>
      </c>
      <c r="D1250" t="inlineStr">
        <is>
          <t>JÖNKÖPINGS LÄN</t>
        </is>
      </c>
      <c r="E1250" t="inlineStr">
        <is>
          <t>SÄVSJÖ</t>
        </is>
      </c>
      <c r="G1250" t="n">
        <v>0.7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7338-2021</t>
        </is>
      </c>
      <c r="B1251" s="1" t="n">
        <v>44239</v>
      </c>
      <c r="C1251" s="1" t="n">
        <v>45962</v>
      </c>
      <c r="D1251" t="inlineStr">
        <is>
          <t>JÖNKÖPINGS LÄN</t>
        </is>
      </c>
      <c r="E1251" t="inlineStr">
        <is>
          <t>JÖNKÖPING</t>
        </is>
      </c>
      <c r="G1251" t="n">
        <v>1.3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7374-2021</t>
        </is>
      </c>
      <c r="B1252" s="1" t="n">
        <v>44239</v>
      </c>
      <c r="C1252" s="1" t="n">
        <v>45962</v>
      </c>
      <c r="D1252" t="inlineStr">
        <is>
          <t>JÖNKÖPINGS LÄN</t>
        </is>
      </c>
      <c r="E1252" t="inlineStr">
        <is>
          <t>TRANÅS</t>
        </is>
      </c>
      <c r="G1252" t="n">
        <v>1.5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4818-2022</t>
        </is>
      </c>
      <c r="B1253" s="1" t="n">
        <v>44592</v>
      </c>
      <c r="C1253" s="1" t="n">
        <v>45962</v>
      </c>
      <c r="D1253" t="inlineStr">
        <is>
          <t>JÖNKÖPINGS LÄN</t>
        </is>
      </c>
      <c r="E1253" t="inlineStr">
        <is>
          <t>EKSJÖ</t>
        </is>
      </c>
      <c r="G1253" t="n">
        <v>0.7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11596-2022</t>
        </is>
      </c>
      <c r="B1254" s="1" t="n">
        <v>44631.54024305556</v>
      </c>
      <c r="C1254" s="1" t="n">
        <v>45962</v>
      </c>
      <c r="D1254" t="inlineStr">
        <is>
          <t>JÖNKÖPINGS LÄN</t>
        </is>
      </c>
      <c r="E1254" t="inlineStr">
        <is>
          <t>VAGGERYD</t>
        </is>
      </c>
      <c r="F1254" t="inlineStr">
        <is>
          <t>Sveaskog</t>
        </is>
      </c>
      <c r="G1254" t="n">
        <v>0.9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11637-2022</t>
        </is>
      </c>
      <c r="B1255" s="1" t="n">
        <v>44631</v>
      </c>
      <c r="C1255" s="1" t="n">
        <v>45962</v>
      </c>
      <c r="D1255" t="inlineStr">
        <is>
          <t>JÖNKÖPINGS LÄN</t>
        </is>
      </c>
      <c r="E1255" t="inlineStr">
        <is>
          <t>VAGGERYD</t>
        </is>
      </c>
      <c r="G1255" t="n">
        <v>1.5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52340-2021</t>
        </is>
      </c>
      <c r="B1256" s="1" t="n">
        <v>44464.40523148148</v>
      </c>
      <c r="C1256" s="1" t="n">
        <v>45962</v>
      </c>
      <c r="D1256" t="inlineStr">
        <is>
          <t>JÖNKÖPINGS LÄN</t>
        </is>
      </c>
      <c r="E1256" t="inlineStr">
        <is>
          <t>JÖNKÖPING</t>
        </is>
      </c>
      <c r="G1256" t="n">
        <v>0.4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49660-2022</t>
        </is>
      </c>
      <c r="B1257" s="1" t="n">
        <v>44862</v>
      </c>
      <c r="C1257" s="1" t="n">
        <v>45962</v>
      </c>
      <c r="D1257" t="inlineStr">
        <is>
          <t>JÖNKÖPINGS LÄN</t>
        </is>
      </c>
      <c r="E1257" t="inlineStr">
        <is>
          <t>SÄVSJÖ</t>
        </is>
      </c>
      <c r="G1257" t="n">
        <v>0.9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19121-2021</t>
        </is>
      </c>
      <c r="B1258" s="1" t="n">
        <v>44308</v>
      </c>
      <c r="C1258" s="1" t="n">
        <v>45962</v>
      </c>
      <c r="D1258" t="inlineStr">
        <is>
          <t>JÖNKÖPINGS LÄN</t>
        </is>
      </c>
      <c r="E1258" t="inlineStr">
        <is>
          <t>JÖNKÖPING</t>
        </is>
      </c>
      <c r="F1258" t="inlineStr">
        <is>
          <t>Sveaskog</t>
        </is>
      </c>
      <c r="G1258" t="n">
        <v>1.4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8335-2022</t>
        </is>
      </c>
      <c r="B1259" s="1" t="n">
        <v>44610</v>
      </c>
      <c r="C1259" s="1" t="n">
        <v>45962</v>
      </c>
      <c r="D1259" t="inlineStr">
        <is>
          <t>JÖNKÖPINGS LÄN</t>
        </is>
      </c>
      <c r="E1259" t="inlineStr">
        <is>
          <t>EKSJÖ</t>
        </is>
      </c>
      <c r="G1259" t="n">
        <v>1.8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8452-2022</t>
        </is>
      </c>
      <c r="B1260" s="1" t="n">
        <v>44612</v>
      </c>
      <c r="C1260" s="1" t="n">
        <v>45962</v>
      </c>
      <c r="D1260" t="inlineStr">
        <is>
          <t>JÖNKÖPINGS LÄN</t>
        </is>
      </c>
      <c r="E1260" t="inlineStr">
        <is>
          <t>VETLANDA</t>
        </is>
      </c>
      <c r="G1260" t="n">
        <v>0.7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  <c r="U1260">
        <f>HYPERLINK("https://klasma.github.io/Logging_0685/knärot/A 8452-2022 karta knärot.png", "A 8452-2022")</f>
        <v/>
      </c>
      <c r="V1260">
        <f>HYPERLINK("https://klasma.github.io/Logging_0685/klagomål/A 8452-2022 FSC-klagomål.docx", "A 8452-2022")</f>
        <v/>
      </c>
      <c r="W1260">
        <f>HYPERLINK("https://klasma.github.io/Logging_0685/klagomålsmail/A 8452-2022 FSC-klagomål mail.docx", "A 8452-2022")</f>
        <v/>
      </c>
      <c r="X1260">
        <f>HYPERLINK("https://klasma.github.io/Logging_0685/tillsyn/A 8452-2022 tillsynsbegäran.docx", "A 8452-2022")</f>
        <v/>
      </c>
      <c r="Y1260">
        <f>HYPERLINK("https://klasma.github.io/Logging_0685/tillsynsmail/A 8452-2022 tillsynsbegäran mail.docx", "A 8452-2022")</f>
        <v/>
      </c>
    </row>
    <row r="1261" ht="15" customHeight="1">
      <c r="A1261" t="inlineStr">
        <is>
          <t>A 47858-2022</t>
        </is>
      </c>
      <c r="B1261" s="1" t="n">
        <v>44855.41420138889</v>
      </c>
      <c r="C1261" s="1" t="n">
        <v>45962</v>
      </c>
      <c r="D1261" t="inlineStr">
        <is>
          <t>JÖNKÖPINGS LÄN</t>
        </is>
      </c>
      <c r="E1261" t="inlineStr">
        <is>
          <t>GNOSJÖ</t>
        </is>
      </c>
      <c r="G1261" t="n">
        <v>0.7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56548-2020</t>
        </is>
      </c>
      <c r="B1262" s="1" t="n">
        <v>44137</v>
      </c>
      <c r="C1262" s="1" t="n">
        <v>45962</v>
      </c>
      <c r="D1262" t="inlineStr">
        <is>
          <t>JÖNKÖPINGS LÄN</t>
        </is>
      </c>
      <c r="E1262" t="inlineStr">
        <is>
          <t>VETLANDA</t>
        </is>
      </c>
      <c r="F1262" t="inlineStr">
        <is>
          <t>Sveaskog</t>
        </is>
      </c>
      <c r="G1262" t="n">
        <v>2.2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42715-2021</t>
        </is>
      </c>
      <c r="B1263" s="1" t="n">
        <v>44428</v>
      </c>
      <c r="C1263" s="1" t="n">
        <v>45962</v>
      </c>
      <c r="D1263" t="inlineStr">
        <is>
          <t>JÖNKÖPINGS LÄN</t>
        </is>
      </c>
      <c r="E1263" t="inlineStr">
        <is>
          <t>JÖNKÖPING</t>
        </is>
      </c>
      <c r="F1263" t="inlineStr">
        <is>
          <t>Sveaskog</t>
        </is>
      </c>
      <c r="G1263" t="n">
        <v>0.5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55957-2021</t>
        </is>
      </c>
      <c r="B1264" s="1" t="n">
        <v>44477.338125</v>
      </c>
      <c r="C1264" s="1" t="n">
        <v>45962</v>
      </c>
      <c r="D1264" t="inlineStr">
        <is>
          <t>JÖNKÖPINGS LÄN</t>
        </is>
      </c>
      <c r="E1264" t="inlineStr">
        <is>
          <t>VETLANDA</t>
        </is>
      </c>
      <c r="G1264" t="n">
        <v>1.1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20796-2021</t>
        </is>
      </c>
      <c r="B1265" s="1" t="n">
        <v>44316.70798611111</v>
      </c>
      <c r="C1265" s="1" t="n">
        <v>45962</v>
      </c>
      <c r="D1265" t="inlineStr">
        <is>
          <t>JÖNKÖPINGS LÄN</t>
        </is>
      </c>
      <c r="E1265" t="inlineStr">
        <is>
          <t>VETLANDA</t>
        </is>
      </c>
      <c r="G1265" t="n">
        <v>1.1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28211-2021</t>
        </is>
      </c>
      <c r="B1266" s="1" t="n">
        <v>44355</v>
      </c>
      <c r="C1266" s="1" t="n">
        <v>45962</v>
      </c>
      <c r="D1266" t="inlineStr">
        <is>
          <t>JÖNKÖPINGS LÄN</t>
        </is>
      </c>
      <c r="E1266" t="inlineStr">
        <is>
          <t>VETLANDA</t>
        </is>
      </c>
      <c r="G1266" t="n">
        <v>1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16701-2021</t>
        </is>
      </c>
      <c r="B1267" s="1" t="n">
        <v>44294</v>
      </c>
      <c r="C1267" s="1" t="n">
        <v>45962</v>
      </c>
      <c r="D1267" t="inlineStr">
        <is>
          <t>JÖNKÖPINGS LÄN</t>
        </is>
      </c>
      <c r="E1267" t="inlineStr">
        <is>
          <t>JÖNKÖPING</t>
        </is>
      </c>
      <c r="G1267" t="n">
        <v>0.5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10682-2022</t>
        </is>
      </c>
      <c r="B1268" s="1" t="n">
        <v>44624</v>
      </c>
      <c r="C1268" s="1" t="n">
        <v>45962</v>
      </c>
      <c r="D1268" t="inlineStr">
        <is>
          <t>JÖNKÖPINGS LÄN</t>
        </is>
      </c>
      <c r="E1268" t="inlineStr">
        <is>
          <t>ANEBY</t>
        </is>
      </c>
      <c r="G1268" t="n">
        <v>0.3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1877-2022</t>
        </is>
      </c>
      <c r="B1269" s="1" t="n">
        <v>44575</v>
      </c>
      <c r="C1269" s="1" t="n">
        <v>45962</v>
      </c>
      <c r="D1269" t="inlineStr">
        <is>
          <t>JÖNKÖPINGS LÄN</t>
        </is>
      </c>
      <c r="E1269" t="inlineStr">
        <is>
          <t>JÖNKÖPING</t>
        </is>
      </c>
      <c r="G1269" t="n">
        <v>0.3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67881-2021</t>
        </is>
      </c>
      <c r="B1270" s="1" t="n">
        <v>44525</v>
      </c>
      <c r="C1270" s="1" t="n">
        <v>45962</v>
      </c>
      <c r="D1270" t="inlineStr">
        <is>
          <t>JÖNKÖPINGS LÄN</t>
        </is>
      </c>
      <c r="E1270" t="inlineStr">
        <is>
          <t>VÄRNAMO</t>
        </is>
      </c>
      <c r="G1270" t="n">
        <v>0.7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43566-2021</t>
        </is>
      </c>
      <c r="B1271" s="1" t="n">
        <v>44433.42069444444</v>
      </c>
      <c r="C1271" s="1" t="n">
        <v>45962</v>
      </c>
      <c r="D1271" t="inlineStr">
        <is>
          <t>JÖNKÖPINGS LÄN</t>
        </is>
      </c>
      <c r="E1271" t="inlineStr">
        <is>
          <t>SÄVSJÖ</t>
        </is>
      </c>
      <c r="G1271" t="n">
        <v>7.3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8800-2022</t>
        </is>
      </c>
      <c r="B1272" s="1" t="n">
        <v>44614</v>
      </c>
      <c r="C1272" s="1" t="n">
        <v>45962</v>
      </c>
      <c r="D1272" t="inlineStr">
        <is>
          <t>JÖNKÖPINGS LÄN</t>
        </is>
      </c>
      <c r="E1272" t="inlineStr">
        <is>
          <t>GISLAVED</t>
        </is>
      </c>
      <c r="F1272" t="inlineStr">
        <is>
          <t>Kyrkan</t>
        </is>
      </c>
      <c r="G1272" t="n">
        <v>2.3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15823-2021</t>
        </is>
      </c>
      <c r="B1273" s="1" t="n">
        <v>44286.63913194444</v>
      </c>
      <c r="C1273" s="1" t="n">
        <v>45962</v>
      </c>
      <c r="D1273" t="inlineStr">
        <is>
          <t>JÖNKÖPINGS LÄN</t>
        </is>
      </c>
      <c r="E1273" t="inlineStr">
        <is>
          <t>VETLANDA</t>
        </is>
      </c>
      <c r="G1273" t="n">
        <v>1.1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55710-2021</t>
        </is>
      </c>
      <c r="B1274" s="1" t="n">
        <v>44476</v>
      </c>
      <c r="C1274" s="1" t="n">
        <v>45962</v>
      </c>
      <c r="D1274" t="inlineStr">
        <is>
          <t>JÖNKÖPINGS LÄN</t>
        </is>
      </c>
      <c r="E1274" t="inlineStr">
        <is>
          <t>EKSJÖ</t>
        </is>
      </c>
      <c r="G1274" t="n">
        <v>3.3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56952-2021</t>
        </is>
      </c>
      <c r="B1275" s="1" t="n">
        <v>44482</v>
      </c>
      <c r="C1275" s="1" t="n">
        <v>45962</v>
      </c>
      <c r="D1275" t="inlineStr">
        <is>
          <t>JÖNKÖPINGS LÄN</t>
        </is>
      </c>
      <c r="E1275" t="inlineStr">
        <is>
          <t>VETLANDA</t>
        </is>
      </c>
      <c r="G1275" t="n">
        <v>3.1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63879-2021</t>
        </is>
      </c>
      <c r="B1276" s="1" t="n">
        <v>44509.63892361111</v>
      </c>
      <c r="C1276" s="1" t="n">
        <v>45962</v>
      </c>
      <c r="D1276" t="inlineStr">
        <is>
          <t>JÖNKÖPINGS LÄN</t>
        </is>
      </c>
      <c r="E1276" t="inlineStr">
        <is>
          <t>VETLANDA</t>
        </is>
      </c>
      <c r="G1276" t="n">
        <v>3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55679-2022</t>
        </is>
      </c>
      <c r="B1277" s="1" t="n">
        <v>44888.50229166666</v>
      </c>
      <c r="C1277" s="1" t="n">
        <v>45962</v>
      </c>
      <c r="D1277" t="inlineStr">
        <is>
          <t>JÖNKÖPINGS LÄN</t>
        </is>
      </c>
      <c r="E1277" t="inlineStr">
        <is>
          <t>TRANÅS</t>
        </is>
      </c>
      <c r="G1277" t="n">
        <v>5.5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55707-2022</t>
        </is>
      </c>
      <c r="B1278" s="1" t="n">
        <v>44888</v>
      </c>
      <c r="C1278" s="1" t="n">
        <v>45962</v>
      </c>
      <c r="D1278" t="inlineStr">
        <is>
          <t>JÖNKÖPINGS LÄN</t>
        </is>
      </c>
      <c r="E1278" t="inlineStr">
        <is>
          <t>ANEBY</t>
        </is>
      </c>
      <c r="G1278" t="n">
        <v>0.6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50014-2022</t>
        </is>
      </c>
      <c r="B1279" s="1" t="n">
        <v>44865.44037037037</v>
      </c>
      <c r="C1279" s="1" t="n">
        <v>45962</v>
      </c>
      <c r="D1279" t="inlineStr">
        <is>
          <t>JÖNKÖPINGS LÄN</t>
        </is>
      </c>
      <c r="E1279" t="inlineStr">
        <is>
          <t>VAGGERYD</t>
        </is>
      </c>
      <c r="G1279" t="n">
        <v>1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46476-2022</t>
        </is>
      </c>
      <c r="B1280" s="1" t="n">
        <v>44848.54179398148</v>
      </c>
      <c r="C1280" s="1" t="n">
        <v>45962</v>
      </c>
      <c r="D1280" t="inlineStr">
        <is>
          <t>JÖNKÖPINGS LÄN</t>
        </is>
      </c>
      <c r="E1280" t="inlineStr">
        <is>
          <t>VÄRNAMO</t>
        </is>
      </c>
      <c r="F1280" t="inlineStr">
        <is>
          <t>Sveaskog</t>
        </is>
      </c>
      <c r="G1280" t="n">
        <v>0.8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16307-2022</t>
        </is>
      </c>
      <c r="B1281" s="1" t="n">
        <v>44670.58172453703</v>
      </c>
      <c r="C1281" s="1" t="n">
        <v>45962</v>
      </c>
      <c r="D1281" t="inlineStr">
        <is>
          <t>JÖNKÖPINGS LÄN</t>
        </is>
      </c>
      <c r="E1281" t="inlineStr">
        <is>
          <t>HABO</t>
        </is>
      </c>
      <c r="G1281" t="n">
        <v>5.7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16314-2022</t>
        </is>
      </c>
      <c r="B1282" s="1" t="n">
        <v>44670</v>
      </c>
      <c r="C1282" s="1" t="n">
        <v>45962</v>
      </c>
      <c r="D1282" t="inlineStr">
        <is>
          <t>JÖNKÖPINGS LÄN</t>
        </is>
      </c>
      <c r="E1282" t="inlineStr">
        <is>
          <t>NÄSSJÖ</t>
        </is>
      </c>
      <c r="G1282" t="n">
        <v>0.8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43199-2022</t>
        </is>
      </c>
      <c r="B1283" s="1" t="n">
        <v>44834.35900462963</v>
      </c>
      <c r="C1283" s="1" t="n">
        <v>45962</v>
      </c>
      <c r="D1283" t="inlineStr">
        <is>
          <t>JÖNKÖPINGS LÄN</t>
        </is>
      </c>
      <c r="E1283" t="inlineStr">
        <is>
          <t>VETLANDA</t>
        </is>
      </c>
      <c r="G1283" t="n">
        <v>0.5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3131-2022</t>
        </is>
      </c>
      <c r="B1284" s="1" t="n">
        <v>44582</v>
      </c>
      <c r="C1284" s="1" t="n">
        <v>45962</v>
      </c>
      <c r="D1284" t="inlineStr">
        <is>
          <t>JÖNKÖPINGS LÄN</t>
        </is>
      </c>
      <c r="E1284" t="inlineStr">
        <is>
          <t>SÄVSJÖ</t>
        </is>
      </c>
      <c r="G1284" t="n">
        <v>4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61579-2020</t>
        </is>
      </c>
      <c r="B1285" s="1" t="n">
        <v>44158</v>
      </c>
      <c r="C1285" s="1" t="n">
        <v>45962</v>
      </c>
      <c r="D1285" t="inlineStr">
        <is>
          <t>JÖNKÖPINGS LÄN</t>
        </is>
      </c>
      <c r="E1285" t="inlineStr">
        <is>
          <t>SÄVSJÖ</t>
        </is>
      </c>
      <c r="F1285" t="inlineStr">
        <is>
          <t>Sveaskog</t>
        </is>
      </c>
      <c r="G1285" t="n">
        <v>0.9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53570-2022</t>
        </is>
      </c>
      <c r="B1286" s="1" t="n">
        <v>44879.66258101852</v>
      </c>
      <c r="C1286" s="1" t="n">
        <v>45962</v>
      </c>
      <c r="D1286" t="inlineStr">
        <is>
          <t>JÖNKÖPINGS LÄN</t>
        </is>
      </c>
      <c r="E1286" t="inlineStr">
        <is>
          <t>VAGGERYD</t>
        </is>
      </c>
      <c r="G1286" t="n">
        <v>0.5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4620-2021</t>
        </is>
      </c>
      <c r="B1287" s="1" t="n">
        <v>44224</v>
      </c>
      <c r="C1287" s="1" t="n">
        <v>45962</v>
      </c>
      <c r="D1287" t="inlineStr">
        <is>
          <t>JÖNKÖPINGS LÄN</t>
        </is>
      </c>
      <c r="E1287" t="inlineStr">
        <is>
          <t>VETLANDA</t>
        </is>
      </c>
      <c r="G1287" t="n">
        <v>4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69927-2021</t>
        </is>
      </c>
      <c r="B1288" s="1" t="n">
        <v>44533.31344907408</v>
      </c>
      <c r="C1288" s="1" t="n">
        <v>45962</v>
      </c>
      <c r="D1288" t="inlineStr">
        <is>
          <t>JÖNKÖPINGS LÄN</t>
        </is>
      </c>
      <c r="E1288" t="inlineStr">
        <is>
          <t>SÄVSJÖ</t>
        </is>
      </c>
      <c r="G1288" t="n">
        <v>1.7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10802-2021</t>
        </is>
      </c>
      <c r="B1289" s="1" t="n">
        <v>44258</v>
      </c>
      <c r="C1289" s="1" t="n">
        <v>45962</v>
      </c>
      <c r="D1289" t="inlineStr">
        <is>
          <t>JÖNKÖPINGS LÄN</t>
        </is>
      </c>
      <c r="E1289" t="inlineStr">
        <is>
          <t>VETLANDA</t>
        </is>
      </c>
      <c r="G1289" t="n">
        <v>1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54584-2022</t>
        </is>
      </c>
      <c r="B1290" s="1" t="n">
        <v>44883.29135416666</v>
      </c>
      <c r="C1290" s="1" t="n">
        <v>45962</v>
      </c>
      <c r="D1290" t="inlineStr">
        <is>
          <t>JÖNKÖPINGS LÄN</t>
        </is>
      </c>
      <c r="E1290" t="inlineStr">
        <is>
          <t>SÄVSJÖ</t>
        </is>
      </c>
      <c r="G1290" t="n">
        <v>1.4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27582-2021</t>
        </is>
      </c>
      <c r="B1291" s="1" t="n">
        <v>44353</v>
      </c>
      <c r="C1291" s="1" t="n">
        <v>45962</v>
      </c>
      <c r="D1291" t="inlineStr">
        <is>
          <t>JÖNKÖPINGS LÄN</t>
        </is>
      </c>
      <c r="E1291" t="inlineStr">
        <is>
          <t>GISLAVED</t>
        </is>
      </c>
      <c r="G1291" t="n">
        <v>1.1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27583-2021</t>
        </is>
      </c>
      <c r="B1292" s="1" t="n">
        <v>44353</v>
      </c>
      <c r="C1292" s="1" t="n">
        <v>45962</v>
      </c>
      <c r="D1292" t="inlineStr">
        <is>
          <t>JÖNKÖPINGS LÄN</t>
        </is>
      </c>
      <c r="E1292" t="inlineStr">
        <is>
          <t>GISLAVED</t>
        </is>
      </c>
      <c r="G1292" t="n">
        <v>11.7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17369-2022</t>
        </is>
      </c>
      <c r="B1293" s="1" t="n">
        <v>44678.61560185185</v>
      </c>
      <c r="C1293" s="1" t="n">
        <v>45962</v>
      </c>
      <c r="D1293" t="inlineStr">
        <is>
          <t>JÖNKÖPINGS LÄN</t>
        </is>
      </c>
      <c r="E1293" t="inlineStr">
        <is>
          <t>NÄSSJÖ</t>
        </is>
      </c>
      <c r="G1293" t="n">
        <v>12.9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42710-2021</t>
        </is>
      </c>
      <c r="B1294" s="1" t="n">
        <v>44428.58511574074</v>
      </c>
      <c r="C1294" s="1" t="n">
        <v>45962</v>
      </c>
      <c r="D1294" t="inlineStr">
        <is>
          <t>JÖNKÖPINGS LÄN</t>
        </is>
      </c>
      <c r="E1294" t="inlineStr">
        <is>
          <t>JÖNKÖPING</t>
        </is>
      </c>
      <c r="F1294" t="inlineStr">
        <is>
          <t>Sveaskog</t>
        </is>
      </c>
      <c r="G1294" t="n">
        <v>0.9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29183-2022</t>
        </is>
      </c>
      <c r="B1295" s="1" t="n">
        <v>44750.54332175926</v>
      </c>
      <c r="C1295" s="1" t="n">
        <v>45962</v>
      </c>
      <c r="D1295" t="inlineStr">
        <is>
          <t>JÖNKÖPINGS LÄN</t>
        </is>
      </c>
      <c r="E1295" t="inlineStr">
        <is>
          <t>NÄSSJÖ</t>
        </is>
      </c>
      <c r="G1295" t="n">
        <v>0.5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30772-2021</t>
        </is>
      </c>
      <c r="B1296" s="1" t="n">
        <v>44365</v>
      </c>
      <c r="C1296" s="1" t="n">
        <v>45962</v>
      </c>
      <c r="D1296" t="inlineStr">
        <is>
          <t>JÖNKÖPINGS LÄN</t>
        </is>
      </c>
      <c r="E1296" t="inlineStr">
        <is>
          <t>VETLANDA</t>
        </is>
      </c>
      <c r="G1296" t="n">
        <v>0.8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29178-2022</t>
        </is>
      </c>
      <c r="B1297" s="1" t="n">
        <v>44750</v>
      </c>
      <c r="C1297" s="1" t="n">
        <v>45962</v>
      </c>
      <c r="D1297" t="inlineStr">
        <is>
          <t>JÖNKÖPINGS LÄN</t>
        </is>
      </c>
      <c r="E1297" t="inlineStr">
        <is>
          <t>VETLANDA</t>
        </is>
      </c>
      <c r="G1297" t="n">
        <v>0.5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26905-2022</t>
        </is>
      </c>
      <c r="B1298" s="1" t="n">
        <v>44740</v>
      </c>
      <c r="C1298" s="1" t="n">
        <v>45962</v>
      </c>
      <c r="D1298" t="inlineStr">
        <is>
          <t>JÖNKÖPINGS LÄN</t>
        </is>
      </c>
      <c r="E1298" t="inlineStr">
        <is>
          <t>VETLANDA</t>
        </is>
      </c>
      <c r="F1298" t="inlineStr">
        <is>
          <t>Kyrkan</t>
        </is>
      </c>
      <c r="G1298" t="n">
        <v>3.5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59022-2021</t>
        </is>
      </c>
      <c r="B1299" s="1" t="n">
        <v>44490.34033564815</v>
      </c>
      <c r="C1299" s="1" t="n">
        <v>45962</v>
      </c>
      <c r="D1299" t="inlineStr">
        <is>
          <t>JÖNKÖPINGS LÄN</t>
        </is>
      </c>
      <c r="E1299" t="inlineStr">
        <is>
          <t>VAGGERYD</t>
        </is>
      </c>
      <c r="F1299" t="inlineStr">
        <is>
          <t>Sveaskog</t>
        </is>
      </c>
      <c r="G1299" t="n">
        <v>2.2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23007-2021</t>
        </is>
      </c>
      <c r="B1300" s="1" t="n">
        <v>44328.84101851852</v>
      </c>
      <c r="C1300" s="1" t="n">
        <v>45962</v>
      </c>
      <c r="D1300" t="inlineStr">
        <is>
          <t>JÖNKÖPINGS LÄN</t>
        </is>
      </c>
      <c r="E1300" t="inlineStr">
        <is>
          <t>EKSJÖ</t>
        </is>
      </c>
      <c r="G1300" t="n">
        <v>0.5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19188-2021</t>
        </is>
      </c>
      <c r="B1301" s="1" t="n">
        <v>44308.74270833333</v>
      </c>
      <c r="C1301" s="1" t="n">
        <v>45962</v>
      </c>
      <c r="D1301" t="inlineStr">
        <is>
          <t>JÖNKÖPINGS LÄN</t>
        </is>
      </c>
      <c r="E1301" t="inlineStr">
        <is>
          <t>VETLANDA</t>
        </is>
      </c>
      <c r="G1301" t="n">
        <v>2.2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66930-2021</t>
        </is>
      </c>
      <c r="B1302" s="1" t="n">
        <v>44522.55723379629</v>
      </c>
      <c r="C1302" s="1" t="n">
        <v>45962</v>
      </c>
      <c r="D1302" t="inlineStr">
        <is>
          <t>JÖNKÖPINGS LÄN</t>
        </is>
      </c>
      <c r="E1302" t="inlineStr">
        <is>
          <t>EKSJÖ</t>
        </is>
      </c>
      <c r="G1302" t="n">
        <v>1.4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406-2022</t>
        </is>
      </c>
      <c r="B1303" s="1" t="n">
        <v>44565.71951388889</v>
      </c>
      <c r="C1303" s="1" t="n">
        <v>45962</v>
      </c>
      <c r="D1303" t="inlineStr">
        <is>
          <t>JÖNKÖPINGS LÄN</t>
        </is>
      </c>
      <c r="E1303" t="inlineStr">
        <is>
          <t>ANEBY</t>
        </is>
      </c>
      <c r="G1303" t="n">
        <v>0.8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45498-2021</t>
        </is>
      </c>
      <c r="B1304" s="1" t="n">
        <v>44440</v>
      </c>
      <c r="C1304" s="1" t="n">
        <v>45962</v>
      </c>
      <c r="D1304" t="inlineStr">
        <is>
          <t>JÖNKÖPINGS LÄN</t>
        </is>
      </c>
      <c r="E1304" t="inlineStr">
        <is>
          <t>VETLANDA</t>
        </is>
      </c>
      <c r="G1304" t="n">
        <v>0.5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45684-2021</t>
        </is>
      </c>
      <c r="B1305" s="1" t="n">
        <v>44441</v>
      </c>
      <c r="C1305" s="1" t="n">
        <v>45962</v>
      </c>
      <c r="D1305" t="inlineStr">
        <is>
          <t>JÖNKÖPINGS LÄN</t>
        </is>
      </c>
      <c r="E1305" t="inlineStr">
        <is>
          <t>HABO</t>
        </is>
      </c>
      <c r="G1305" t="n">
        <v>0.4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13619-2022</t>
        </is>
      </c>
      <c r="B1306" s="1" t="n">
        <v>44648</v>
      </c>
      <c r="C1306" s="1" t="n">
        <v>45962</v>
      </c>
      <c r="D1306" t="inlineStr">
        <is>
          <t>JÖNKÖPINGS LÄN</t>
        </is>
      </c>
      <c r="E1306" t="inlineStr">
        <is>
          <t>VÄRNAMO</t>
        </is>
      </c>
      <c r="G1306" t="n">
        <v>2.3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4370-2022</t>
        </is>
      </c>
      <c r="B1307" s="1" t="n">
        <v>44587</v>
      </c>
      <c r="C1307" s="1" t="n">
        <v>45962</v>
      </c>
      <c r="D1307" t="inlineStr">
        <is>
          <t>JÖNKÖPINGS LÄN</t>
        </is>
      </c>
      <c r="E1307" t="inlineStr">
        <is>
          <t>VETLANDA</t>
        </is>
      </c>
      <c r="G1307" t="n">
        <v>0.6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47070-2022</t>
        </is>
      </c>
      <c r="B1308" s="1" t="n">
        <v>44851</v>
      </c>
      <c r="C1308" s="1" t="n">
        <v>45962</v>
      </c>
      <c r="D1308" t="inlineStr">
        <is>
          <t>JÖNKÖPINGS LÄN</t>
        </is>
      </c>
      <c r="E1308" t="inlineStr">
        <is>
          <t>SÄVSJÖ</t>
        </is>
      </c>
      <c r="G1308" t="n">
        <v>2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28688-2022</t>
        </is>
      </c>
      <c r="B1309" s="1" t="n">
        <v>44748.7228125</v>
      </c>
      <c r="C1309" s="1" t="n">
        <v>45962</v>
      </c>
      <c r="D1309" t="inlineStr">
        <is>
          <t>JÖNKÖPINGS LÄN</t>
        </is>
      </c>
      <c r="E1309" t="inlineStr">
        <is>
          <t>EKSJÖ</t>
        </is>
      </c>
      <c r="G1309" t="n">
        <v>0.6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18479-2021</t>
        </is>
      </c>
      <c r="B1310" s="1" t="n">
        <v>44306</v>
      </c>
      <c r="C1310" s="1" t="n">
        <v>45962</v>
      </c>
      <c r="D1310" t="inlineStr">
        <is>
          <t>JÖNKÖPINGS LÄN</t>
        </is>
      </c>
      <c r="E1310" t="inlineStr">
        <is>
          <t>EKSJÖ</t>
        </is>
      </c>
      <c r="G1310" t="n">
        <v>0.7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36861-2022</t>
        </is>
      </c>
      <c r="B1311" s="1" t="n">
        <v>44805</v>
      </c>
      <c r="C1311" s="1" t="n">
        <v>45962</v>
      </c>
      <c r="D1311" t="inlineStr">
        <is>
          <t>JÖNKÖPINGS LÄN</t>
        </is>
      </c>
      <c r="E1311" t="inlineStr">
        <is>
          <t>JÖNKÖPING</t>
        </is>
      </c>
      <c r="F1311" t="inlineStr">
        <is>
          <t>Sveaskog</t>
        </is>
      </c>
      <c r="G1311" t="n">
        <v>1.1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59011-2021</t>
        </is>
      </c>
      <c r="B1312" s="1" t="n">
        <v>44490.33414351852</v>
      </c>
      <c r="C1312" s="1" t="n">
        <v>45962</v>
      </c>
      <c r="D1312" t="inlineStr">
        <is>
          <t>JÖNKÖPINGS LÄN</t>
        </is>
      </c>
      <c r="E1312" t="inlineStr">
        <is>
          <t>VAGGERYD</t>
        </is>
      </c>
      <c r="F1312" t="inlineStr">
        <is>
          <t>Sveaskog</t>
        </is>
      </c>
      <c r="G1312" t="n">
        <v>0.7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1111-2021</t>
        </is>
      </c>
      <c r="B1313" s="1" t="n">
        <v>44207</v>
      </c>
      <c r="C1313" s="1" t="n">
        <v>45962</v>
      </c>
      <c r="D1313" t="inlineStr">
        <is>
          <t>JÖNKÖPINGS LÄN</t>
        </is>
      </c>
      <c r="E1313" t="inlineStr">
        <is>
          <t>VAGGERYD</t>
        </is>
      </c>
      <c r="G1313" t="n">
        <v>0.5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37851-2022</t>
        </is>
      </c>
      <c r="B1314" s="1" t="n">
        <v>44811</v>
      </c>
      <c r="C1314" s="1" t="n">
        <v>45962</v>
      </c>
      <c r="D1314" t="inlineStr">
        <is>
          <t>JÖNKÖPINGS LÄN</t>
        </is>
      </c>
      <c r="E1314" t="inlineStr">
        <is>
          <t>JÖNKÖPING</t>
        </is>
      </c>
      <c r="G1314" t="n">
        <v>1.1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53966-2021</t>
        </is>
      </c>
      <c r="B1315" s="1" t="n">
        <v>44469.94690972222</v>
      </c>
      <c r="C1315" s="1" t="n">
        <v>45962</v>
      </c>
      <c r="D1315" t="inlineStr">
        <is>
          <t>JÖNKÖPINGS LÄN</t>
        </is>
      </c>
      <c r="E1315" t="inlineStr">
        <is>
          <t>VÄRNAMO</t>
        </is>
      </c>
      <c r="G1315" t="n">
        <v>1.6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54004-2021</t>
        </is>
      </c>
      <c r="B1316" s="1" t="n">
        <v>44470.34335648148</v>
      </c>
      <c r="C1316" s="1" t="n">
        <v>45962</v>
      </c>
      <c r="D1316" t="inlineStr">
        <is>
          <t>JÖNKÖPINGS LÄN</t>
        </is>
      </c>
      <c r="E1316" t="inlineStr">
        <is>
          <t>VETLANDA</t>
        </is>
      </c>
      <c r="G1316" t="n">
        <v>1.4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11418-2022</t>
        </is>
      </c>
      <c r="B1317" s="1" t="n">
        <v>44630</v>
      </c>
      <c r="C1317" s="1" t="n">
        <v>45962</v>
      </c>
      <c r="D1317" t="inlineStr">
        <is>
          <t>JÖNKÖPINGS LÄN</t>
        </is>
      </c>
      <c r="E1317" t="inlineStr">
        <is>
          <t>EKSJÖ</t>
        </is>
      </c>
      <c r="G1317" t="n">
        <v>0.6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10741-2021</t>
        </is>
      </c>
      <c r="B1318" s="1" t="n">
        <v>44259</v>
      </c>
      <c r="C1318" s="1" t="n">
        <v>45962</v>
      </c>
      <c r="D1318" t="inlineStr">
        <is>
          <t>JÖNKÖPINGS LÄN</t>
        </is>
      </c>
      <c r="E1318" t="inlineStr">
        <is>
          <t>VETLANDA</t>
        </is>
      </c>
      <c r="G1318" t="n">
        <v>0.7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4820-2022</t>
        </is>
      </c>
      <c r="B1319" s="1" t="n">
        <v>44592.71334490741</v>
      </c>
      <c r="C1319" s="1" t="n">
        <v>45962</v>
      </c>
      <c r="D1319" t="inlineStr">
        <is>
          <t>JÖNKÖPINGS LÄN</t>
        </is>
      </c>
      <c r="E1319" t="inlineStr">
        <is>
          <t>VETLANDA</t>
        </is>
      </c>
      <c r="G1319" t="n">
        <v>0.5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41195-2021</t>
        </is>
      </c>
      <c r="B1320" s="1" t="n">
        <v>44424.37128472222</v>
      </c>
      <c r="C1320" s="1" t="n">
        <v>45962</v>
      </c>
      <c r="D1320" t="inlineStr">
        <is>
          <t>JÖNKÖPINGS LÄN</t>
        </is>
      </c>
      <c r="E1320" t="inlineStr">
        <is>
          <t>NÄSSJÖ</t>
        </is>
      </c>
      <c r="G1320" t="n">
        <v>0.6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30781-2021</t>
        </is>
      </c>
      <c r="B1321" s="1" t="n">
        <v>44365.48976851852</v>
      </c>
      <c r="C1321" s="1" t="n">
        <v>45962</v>
      </c>
      <c r="D1321" t="inlineStr">
        <is>
          <t>JÖNKÖPINGS LÄN</t>
        </is>
      </c>
      <c r="E1321" t="inlineStr">
        <is>
          <t>GISLAVED</t>
        </is>
      </c>
      <c r="G1321" t="n">
        <v>1.6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17672-2022</t>
        </is>
      </c>
      <c r="B1322" s="1" t="n">
        <v>44680</v>
      </c>
      <c r="C1322" s="1" t="n">
        <v>45962</v>
      </c>
      <c r="D1322" t="inlineStr">
        <is>
          <t>JÖNKÖPINGS LÄN</t>
        </is>
      </c>
      <c r="E1322" t="inlineStr">
        <is>
          <t>VAGGERYD</t>
        </is>
      </c>
      <c r="G1322" t="n">
        <v>1.8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53564-2022</t>
        </is>
      </c>
      <c r="B1323" s="1" t="n">
        <v>44879.64934027778</v>
      </c>
      <c r="C1323" s="1" t="n">
        <v>45962</v>
      </c>
      <c r="D1323" t="inlineStr">
        <is>
          <t>JÖNKÖPINGS LÄN</t>
        </is>
      </c>
      <c r="E1323" t="inlineStr">
        <is>
          <t>EKSJÖ</t>
        </is>
      </c>
      <c r="G1323" t="n">
        <v>1.3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1791-2021</t>
        </is>
      </c>
      <c r="B1324" s="1" t="n">
        <v>44210.33530092592</v>
      </c>
      <c r="C1324" s="1" t="n">
        <v>45962</v>
      </c>
      <c r="D1324" t="inlineStr">
        <is>
          <t>JÖNKÖPINGS LÄN</t>
        </is>
      </c>
      <c r="E1324" t="inlineStr">
        <is>
          <t>ANEBY</t>
        </is>
      </c>
      <c r="G1324" t="n">
        <v>0.9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10592-2022</t>
        </is>
      </c>
      <c r="B1325" s="1" t="n">
        <v>44624</v>
      </c>
      <c r="C1325" s="1" t="n">
        <v>45962</v>
      </c>
      <c r="D1325" t="inlineStr">
        <is>
          <t>JÖNKÖPINGS LÄN</t>
        </is>
      </c>
      <c r="E1325" t="inlineStr">
        <is>
          <t>SÄVSJÖ</t>
        </is>
      </c>
      <c r="G1325" t="n">
        <v>0.7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35450-2022</t>
        </is>
      </c>
      <c r="B1326" s="1" t="n">
        <v>44798</v>
      </c>
      <c r="C1326" s="1" t="n">
        <v>45962</v>
      </c>
      <c r="D1326" t="inlineStr">
        <is>
          <t>JÖNKÖPINGS LÄN</t>
        </is>
      </c>
      <c r="E1326" t="inlineStr">
        <is>
          <t>VAGGERYD</t>
        </is>
      </c>
      <c r="G1326" t="n">
        <v>0.5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50884-2022</t>
        </is>
      </c>
      <c r="B1327" s="1" t="n">
        <v>44867.59149305556</v>
      </c>
      <c r="C1327" s="1" t="n">
        <v>45962</v>
      </c>
      <c r="D1327" t="inlineStr">
        <is>
          <t>JÖNKÖPINGS LÄN</t>
        </is>
      </c>
      <c r="E1327" t="inlineStr">
        <is>
          <t>GISLAVED</t>
        </is>
      </c>
      <c r="G1327" t="n">
        <v>1.9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33556-2022</t>
        </is>
      </c>
      <c r="B1328" s="1" t="n">
        <v>44789.3846412037</v>
      </c>
      <c r="C1328" s="1" t="n">
        <v>45962</v>
      </c>
      <c r="D1328" t="inlineStr">
        <is>
          <t>JÖNKÖPINGS LÄN</t>
        </is>
      </c>
      <c r="E1328" t="inlineStr">
        <is>
          <t>SÄVSJÖ</t>
        </is>
      </c>
      <c r="G1328" t="n">
        <v>1.7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41569-2021</t>
        </is>
      </c>
      <c r="B1329" s="1" t="n">
        <v>44424</v>
      </c>
      <c r="C1329" s="1" t="n">
        <v>45962</v>
      </c>
      <c r="D1329" t="inlineStr">
        <is>
          <t>JÖNKÖPINGS LÄN</t>
        </is>
      </c>
      <c r="E1329" t="inlineStr">
        <is>
          <t>VETLANDA</t>
        </is>
      </c>
      <c r="G1329" t="n">
        <v>2.1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46514-2021</t>
        </is>
      </c>
      <c r="B1330" s="1" t="n">
        <v>44445.44008101852</v>
      </c>
      <c r="C1330" s="1" t="n">
        <v>45962</v>
      </c>
      <c r="D1330" t="inlineStr">
        <is>
          <t>JÖNKÖPINGS LÄN</t>
        </is>
      </c>
      <c r="E1330" t="inlineStr">
        <is>
          <t>SÄVSJÖ</t>
        </is>
      </c>
      <c r="G1330" t="n">
        <v>0.6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26763-2022</t>
        </is>
      </c>
      <c r="B1331" s="1" t="n">
        <v>44739</v>
      </c>
      <c r="C1331" s="1" t="n">
        <v>45962</v>
      </c>
      <c r="D1331" t="inlineStr">
        <is>
          <t>JÖNKÖPINGS LÄN</t>
        </is>
      </c>
      <c r="E1331" t="inlineStr">
        <is>
          <t>ANEBY</t>
        </is>
      </c>
      <c r="G1331" t="n">
        <v>1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26766-2022</t>
        </is>
      </c>
      <c r="B1332" s="1" t="n">
        <v>44739</v>
      </c>
      <c r="C1332" s="1" t="n">
        <v>45962</v>
      </c>
      <c r="D1332" t="inlineStr">
        <is>
          <t>JÖNKÖPINGS LÄN</t>
        </is>
      </c>
      <c r="E1332" t="inlineStr">
        <is>
          <t>ANEBY</t>
        </is>
      </c>
      <c r="G1332" t="n">
        <v>3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26768-2022</t>
        </is>
      </c>
      <c r="B1333" s="1" t="n">
        <v>44739</v>
      </c>
      <c r="C1333" s="1" t="n">
        <v>45962</v>
      </c>
      <c r="D1333" t="inlineStr">
        <is>
          <t>JÖNKÖPINGS LÄN</t>
        </is>
      </c>
      <c r="E1333" t="inlineStr">
        <is>
          <t>ANEBY</t>
        </is>
      </c>
      <c r="G1333" t="n">
        <v>2.8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65868-2021</t>
        </is>
      </c>
      <c r="B1334" s="1" t="n">
        <v>44517</v>
      </c>
      <c r="C1334" s="1" t="n">
        <v>45962</v>
      </c>
      <c r="D1334" t="inlineStr">
        <is>
          <t>JÖNKÖPINGS LÄN</t>
        </is>
      </c>
      <c r="E1334" t="inlineStr">
        <is>
          <t>VETLANDA</t>
        </is>
      </c>
      <c r="G1334" t="n">
        <v>0.5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40919-2022</t>
        </is>
      </c>
      <c r="B1335" s="1" t="n">
        <v>44825.40940972222</v>
      </c>
      <c r="C1335" s="1" t="n">
        <v>45962</v>
      </c>
      <c r="D1335" t="inlineStr">
        <is>
          <t>JÖNKÖPINGS LÄN</t>
        </is>
      </c>
      <c r="E1335" t="inlineStr">
        <is>
          <t>JÖNKÖPING</t>
        </is>
      </c>
      <c r="F1335" t="inlineStr">
        <is>
          <t>Sveaskog</t>
        </is>
      </c>
      <c r="G1335" t="n">
        <v>2.8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9436-2022</t>
        </is>
      </c>
      <c r="B1336" s="1" t="n">
        <v>44616.69247685185</v>
      </c>
      <c r="C1336" s="1" t="n">
        <v>45962</v>
      </c>
      <c r="D1336" t="inlineStr">
        <is>
          <t>JÖNKÖPINGS LÄN</t>
        </is>
      </c>
      <c r="E1336" t="inlineStr">
        <is>
          <t>EKSJÖ</t>
        </is>
      </c>
      <c r="G1336" t="n">
        <v>1.8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66503-2020</t>
        </is>
      </c>
      <c r="B1337" s="1" t="n">
        <v>44178</v>
      </c>
      <c r="C1337" s="1" t="n">
        <v>45962</v>
      </c>
      <c r="D1337" t="inlineStr">
        <is>
          <t>JÖNKÖPINGS LÄN</t>
        </is>
      </c>
      <c r="E1337" t="inlineStr">
        <is>
          <t>VÄRNAMO</t>
        </is>
      </c>
      <c r="F1337" t="inlineStr">
        <is>
          <t>Sveaskog</t>
        </is>
      </c>
      <c r="G1337" t="n">
        <v>2.1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8829-2022</t>
        </is>
      </c>
      <c r="B1338" s="1" t="n">
        <v>44614</v>
      </c>
      <c r="C1338" s="1" t="n">
        <v>45962</v>
      </c>
      <c r="D1338" t="inlineStr">
        <is>
          <t>JÖNKÖPINGS LÄN</t>
        </is>
      </c>
      <c r="E1338" t="inlineStr">
        <is>
          <t>JÖNKÖPING</t>
        </is>
      </c>
      <c r="F1338" t="inlineStr">
        <is>
          <t>Kyrkan</t>
        </is>
      </c>
      <c r="G1338" t="n">
        <v>2.7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64065-2021</t>
        </is>
      </c>
      <c r="B1339" s="1" t="n">
        <v>44510</v>
      </c>
      <c r="C1339" s="1" t="n">
        <v>45962</v>
      </c>
      <c r="D1339" t="inlineStr">
        <is>
          <t>JÖNKÖPINGS LÄN</t>
        </is>
      </c>
      <c r="E1339" t="inlineStr">
        <is>
          <t>VAGGERYD</t>
        </is>
      </c>
      <c r="G1339" t="n">
        <v>1.2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64069-2021</t>
        </is>
      </c>
      <c r="B1340" s="1" t="n">
        <v>44510.39528935185</v>
      </c>
      <c r="C1340" s="1" t="n">
        <v>45962</v>
      </c>
      <c r="D1340" t="inlineStr">
        <is>
          <t>JÖNKÖPINGS LÄN</t>
        </is>
      </c>
      <c r="E1340" t="inlineStr">
        <is>
          <t>VAGGERYD</t>
        </is>
      </c>
      <c r="G1340" t="n">
        <v>1.3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66510-2020</t>
        </is>
      </c>
      <c r="B1341" s="1" t="n">
        <v>44178</v>
      </c>
      <c r="C1341" s="1" t="n">
        <v>45962</v>
      </c>
      <c r="D1341" t="inlineStr">
        <is>
          <t>JÖNKÖPINGS LÄN</t>
        </is>
      </c>
      <c r="E1341" t="inlineStr">
        <is>
          <t>VÄRNAMO</t>
        </is>
      </c>
      <c r="F1341" t="inlineStr">
        <is>
          <t>Sveaskog</t>
        </is>
      </c>
      <c r="G1341" t="n">
        <v>1.1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49221-2022</t>
        </is>
      </c>
      <c r="B1342" s="1" t="n">
        <v>44861.34555555556</v>
      </c>
      <c r="C1342" s="1" t="n">
        <v>45962</v>
      </c>
      <c r="D1342" t="inlineStr">
        <is>
          <t>JÖNKÖPINGS LÄN</t>
        </is>
      </c>
      <c r="E1342" t="inlineStr">
        <is>
          <t>SÄVSJÖ</t>
        </is>
      </c>
      <c r="G1342" t="n">
        <v>0.6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363-2022</t>
        </is>
      </c>
      <c r="B1343" s="1" t="n">
        <v>44565</v>
      </c>
      <c r="C1343" s="1" t="n">
        <v>45962</v>
      </c>
      <c r="D1343" t="inlineStr">
        <is>
          <t>JÖNKÖPINGS LÄN</t>
        </is>
      </c>
      <c r="E1343" t="inlineStr">
        <is>
          <t>SÄVSJÖ</t>
        </is>
      </c>
      <c r="G1343" t="n">
        <v>5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14990-2022</t>
        </is>
      </c>
      <c r="B1344" s="1" t="n">
        <v>44657</v>
      </c>
      <c r="C1344" s="1" t="n">
        <v>45962</v>
      </c>
      <c r="D1344" t="inlineStr">
        <is>
          <t>JÖNKÖPINGS LÄN</t>
        </is>
      </c>
      <c r="E1344" t="inlineStr">
        <is>
          <t>VETLANDA</t>
        </is>
      </c>
      <c r="G1344" t="n">
        <v>0.3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9240-2021</t>
        </is>
      </c>
      <c r="B1345" s="1" t="n">
        <v>44250</v>
      </c>
      <c r="C1345" s="1" t="n">
        <v>45962</v>
      </c>
      <c r="D1345" t="inlineStr">
        <is>
          <t>JÖNKÖPINGS LÄN</t>
        </is>
      </c>
      <c r="E1345" t="inlineStr">
        <is>
          <t>TRANÅS</t>
        </is>
      </c>
      <c r="G1345" t="n">
        <v>2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62354-2021</t>
        </is>
      </c>
      <c r="B1346" s="1" t="n">
        <v>44503</v>
      </c>
      <c r="C1346" s="1" t="n">
        <v>45962</v>
      </c>
      <c r="D1346" t="inlineStr">
        <is>
          <t>JÖNKÖPINGS LÄN</t>
        </is>
      </c>
      <c r="E1346" t="inlineStr">
        <is>
          <t>ANEBY</t>
        </is>
      </c>
      <c r="G1346" t="n">
        <v>1.9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1267-2022</t>
        </is>
      </c>
      <c r="B1347" s="1" t="n">
        <v>44572.64497685185</v>
      </c>
      <c r="C1347" s="1" t="n">
        <v>45962</v>
      </c>
      <c r="D1347" t="inlineStr">
        <is>
          <t>JÖNKÖPINGS LÄN</t>
        </is>
      </c>
      <c r="E1347" t="inlineStr">
        <is>
          <t>VETLANDA</t>
        </is>
      </c>
      <c r="G1347" t="n">
        <v>0.7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48739-2022</t>
        </is>
      </c>
      <c r="B1348" s="1" t="n">
        <v>44859</v>
      </c>
      <c r="C1348" s="1" t="n">
        <v>45962</v>
      </c>
      <c r="D1348" t="inlineStr">
        <is>
          <t>JÖNKÖPINGS LÄN</t>
        </is>
      </c>
      <c r="E1348" t="inlineStr">
        <is>
          <t>HABO</t>
        </is>
      </c>
      <c r="G1348" t="n">
        <v>0.2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67908-2021</t>
        </is>
      </c>
      <c r="B1349" s="1" t="n">
        <v>44525.59394675926</v>
      </c>
      <c r="C1349" s="1" t="n">
        <v>45962</v>
      </c>
      <c r="D1349" t="inlineStr">
        <is>
          <t>JÖNKÖPINGS LÄN</t>
        </is>
      </c>
      <c r="E1349" t="inlineStr">
        <is>
          <t>VAGGERYD</t>
        </is>
      </c>
      <c r="F1349" t="inlineStr">
        <is>
          <t>Sveaskog</t>
        </is>
      </c>
      <c r="G1349" t="n">
        <v>2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27792-2022</t>
        </is>
      </c>
      <c r="B1350" s="1" t="n">
        <v>44743</v>
      </c>
      <c r="C1350" s="1" t="n">
        <v>45962</v>
      </c>
      <c r="D1350" t="inlineStr">
        <is>
          <t>JÖNKÖPINGS LÄN</t>
        </is>
      </c>
      <c r="E1350" t="inlineStr">
        <is>
          <t>VETLANDA</t>
        </is>
      </c>
      <c r="G1350" t="n">
        <v>1.6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9441-2022</t>
        </is>
      </c>
      <c r="B1351" s="1" t="n">
        <v>44616.69456018518</v>
      </c>
      <c r="C1351" s="1" t="n">
        <v>45962</v>
      </c>
      <c r="D1351" t="inlineStr">
        <is>
          <t>JÖNKÖPINGS LÄN</t>
        </is>
      </c>
      <c r="E1351" t="inlineStr">
        <is>
          <t>EKSJÖ</t>
        </is>
      </c>
      <c r="G1351" t="n">
        <v>1.2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31735-2022</t>
        </is>
      </c>
      <c r="B1352" s="1" t="n">
        <v>44776.49858796296</v>
      </c>
      <c r="C1352" s="1" t="n">
        <v>45962</v>
      </c>
      <c r="D1352" t="inlineStr">
        <is>
          <t>JÖNKÖPINGS LÄN</t>
        </is>
      </c>
      <c r="E1352" t="inlineStr">
        <is>
          <t>VÄRNAMO</t>
        </is>
      </c>
      <c r="G1352" t="n">
        <v>0.7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23477-2022</t>
        </is>
      </c>
      <c r="B1353" s="1" t="n">
        <v>44721.33517361111</v>
      </c>
      <c r="C1353" s="1" t="n">
        <v>45962</v>
      </c>
      <c r="D1353" t="inlineStr">
        <is>
          <t>JÖNKÖPINGS LÄN</t>
        </is>
      </c>
      <c r="E1353" t="inlineStr">
        <is>
          <t>VETLANDA</t>
        </is>
      </c>
      <c r="G1353" t="n">
        <v>0.6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42398-2022</t>
        </is>
      </c>
      <c r="B1354" s="1" t="n">
        <v>44831.42795138889</v>
      </c>
      <c r="C1354" s="1" t="n">
        <v>45962</v>
      </c>
      <c r="D1354" t="inlineStr">
        <is>
          <t>JÖNKÖPINGS LÄN</t>
        </is>
      </c>
      <c r="E1354" t="inlineStr">
        <is>
          <t>EKSJÖ</t>
        </is>
      </c>
      <c r="G1354" t="n">
        <v>0.8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14497-2021</t>
        </is>
      </c>
      <c r="B1355" s="1" t="n">
        <v>44279.61517361111</v>
      </c>
      <c r="C1355" s="1" t="n">
        <v>45962</v>
      </c>
      <c r="D1355" t="inlineStr">
        <is>
          <t>JÖNKÖPINGS LÄN</t>
        </is>
      </c>
      <c r="E1355" t="inlineStr">
        <is>
          <t>JÖNKÖPING</t>
        </is>
      </c>
      <c r="G1355" t="n">
        <v>1.3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72035-2021</t>
        </is>
      </c>
      <c r="B1356" s="1" t="n">
        <v>44544</v>
      </c>
      <c r="C1356" s="1" t="n">
        <v>45962</v>
      </c>
      <c r="D1356" t="inlineStr">
        <is>
          <t>JÖNKÖPINGS LÄN</t>
        </is>
      </c>
      <c r="E1356" t="inlineStr">
        <is>
          <t>GISLAVED</t>
        </is>
      </c>
      <c r="G1356" t="n">
        <v>0.7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73153-2021</t>
        </is>
      </c>
      <c r="B1357" s="1" t="n">
        <v>44550.52158564814</v>
      </c>
      <c r="C1357" s="1" t="n">
        <v>45962</v>
      </c>
      <c r="D1357" t="inlineStr">
        <is>
          <t>JÖNKÖPINGS LÄN</t>
        </is>
      </c>
      <c r="E1357" t="inlineStr">
        <is>
          <t>GISLAVED</t>
        </is>
      </c>
      <c r="G1357" t="n">
        <v>0.7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45467-2021</t>
        </is>
      </c>
      <c r="B1358" s="1" t="n">
        <v>44440.46774305555</v>
      </c>
      <c r="C1358" s="1" t="n">
        <v>45962</v>
      </c>
      <c r="D1358" t="inlineStr">
        <is>
          <t>JÖNKÖPINGS LÄN</t>
        </is>
      </c>
      <c r="E1358" t="inlineStr">
        <is>
          <t>VÄRNAMO</t>
        </is>
      </c>
      <c r="G1358" t="n">
        <v>1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41667-2022</t>
        </is>
      </c>
      <c r="B1359" s="1" t="n">
        <v>44827</v>
      </c>
      <c r="C1359" s="1" t="n">
        <v>45962</v>
      </c>
      <c r="D1359" t="inlineStr">
        <is>
          <t>JÖNKÖPINGS LÄN</t>
        </is>
      </c>
      <c r="E1359" t="inlineStr">
        <is>
          <t>VETLANDA</t>
        </is>
      </c>
      <c r="G1359" t="n">
        <v>1.9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52899-2021</t>
        </is>
      </c>
      <c r="B1360" s="1" t="n">
        <v>44467.50569444444</v>
      </c>
      <c r="C1360" s="1" t="n">
        <v>45962</v>
      </c>
      <c r="D1360" t="inlineStr">
        <is>
          <t>JÖNKÖPINGS LÄN</t>
        </is>
      </c>
      <c r="E1360" t="inlineStr">
        <is>
          <t>VAGGERYD</t>
        </is>
      </c>
      <c r="G1360" t="n">
        <v>0.6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53064-2021</t>
        </is>
      </c>
      <c r="B1361" s="1" t="n">
        <v>44467.79491898148</v>
      </c>
      <c r="C1361" s="1" t="n">
        <v>45962</v>
      </c>
      <c r="D1361" t="inlineStr">
        <is>
          <t>JÖNKÖPINGS LÄN</t>
        </is>
      </c>
      <c r="E1361" t="inlineStr">
        <is>
          <t>GNOSJÖ</t>
        </is>
      </c>
      <c r="G1361" t="n">
        <v>0.7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6075-2021</t>
        </is>
      </c>
      <c r="B1362" s="1" t="n">
        <v>44232</v>
      </c>
      <c r="C1362" s="1" t="n">
        <v>45962</v>
      </c>
      <c r="D1362" t="inlineStr">
        <is>
          <t>JÖNKÖPINGS LÄN</t>
        </is>
      </c>
      <c r="E1362" t="inlineStr">
        <is>
          <t>GISLAVED</t>
        </is>
      </c>
      <c r="G1362" t="n">
        <v>2.5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10360-2021</t>
        </is>
      </c>
      <c r="B1363" s="1" t="n">
        <v>44257</v>
      </c>
      <c r="C1363" s="1" t="n">
        <v>45962</v>
      </c>
      <c r="D1363" t="inlineStr">
        <is>
          <t>JÖNKÖPINGS LÄN</t>
        </is>
      </c>
      <c r="E1363" t="inlineStr">
        <is>
          <t>ANEBY</t>
        </is>
      </c>
      <c r="G1363" t="n">
        <v>2.6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9303-2021</t>
        </is>
      </c>
      <c r="B1364" s="1" t="n">
        <v>44250</v>
      </c>
      <c r="C1364" s="1" t="n">
        <v>45962</v>
      </c>
      <c r="D1364" t="inlineStr">
        <is>
          <t>JÖNKÖPINGS LÄN</t>
        </is>
      </c>
      <c r="E1364" t="inlineStr">
        <is>
          <t>TRANÅS</t>
        </is>
      </c>
      <c r="G1364" t="n">
        <v>1.4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60262-2020</t>
        </is>
      </c>
      <c r="B1365" s="1" t="n">
        <v>44152</v>
      </c>
      <c r="C1365" s="1" t="n">
        <v>45962</v>
      </c>
      <c r="D1365" t="inlineStr">
        <is>
          <t>JÖNKÖPINGS LÄN</t>
        </is>
      </c>
      <c r="E1365" t="inlineStr">
        <is>
          <t>EKSJÖ</t>
        </is>
      </c>
      <c r="F1365" t="inlineStr">
        <is>
          <t>Övriga Aktiebolag</t>
        </is>
      </c>
      <c r="G1365" t="n">
        <v>3.9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27726-2022</t>
        </is>
      </c>
      <c r="B1366" s="1" t="n">
        <v>44743</v>
      </c>
      <c r="C1366" s="1" t="n">
        <v>45962</v>
      </c>
      <c r="D1366" t="inlineStr">
        <is>
          <t>JÖNKÖPINGS LÄN</t>
        </is>
      </c>
      <c r="E1366" t="inlineStr">
        <is>
          <t>VETLANDA</t>
        </is>
      </c>
      <c r="G1366" t="n">
        <v>1.9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28684-2022</t>
        </is>
      </c>
      <c r="B1367" s="1" t="n">
        <v>44748.71412037037</v>
      </c>
      <c r="C1367" s="1" t="n">
        <v>45962</v>
      </c>
      <c r="D1367" t="inlineStr">
        <is>
          <t>JÖNKÖPINGS LÄN</t>
        </is>
      </c>
      <c r="E1367" t="inlineStr">
        <is>
          <t>EKSJÖ</t>
        </is>
      </c>
      <c r="G1367" t="n">
        <v>0.5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65175-2020</t>
        </is>
      </c>
      <c r="B1368" s="1" t="n">
        <v>44172.68037037037</v>
      </c>
      <c r="C1368" s="1" t="n">
        <v>45962</v>
      </c>
      <c r="D1368" t="inlineStr">
        <is>
          <t>JÖNKÖPINGS LÄN</t>
        </is>
      </c>
      <c r="E1368" t="inlineStr">
        <is>
          <t>VETLANDA</t>
        </is>
      </c>
      <c r="G1368" t="n">
        <v>0.7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3314-2022</t>
        </is>
      </c>
      <c r="B1369" s="1" t="n">
        <v>44585.30171296297</v>
      </c>
      <c r="C1369" s="1" t="n">
        <v>45962</v>
      </c>
      <c r="D1369" t="inlineStr">
        <is>
          <t>JÖNKÖPINGS LÄN</t>
        </is>
      </c>
      <c r="E1369" t="inlineStr">
        <is>
          <t>JÖNKÖPING</t>
        </is>
      </c>
      <c r="G1369" t="n">
        <v>0.5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20890-2022</t>
        </is>
      </c>
      <c r="B1370" s="1" t="n">
        <v>44701</v>
      </c>
      <c r="C1370" s="1" t="n">
        <v>45962</v>
      </c>
      <c r="D1370" t="inlineStr">
        <is>
          <t>JÖNKÖPINGS LÄN</t>
        </is>
      </c>
      <c r="E1370" t="inlineStr">
        <is>
          <t>EKSJÖ</t>
        </is>
      </c>
      <c r="G1370" t="n">
        <v>2.8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13404-2025</t>
        </is>
      </c>
      <c r="B1371" s="1" t="n">
        <v>45735.81920138889</v>
      </c>
      <c r="C1371" s="1" t="n">
        <v>45962</v>
      </c>
      <c r="D1371" t="inlineStr">
        <is>
          <t>JÖNKÖPINGS LÄN</t>
        </is>
      </c>
      <c r="E1371" t="inlineStr">
        <is>
          <t>JÖNKÖPING</t>
        </is>
      </c>
      <c r="G1371" t="n">
        <v>2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55158-2022</t>
        </is>
      </c>
      <c r="B1372" s="1" t="n">
        <v>44886.69478009259</v>
      </c>
      <c r="C1372" s="1" t="n">
        <v>45962</v>
      </c>
      <c r="D1372" t="inlineStr">
        <is>
          <t>JÖNKÖPINGS LÄN</t>
        </is>
      </c>
      <c r="E1372" t="inlineStr">
        <is>
          <t>ANEBY</t>
        </is>
      </c>
      <c r="G1372" t="n">
        <v>0.6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7346-2022</t>
        </is>
      </c>
      <c r="B1373" s="1" t="n">
        <v>44606</v>
      </c>
      <c r="C1373" s="1" t="n">
        <v>45962</v>
      </c>
      <c r="D1373" t="inlineStr">
        <is>
          <t>JÖNKÖPINGS LÄN</t>
        </is>
      </c>
      <c r="E1373" t="inlineStr">
        <is>
          <t>GISLAVED</t>
        </is>
      </c>
      <c r="G1373" t="n">
        <v>2.1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62904-2021</t>
        </is>
      </c>
      <c r="B1374" s="1" t="n">
        <v>44504</v>
      </c>
      <c r="C1374" s="1" t="n">
        <v>45962</v>
      </c>
      <c r="D1374" t="inlineStr">
        <is>
          <t>JÖNKÖPINGS LÄN</t>
        </is>
      </c>
      <c r="E1374" t="inlineStr">
        <is>
          <t>EKSJÖ</t>
        </is>
      </c>
      <c r="G1374" t="n">
        <v>6.2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56926-2021</t>
        </is>
      </c>
      <c r="B1375" s="1" t="n">
        <v>44482.31039351852</v>
      </c>
      <c r="C1375" s="1" t="n">
        <v>45962</v>
      </c>
      <c r="D1375" t="inlineStr">
        <is>
          <t>JÖNKÖPINGS LÄN</t>
        </is>
      </c>
      <c r="E1375" t="inlineStr">
        <is>
          <t>GISLAVED</t>
        </is>
      </c>
      <c r="G1375" t="n">
        <v>1.1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9281-2023</t>
        </is>
      </c>
      <c r="B1376" s="1" t="n">
        <v>44980.61952546296</v>
      </c>
      <c r="C1376" s="1" t="n">
        <v>45962</v>
      </c>
      <c r="D1376" t="inlineStr">
        <is>
          <t>JÖNKÖPINGS LÄN</t>
        </is>
      </c>
      <c r="E1376" t="inlineStr">
        <is>
          <t>EKSJÖ</t>
        </is>
      </c>
      <c r="G1376" t="n">
        <v>3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23868-2023</t>
        </is>
      </c>
      <c r="B1377" s="1" t="n">
        <v>45078.49630787037</v>
      </c>
      <c r="C1377" s="1" t="n">
        <v>45962</v>
      </c>
      <c r="D1377" t="inlineStr">
        <is>
          <t>JÖNKÖPINGS LÄN</t>
        </is>
      </c>
      <c r="E1377" t="inlineStr">
        <is>
          <t>EKSJÖ</t>
        </is>
      </c>
      <c r="G1377" t="n">
        <v>0.4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44790-2022</t>
        </is>
      </c>
      <c r="B1378" s="1" t="n">
        <v>44841.35984953704</v>
      </c>
      <c r="C1378" s="1" t="n">
        <v>45962</v>
      </c>
      <c r="D1378" t="inlineStr">
        <is>
          <t>JÖNKÖPINGS LÄN</t>
        </is>
      </c>
      <c r="E1378" t="inlineStr">
        <is>
          <t>VETLANDA</t>
        </is>
      </c>
      <c r="G1378" t="n">
        <v>0.6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52097-2021</t>
        </is>
      </c>
      <c r="B1379" s="1" t="n">
        <v>44462</v>
      </c>
      <c r="C1379" s="1" t="n">
        <v>45962</v>
      </c>
      <c r="D1379" t="inlineStr">
        <is>
          <t>JÖNKÖPINGS LÄN</t>
        </is>
      </c>
      <c r="E1379" t="inlineStr">
        <is>
          <t>EKSJÖ</t>
        </is>
      </c>
      <c r="G1379" t="n">
        <v>2.3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53086-2021</t>
        </is>
      </c>
      <c r="B1380" s="1" t="n">
        <v>44467</v>
      </c>
      <c r="C1380" s="1" t="n">
        <v>45962</v>
      </c>
      <c r="D1380" t="inlineStr">
        <is>
          <t>JÖNKÖPINGS LÄN</t>
        </is>
      </c>
      <c r="E1380" t="inlineStr">
        <is>
          <t>GISLAVED</t>
        </is>
      </c>
      <c r="G1380" t="n">
        <v>1.1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13352-2024</t>
        </is>
      </c>
      <c r="B1381" s="1" t="n">
        <v>45387.32704861111</v>
      </c>
      <c r="C1381" s="1" t="n">
        <v>45962</v>
      </c>
      <c r="D1381" t="inlineStr">
        <is>
          <t>JÖNKÖPINGS LÄN</t>
        </is>
      </c>
      <c r="E1381" t="inlineStr">
        <is>
          <t>GNOSJÖ</t>
        </is>
      </c>
      <c r="G1381" t="n">
        <v>2.1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95-2022</t>
        </is>
      </c>
      <c r="B1382" s="1" t="n">
        <v>44564</v>
      </c>
      <c r="C1382" s="1" t="n">
        <v>45962</v>
      </c>
      <c r="D1382" t="inlineStr">
        <is>
          <t>JÖNKÖPINGS LÄN</t>
        </is>
      </c>
      <c r="E1382" t="inlineStr">
        <is>
          <t>VETLANDA</t>
        </is>
      </c>
      <c r="G1382" t="n">
        <v>0.5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55031-2021</t>
        </is>
      </c>
      <c r="B1383" s="1" t="n">
        <v>44474</v>
      </c>
      <c r="C1383" s="1" t="n">
        <v>45962</v>
      </c>
      <c r="D1383" t="inlineStr">
        <is>
          <t>JÖNKÖPINGS LÄN</t>
        </is>
      </c>
      <c r="E1383" t="inlineStr">
        <is>
          <t>VETLANDA</t>
        </is>
      </c>
      <c r="G1383" t="n">
        <v>1.5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17973-2024</t>
        </is>
      </c>
      <c r="B1384" s="1" t="n">
        <v>45419.79274305556</v>
      </c>
      <c r="C1384" s="1" t="n">
        <v>45962</v>
      </c>
      <c r="D1384" t="inlineStr">
        <is>
          <t>JÖNKÖPINGS LÄN</t>
        </is>
      </c>
      <c r="E1384" t="inlineStr">
        <is>
          <t>ANEBY</t>
        </is>
      </c>
      <c r="F1384" t="inlineStr">
        <is>
          <t>Övriga Aktiebolag</t>
        </is>
      </c>
      <c r="G1384" t="n">
        <v>1.3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23984-2023</t>
        </is>
      </c>
      <c r="B1385" s="1" t="n">
        <v>45078</v>
      </c>
      <c r="C1385" s="1" t="n">
        <v>45962</v>
      </c>
      <c r="D1385" t="inlineStr">
        <is>
          <t>JÖNKÖPINGS LÄN</t>
        </is>
      </c>
      <c r="E1385" t="inlineStr">
        <is>
          <t>TRANÅS</t>
        </is>
      </c>
      <c r="G1385" t="n">
        <v>0.5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49133-2021</t>
        </is>
      </c>
      <c r="B1386" s="1" t="n">
        <v>44453.91236111111</v>
      </c>
      <c r="C1386" s="1" t="n">
        <v>45962</v>
      </c>
      <c r="D1386" t="inlineStr">
        <is>
          <t>JÖNKÖPINGS LÄN</t>
        </is>
      </c>
      <c r="E1386" t="inlineStr">
        <is>
          <t>VAGGERYD</t>
        </is>
      </c>
      <c r="G1386" t="n">
        <v>1.1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4298-2022</t>
        </is>
      </c>
      <c r="B1387" s="1" t="n">
        <v>44588</v>
      </c>
      <c r="C1387" s="1" t="n">
        <v>45962</v>
      </c>
      <c r="D1387" t="inlineStr">
        <is>
          <t>JÖNKÖPINGS LÄN</t>
        </is>
      </c>
      <c r="E1387" t="inlineStr">
        <is>
          <t>GNOSJÖ</t>
        </is>
      </c>
      <c r="G1387" t="n">
        <v>1.8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6673-2023</t>
        </is>
      </c>
      <c r="B1388" s="1" t="n">
        <v>44966</v>
      </c>
      <c r="C1388" s="1" t="n">
        <v>45962</v>
      </c>
      <c r="D1388" t="inlineStr">
        <is>
          <t>JÖNKÖPINGS LÄN</t>
        </is>
      </c>
      <c r="E1388" t="inlineStr">
        <is>
          <t>VÄRNAMO</t>
        </is>
      </c>
      <c r="G1388" t="n">
        <v>1.2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27795-2024</t>
        </is>
      </c>
      <c r="B1389" s="1" t="n">
        <v>45475.55986111111</v>
      </c>
      <c r="C1389" s="1" t="n">
        <v>45962</v>
      </c>
      <c r="D1389" t="inlineStr">
        <is>
          <t>JÖNKÖPINGS LÄN</t>
        </is>
      </c>
      <c r="E1389" t="inlineStr">
        <is>
          <t>HABO</t>
        </is>
      </c>
      <c r="G1389" t="n">
        <v>1.3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2348-2023</t>
        </is>
      </c>
      <c r="B1390" s="1" t="n">
        <v>44942.63164351852</v>
      </c>
      <c r="C1390" s="1" t="n">
        <v>45962</v>
      </c>
      <c r="D1390" t="inlineStr">
        <is>
          <t>JÖNKÖPINGS LÄN</t>
        </is>
      </c>
      <c r="E1390" t="inlineStr">
        <is>
          <t>EKSJÖ</t>
        </is>
      </c>
      <c r="G1390" t="n">
        <v>0.9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70446-2021</t>
        </is>
      </c>
      <c r="B1391" s="1" t="n">
        <v>44536.63584490741</v>
      </c>
      <c r="C1391" s="1" t="n">
        <v>45962</v>
      </c>
      <c r="D1391" t="inlineStr">
        <is>
          <t>JÖNKÖPINGS LÄN</t>
        </is>
      </c>
      <c r="E1391" t="inlineStr">
        <is>
          <t>VAGGERYD</t>
        </is>
      </c>
      <c r="G1391" t="n">
        <v>0.6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43615-2022</t>
        </is>
      </c>
      <c r="B1392" s="1" t="n">
        <v>44837.50092592592</v>
      </c>
      <c r="C1392" s="1" t="n">
        <v>45962</v>
      </c>
      <c r="D1392" t="inlineStr">
        <is>
          <t>JÖNKÖPINGS LÄN</t>
        </is>
      </c>
      <c r="E1392" t="inlineStr">
        <is>
          <t>VETLANDA</t>
        </is>
      </c>
      <c r="G1392" t="n">
        <v>1.1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49130-2021</t>
        </is>
      </c>
      <c r="B1393" s="1" t="n">
        <v>44453.90251157407</v>
      </c>
      <c r="C1393" s="1" t="n">
        <v>45962</v>
      </c>
      <c r="D1393" t="inlineStr">
        <is>
          <t>JÖNKÖPINGS LÄN</t>
        </is>
      </c>
      <c r="E1393" t="inlineStr">
        <is>
          <t>VAGGERYD</t>
        </is>
      </c>
      <c r="G1393" t="n">
        <v>0.3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49131-2021</t>
        </is>
      </c>
      <c r="B1394" s="1" t="n">
        <v>44453.90811342592</v>
      </c>
      <c r="C1394" s="1" t="n">
        <v>45962</v>
      </c>
      <c r="D1394" t="inlineStr">
        <is>
          <t>JÖNKÖPINGS LÄN</t>
        </is>
      </c>
      <c r="E1394" t="inlineStr">
        <is>
          <t>VAGGERYD</t>
        </is>
      </c>
      <c r="G1394" t="n">
        <v>4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8308-2023</t>
        </is>
      </c>
      <c r="B1395" s="1" t="n">
        <v>44974.689375</v>
      </c>
      <c r="C1395" s="1" t="n">
        <v>45962</v>
      </c>
      <c r="D1395" t="inlineStr">
        <is>
          <t>JÖNKÖPINGS LÄN</t>
        </is>
      </c>
      <c r="E1395" t="inlineStr">
        <is>
          <t>GISLAVED</t>
        </is>
      </c>
      <c r="G1395" t="n">
        <v>1.2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22702-2021</t>
        </is>
      </c>
      <c r="B1396" s="1" t="n">
        <v>44327.60373842593</v>
      </c>
      <c r="C1396" s="1" t="n">
        <v>45962</v>
      </c>
      <c r="D1396" t="inlineStr">
        <is>
          <t>JÖNKÖPINGS LÄN</t>
        </is>
      </c>
      <c r="E1396" t="inlineStr">
        <is>
          <t>VAGGERYD</t>
        </is>
      </c>
      <c r="G1396" t="n">
        <v>2.1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10887-2023</t>
        </is>
      </c>
      <c r="B1397" s="1" t="n">
        <v>44991.44572916667</v>
      </c>
      <c r="C1397" s="1" t="n">
        <v>45962</v>
      </c>
      <c r="D1397" t="inlineStr">
        <is>
          <t>JÖNKÖPINGS LÄN</t>
        </is>
      </c>
      <c r="E1397" t="inlineStr">
        <is>
          <t>SÄVSJÖ</t>
        </is>
      </c>
      <c r="G1397" t="n">
        <v>1.1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65975-2021</t>
        </is>
      </c>
      <c r="B1398" s="1" t="n">
        <v>44517.5355787037</v>
      </c>
      <c r="C1398" s="1" t="n">
        <v>45962</v>
      </c>
      <c r="D1398" t="inlineStr">
        <is>
          <t>JÖNKÖPINGS LÄN</t>
        </is>
      </c>
      <c r="E1398" t="inlineStr">
        <is>
          <t>TRANÅS</t>
        </is>
      </c>
      <c r="G1398" t="n">
        <v>1.5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10803-2024</t>
        </is>
      </c>
      <c r="B1399" s="1" t="n">
        <v>45369.62409722222</v>
      </c>
      <c r="C1399" s="1" t="n">
        <v>45962</v>
      </c>
      <c r="D1399" t="inlineStr">
        <is>
          <t>JÖNKÖPINGS LÄN</t>
        </is>
      </c>
      <c r="E1399" t="inlineStr">
        <is>
          <t>NÄSSJÖ</t>
        </is>
      </c>
      <c r="G1399" t="n">
        <v>1.8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37205-2021</t>
        </is>
      </c>
      <c r="B1400" s="1" t="n">
        <v>44396.6427662037</v>
      </c>
      <c r="C1400" s="1" t="n">
        <v>45962</v>
      </c>
      <c r="D1400" t="inlineStr">
        <is>
          <t>JÖNKÖPINGS LÄN</t>
        </is>
      </c>
      <c r="E1400" t="inlineStr">
        <is>
          <t>VETLANDA</t>
        </is>
      </c>
      <c r="G1400" t="n">
        <v>1.4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704-2022</t>
        </is>
      </c>
      <c r="B1401" s="1" t="n">
        <v>44568.56927083333</v>
      </c>
      <c r="C1401" s="1" t="n">
        <v>45962</v>
      </c>
      <c r="D1401" t="inlineStr">
        <is>
          <t>JÖNKÖPINGS LÄN</t>
        </is>
      </c>
      <c r="E1401" t="inlineStr">
        <is>
          <t>GNOSJÖ</t>
        </is>
      </c>
      <c r="G1401" t="n">
        <v>1.1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20687-2021</t>
        </is>
      </c>
      <c r="B1402" s="1" t="n">
        <v>44313</v>
      </c>
      <c r="C1402" s="1" t="n">
        <v>45962</v>
      </c>
      <c r="D1402" t="inlineStr">
        <is>
          <t>JÖNKÖPINGS LÄN</t>
        </is>
      </c>
      <c r="E1402" t="inlineStr">
        <is>
          <t>VAGGERYD</t>
        </is>
      </c>
      <c r="G1402" t="n">
        <v>1.5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24702-2022</t>
        </is>
      </c>
      <c r="B1403" s="1" t="n">
        <v>44727</v>
      </c>
      <c r="C1403" s="1" t="n">
        <v>45962</v>
      </c>
      <c r="D1403" t="inlineStr">
        <is>
          <t>JÖNKÖPINGS LÄN</t>
        </is>
      </c>
      <c r="E1403" t="inlineStr">
        <is>
          <t>VÄRNAMO</t>
        </is>
      </c>
      <c r="G1403" t="n">
        <v>0.7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6191-2022</t>
        </is>
      </c>
      <c r="B1404" s="1" t="n">
        <v>44600.34350694445</v>
      </c>
      <c r="C1404" s="1" t="n">
        <v>45962</v>
      </c>
      <c r="D1404" t="inlineStr">
        <is>
          <t>JÖNKÖPINGS LÄN</t>
        </is>
      </c>
      <c r="E1404" t="inlineStr">
        <is>
          <t>VETLANDA</t>
        </is>
      </c>
      <c r="G1404" t="n">
        <v>1.6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40031-2022</t>
        </is>
      </c>
      <c r="B1405" s="1" t="n">
        <v>44820</v>
      </c>
      <c r="C1405" s="1" t="n">
        <v>45962</v>
      </c>
      <c r="D1405" t="inlineStr">
        <is>
          <t>JÖNKÖPINGS LÄN</t>
        </is>
      </c>
      <c r="E1405" t="inlineStr">
        <is>
          <t>VÄRNAMO</t>
        </is>
      </c>
      <c r="G1405" t="n">
        <v>4.2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22726-2022</t>
        </is>
      </c>
      <c r="B1406" s="1" t="n">
        <v>44714.64824074074</v>
      </c>
      <c r="C1406" s="1" t="n">
        <v>45962</v>
      </c>
      <c r="D1406" t="inlineStr">
        <is>
          <t>JÖNKÖPINGS LÄN</t>
        </is>
      </c>
      <c r="E1406" t="inlineStr">
        <is>
          <t>TRANÅS</t>
        </is>
      </c>
      <c r="G1406" t="n">
        <v>2.2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23571-2024</t>
        </is>
      </c>
      <c r="B1407" s="1" t="n">
        <v>45454</v>
      </c>
      <c r="C1407" s="1" t="n">
        <v>45962</v>
      </c>
      <c r="D1407" t="inlineStr">
        <is>
          <t>JÖNKÖPINGS LÄN</t>
        </is>
      </c>
      <c r="E1407" t="inlineStr">
        <is>
          <t>NÄSSJÖ</t>
        </is>
      </c>
      <c r="G1407" t="n">
        <v>1.1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15593-2021</t>
        </is>
      </c>
      <c r="B1408" s="1" t="n">
        <v>44285</v>
      </c>
      <c r="C1408" s="1" t="n">
        <v>45962</v>
      </c>
      <c r="D1408" t="inlineStr">
        <is>
          <t>JÖNKÖPINGS LÄN</t>
        </is>
      </c>
      <c r="E1408" t="inlineStr">
        <is>
          <t>GISLAVED</t>
        </is>
      </c>
      <c r="G1408" t="n">
        <v>3.2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57700-2020</t>
        </is>
      </c>
      <c r="B1409" s="1" t="n">
        <v>44140</v>
      </c>
      <c r="C1409" s="1" t="n">
        <v>45962</v>
      </c>
      <c r="D1409" t="inlineStr">
        <is>
          <t>JÖNKÖPINGS LÄN</t>
        </is>
      </c>
      <c r="E1409" t="inlineStr">
        <is>
          <t>EKSJÖ</t>
        </is>
      </c>
      <c r="G1409" t="n">
        <v>2.3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36679-2021</t>
        </is>
      </c>
      <c r="B1410" s="1" t="n">
        <v>44392</v>
      </c>
      <c r="C1410" s="1" t="n">
        <v>45962</v>
      </c>
      <c r="D1410" t="inlineStr">
        <is>
          <t>JÖNKÖPINGS LÄN</t>
        </is>
      </c>
      <c r="E1410" t="inlineStr">
        <is>
          <t>VETLANDA</t>
        </is>
      </c>
      <c r="G1410" t="n">
        <v>3.6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23783-2024</t>
        </is>
      </c>
      <c r="B1411" s="1" t="n">
        <v>45455.40401620371</v>
      </c>
      <c r="C1411" s="1" t="n">
        <v>45962</v>
      </c>
      <c r="D1411" t="inlineStr">
        <is>
          <t>JÖNKÖPINGS LÄN</t>
        </is>
      </c>
      <c r="E1411" t="inlineStr">
        <is>
          <t>JÖNKÖPING</t>
        </is>
      </c>
      <c r="F1411" t="inlineStr">
        <is>
          <t>Sveaskog</t>
        </is>
      </c>
      <c r="G1411" t="n">
        <v>0.6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66396-2021</t>
        </is>
      </c>
      <c r="B1412" s="1" t="n">
        <v>44518</v>
      </c>
      <c r="C1412" s="1" t="n">
        <v>45962</v>
      </c>
      <c r="D1412" t="inlineStr">
        <is>
          <t>JÖNKÖPINGS LÄN</t>
        </is>
      </c>
      <c r="E1412" t="inlineStr">
        <is>
          <t>SÄVSJÖ</t>
        </is>
      </c>
      <c r="G1412" t="n">
        <v>0.7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5186-2023</t>
        </is>
      </c>
      <c r="B1413" s="1" t="n">
        <v>44959.33334490741</v>
      </c>
      <c r="C1413" s="1" t="n">
        <v>45962</v>
      </c>
      <c r="D1413" t="inlineStr">
        <is>
          <t>JÖNKÖPINGS LÄN</t>
        </is>
      </c>
      <c r="E1413" t="inlineStr">
        <is>
          <t>ANEBY</t>
        </is>
      </c>
      <c r="G1413" t="n">
        <v>0.5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58648-2023</t>
        </is>
      </c>
      <c r="B1414" s="1" t="n">
        <v>45251</v>
      </c>
      <c r="C1414" s="1" t="n">
        <v>45962</v>
      </c>
      <c r="D1414" t="inlineStr">
        <is>
          <t>JÖNKÖPINGS LÄN</t>
        </is>
      </c>
      <c r="E1414" t="inlineStr">
        <is>
          <t>GISLAVED</t>
        </is>
      </c>
      <c r="G1414" t="n">
        <v>5.4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9279-2023</t>
        </is>
      </c>
      <c r="B1415" s="1" t="n">
        <v>44980.61770833333</v>
      </c>
      <c r="C1415" s="1" t="n">
        <v>45962</v>
      </c>
      <c r="D1415" t="inlineStr">
        <is>
          <t>JÖNKÖPINGS LÄN</t>
        </is>
      </c>
      <c r="E1415" t="inlineStr">
        <is>
          <t>NÄSSJÖ</t>
        </is>
      </c>
      <c r="G1415" t="n">
        <v>1.3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41877-2024</t>
        </is>
      </c>
      <c r="B1416" s="1" t="n">
        <v>45561</v>
      </c>
      <c r="C1416" s="1" t="n">
        <v>45962</v>
      </c>
      <c r="D1416" t="inlineStr">
        <is>
          <t>JÖNKÖPINGS LÄN</t>
        </is>
      </c>
      <c r="E1416" t="inlineStr">
        <is>
          <t>VETLANDA</t>
        </is>
      </c>
      <c r="G1416" t="n">
        <v>0.5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63443-2023</t>
        </is>
      </c>
      <c r="B1417" s="1" t="n">
        <v>45274</v>
      </c>
      <c r="C1417" s="1" t="n">
        <v>45962</v>
      </c>
      <c r="D1417" t="inlineStr">
        <is>
          <t>JÖNKÖPINGS LÄN</t>
        </is>
      </c>
      <c r="E1417" t="inlineStr">
        <is>
          <t>VÄRNAMO</t>
        </is>
      </c>
      <c r="G1417" t="n">
        <v>4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50252-2023</t>
        </is>
      </c>
      <c r="B1418" s="1" t="n">
        <v>45216.36305555556</v>
      </c>
      <c r="C1418" s="1" t="n">
        <v>45962</v>
      </c>
      <c r="D1418" t="inlineStr">
        <is>
          <t>JÖNKÖPINGS LÄN</t>
        </is>
      </c>
      <c r="E1418" t="inlineStr">
        <is>
          <t>VETLANDA</t>
        </is>
      </c>
      <c r="F1418" t="inlineStr">
        <is>
          <t>Sveaskog</t>
        </is>
      </c>
      <c r="G1418" t="n">
        <v>2.7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28230-2024</t>
        </is>
      </c>
      <c r="B1419" s="1" t="n">
        <v>45477.38181712963</v>
      </c>
      <c r="C1419" s="1" t="n">
        <v>45962</v>
      </c>
      <c r="D1419" t="inlineStr">
        <is>
          <t>JÖNKÖPINGS LÄN</t>
        </is>
      </c>
      <c r="E1419" t="inlineStr">
        <is>
          <t>JÖNKÖPING</t>
        </is>
      </c>
      <c r="G1419" t="n">
        <v>6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20569-2025</t>
        </is>
      </c>
      <c r="B1420" s="1" t="n">
        <v>45775.66797453703</v>
      </c>
      <c r="C1420" s="1" t="n">
        <v>45962</v>
      </c>
      <c r="D1420" t="inlineStr">
        <is>
          <t>JÖNKÖPINGS LÄN</t>
        </is>
      </c>
      <c r="E1420" t="inlineStr">
        <is>
          <t>ANEBY</t>
        </is>
      </c>
      <c r="F1420" t="inlineStr">
        <is>
          <t>Kyrkan</t>
        </is>
      </c>
      <c r="G1420" t="n">
        <v>2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56370-2023</t>
        </is>
      </c>
      <c r="B1421" s="1" t="n">
        <v>45243</v>
      </c>
      <c r="C1421" s="1" t="n">
        <v>45962</v>
      </c>
      <c r="D1421" t="inlineStr">
        <is>
          <t>JÖNKÖPINGS LÄN</t>
        </is>
      </c>
      <c r="E1421" t="inlineStr">
        <is>
          <t>VAGGERYD</t>
        </is>
      </c>
      <c r="G1421" t="n">
        <v>1.3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20576-2025</t>
        </is>
      </c>
      <c r="B1422" s="1" t="n">
        <v>45775.67828703704</v>
      </c>
      <c r="C1422" s="1" t="n">
        <v>45962</v>
      </c>
      <c r="D1422" t="inlineStr">
        <is>
          <t>JÖNKÖPINGS LÄN</t>
        </is>
      </c>
      <c r="E1422" t="inlineStr">
        <is>
          <t>SÄVSJÖ</t>
        </is>
      </c>
      <c r="G1422" t="n">
        <v>0.5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44245-2022</t>
        </is>
      </c>
      <c r="B1423" s="1" t="n">
        <v>44839.55789351852</v>
      </c>
      <c r="C1423" s="1" t="n">
        <v>45962</v>
      </c>
      <c r="D1423" t="inlineStr">
        <is>
          <t>JÖNKÖPINGS LÄN</t>
        </is>
      </c>
      <c r="E1423" t="inlineStr">
        <is>
          <t>SÄVSJÖ</t>
        </is>
      </c>
      <c r="G1423" t="n">
        <v>4.7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56415-2023</t>
        </is>
      </c>
      <c r="B1424" s="1" t="n">
        <v>45243.44351851852</v>
      </c>
      <c r="C1424" s="1" t="n">
        <v>45962</v>
      </c>
      <c r="D1424" t="inlineStr">
        <is>
          <t>JÖNKÖPINGS LÄN</t>
        </is>
      </c>
      <c r="E1424" t="inlineStr">
        <is>
          <t>VÄRNAMO</t>
        </is>
      </c>
      <c r="G1424" t="n">
        <v>0.9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47314-2022</t>
        </is>
      </c>
      <c r="B1425" s="1" t="n">
        <v>44853</v>
      </c>
      <c r="C1425" s="1" t="n">
        <v>45962</v>
      </c>
      <c r="D1425" t="inlineStr">
        <is>
          <t>JÖNKÖPINGS LÄN</t>
        </is>
      </c>
      <c r="E1425" t="inlineStr">
        <is>
          <t>JÖNKÖPING</t>
        </is>
      </c>
      <c r="F1425" t="inlineStr">
        <is>
          <t>Kyrkan</t>
        </is>
      </c>
      <c r="G1425" t="n">
        <v>1.7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58631-2023</t>
        </is>
      </c>
      <c r="B1426" s="1" t="n">
        <v>45251</v>
      </c>
      <c r="C1426" s="1" t="n">
        <v>45962</v>
      </c>
      <c r="D1426" t="inlineStr">
        <is>
          <t>JÖNKÖPINGS LÄN</t>
        </is>
      </c>
      <c r="E1426" t="inlineStr">
        <is>
          <t>EKSJÖ</t>
        </is>
      </c>
      <c r="G1426" t="n">
        <v>1.5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5505-2021</t>
        </is>
      </c>
      <c r="B1427" s="1" t="n">
        <v>44230</v>
      </c>
      <c r="C1427" s="1" t="n">
        <v>45962</v>
      </c>
      <c r="D1427" t="inlineStr">
        <is>
          <t>JÖNKÖPINGS LÄN</t>
        </is>
      </c>
      <c r="E1427" t="inlineStr">
        <is>
          <t>EKSJÖ</t>
        </is>
      </c>
      <c r="G1427" t="n">
        <v>0.8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27395-2023</t>
        </is>
      </c>
      <c r="B1428" s="1" t="n">
        <v>45096.96689814814</v>
      </c>
      <c r="C1428" s="1" t="n">
        <v>45962</v>
      </c>
      <c r="D1428" t="inlineStr">
        <is>
          <t>JÖNKÖPINGS LÄN</t>
        </is>
      </c>
      <c r="E1428" t="inlineStr">
        <is>
          <t>EKSJÖ</t>
        </is>
      </c>
      <c r="G1428" t="n">
        <v>1.4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27399-2023</t>
        </is>
      </c>
      <c r="B1429" s="1" t="n">
        <v>45097</v>
      </c>
      <c r="C1429" s="1" t="n">
        <v>45962</v>
      </c>
      <c r="D1429" t="inlineStr">
        <is>
          <t>JÖNKÖPINGS LÄN</t>
        </is>
      </c>
      <c r="E1429" t="inlineStr">
        <is>
          <t>GISLAVED</t>
        </is>
      </c>
      <c r="G1429" t="n">
        <v>1.9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58572-2023</t>
        </is>
      </c>
      <c r="B1430" s="1" t="n">
        <v>45251.44596064815</v>
      </c>
      <c r="C1430" s="1" t="n">
        <v>45962</v>
      </c>
      <c r="D1430" t="inlineStr">
        <is>
          <t>JÖNKÖPINGS LÄN</t>
        </is>
      </c>
      <c r="E1430" t="inlineStr">
        <is>
          <t>VETLANDA</t>
        </is>
      </c>
      <c r="G1430" t="n">
        <v>0.5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9540-2024</t>
        </is>
      </c>
      <c r="B1431" s="1" t="n">
        <v>45359</v>
      </c>
      <c r="C1431" s="1" t="n">
        <v>45962</v>
      </c>
      <c r="D1431" t="inlineStr">
        <is>
          <t>JÖNKÖPINGS LÄN</t>
        </is>
      </c>
      <c r="E1431" t="inlineStr">
        <is>
          <t>ANEBY</t>
        </is>
      </c>
      <c r="G1431" t="n">
        <v>4.3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64383-2021</t>
        </is>
      </c>
      <c r="B1432" s="1" t="n">
        <v>44511.41467592592</v>
      </c>
      <c r="C1432" s="1" t="n">
        <v>45962</v>
      </c>
      <c r="D1432" t="inlineStr">
        <is>
          <t>JÖNKÖPINGS LÄN</t>
        </is>
      </c>
      <c r="E1432" t="inlineStr">
        <is>
          <t>VETLANDA</t>
        </is>
      </c>
      <c r="G1432" t="n">
        <v>3.6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19771-2023</t>
        </is>
      </c>
      <c r="B1433" s="1" t="n">
        <v>45051.6136574074</v>
      </c>
      <c r="C1433" s="1" t="n">
        <v>45962</v>
      </c>
      <c r="D1433" t="inlineStr">
        <is>
          <t>JÖNKÖPINGS LÄN</t>
        </is>
      </c>
      <c r="E1433" t="inlineStr">
        <is>
          <t>TRANÅS</t>
        </is>
      </c>
      <c r="G1433" t="n">
        <v>4.2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6201-2025</t>
        </is>
      </c>
      <c r="B1434" s="1" t="n">
        <v>45698.47854166666</v>
      </c>
      <c r="C1434" s="1" t="n">
        <v>45962</v>
      </c>
      <c r="D1434" t="inlineStr">
        <is>
          <t>JÖNKÖPINGS LÄN</t>
        </is>
      </c>
      <c r="E1434" t="inlineStr">
        <is>
          <t>TRANÅS</t>
        </is>
      </c>
      <c r="G1434" t="n">
        <v>1.5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15462-2022</t>
        </is>
      </c>
      <c r="B1435" s="1" t="n">
        <v>44662.24118055555</v>
      </c>
      <c r="C1435" s="1" t="n">
        <v>45962</v>
      </c>
      <c r="D1435" t="inlineStr">
        <is>
          <t>JÖNKÖPINGS LÄN</t>
        </is>
      </c>
      <c r="E1435" t="inlineStr">
        <is>
          <t>GISLAVED</t>
        </is>
      </c>
      <c r="G1435" t="n">
        <v>1.4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52531-2021</t>
        </is>
      </c>
      <c r="B1436" s="1" t="n">
        <v>44466</v>
      </c>
      <c r="C1436" s="1" t="n">
        <v>45962</v>
      </c>
      <c r="D1436" t="inlineStr">
        <is>
          <t>JÖNKÖPINGS LÄN</t>
        </is>
      </c>
      <c r="E1436" t="inlineStr">
        <is>
          <t>TRANÅS</t>
        </is>
      </c>
      <c r="G1436" t="n">
        <v>1.6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45648-2024</t>
        </is>
      </c>
      <c r="B1437" s="1" t="n">
        <v>45579.48553240741</v>
      </c>
      <c r="C1437" s="1" t="n">
        <v>45962</v>
      </c>
      <c r="D1437" t="inlineStr">
        <is>
          <t>JÖNKÖPINGS LÄN</t>
        </is>
      </c>
      <c r="E1437" t="inlineStr">
        <is>
          <t>NÄSSJÖ</t>
        </is>
      </c>
      <c r="G1437" t="n">
        <v>1.9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39335-2022</t>
        </is>
      </c>
      <c r="B1438" s="1" t="n">
        <v>44817.7231712963</v>
      </c>
      <c r="C1438" s="1" t="n">
        <v>45962</v>
      </c>
      <c r="D1438" t="inlineStr">
        <is>
          <t>JÖNKÖPINGS LÄN</t>
        </is>
      </c>
      <c r="E1438" t="inlineStr">
        <is>
          <t>GISLAVED</t>
        </is>
      </c>
      <c r="G1438" t="n">
        <v>1.8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413-2023</t>
        </is>
      </c>
      <c r="B1439" s="1" t="n">
        <v>44929.63917824074</v>
      </c>
      <c r="C1439" s="1" t="n">
        <v>45962</v>
      </c>
      <c r="D1439" t="inlineStr">
        <is>
          <t>JÖNKÖPINGS LÄN</t>
        </is>
      </c>
      <c r="E1439" t="inlineStr">
        <is>
          <t>VÄRNAMO</t>
        </is>
      </c>
      <c r="G1439" t="n">
        <v>1.5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56131-2022</t>
        </is>
      </c>
      <c r="B1440" s="1" t="n">
        <v>44889</v>
      </c>
      <c r="C1440" s="1" t="n">
        <v>45962</v>
      </c>
      <c r="D1440" t="inlineStr">
        <is>
          <t>JÖNKÖPINGS LÄN</t>
        </is>
      </c>
      <c r="E1440" t="inlineStr">
        <is>
          <t>JÖNKÖPING</t>
        </is>
      </c>
      <c r="G1440" t="n">
        <v>1.5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22285-2021</t>
        </is>
      </c>
      <c r="B1441" s="1" t="n">
        <v>44326</v>
      </c>
      <c r="C1441" s="1" t="n">
        <v>45962</v>
      </c>
      <c r="D1441" t="inlineStr">
        <is>
          <t>JÖNKÖPINGS LÄN</t>
        </is>
      </c>
      <c r="E1441" t="inlineStr">
        <is>
          <t>ANEBY</t>
        </is>
      </c>
      <c r="G1441" t="n">
        <v>2.8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50498-2022</t>
        </is>
      </c>
      <c r="B1442" s="1" t="n">
        <v>44861</v>
      </c>
      <c r="C1442" s="1" t="n">
        <v>45962</v>
      </c>
      <c r="D1442" t="inlineStr">
        <is>
          <t>JÖNKÖPINGS LÄN</t>
        </is>
      </c>
      <c r="E1442" t="inlineStr">
        <is>
          <t>EKSJÖ</t>
        </is>
      </c>
      <c r="G1442" t="n">
        <v>2.5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25470-2023</t>
        </is>
      </c>
      <c r="B1443" s="1" t="n">
        <v>45089.45631944444</v>
      </c>
      <c r="C1443" s="1" t="n">
        <v>45962</v>
      </c>
      <c r="D1443" t="inlineStr">
        <is>
          <t>JÖNKÖPINGS LÄN</t>
        </is>
      </c>
      <c r="E1443" t="inlineStr">
        <is>
          <t>VETLANDA</t>
        </is>
      </c>
      <c r="G1443" t="n">
        <v>0.7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19665-2023</t>
        </is>
      </c>
      <c r="B1444" s="1" t="n">
        <v>45051.37461805555</v>
      </c>
      <c r="C1444" s="1" t="n">
        <v>45962</v>
      </c>
      <c r="D1444" t="inlineStr">
        <is>
          <t>JÖNKÖPINGS LÄN</t>
        </is>
      </c>
      <c r="E1444" t="inlineStr">
        <is>
          <t>JÖNKÖPING</t>
        </is>
      </c>
      <c r="G1444" t="n">
        <v>0.9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42280-2023</t>
        </is>
      </c>
      <c r="B1445" s="1" t="n">
        <v>45180</v>
      </c>
      <c r="C1445" s="1" t="n">
        <v>45962</v>
      </c>
      <c r="D1445" t="inlineStr">
        <is>
          <t>JÖNKÖPINGS LÄN</t>
        </is>
      </c>
      <c r="E1445" t="inlineStr">
        <is>
          <t>GNOSJÖ</t>
        </is>
      </c>
      <c r="G1445" t="n">
        <v>1.9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11426-2024</t>
        </is>
      </c>
      <c r="B1446" s="1" t="n">
        <v>45372.50304398148</v>
      </c>
      <c r="C1446" s="1" t="n">
        <v>45962</v>
      </c>
      <c r="D1446" t="inlineStr">
        <is>
          <t>JÖNKÖPINGS LÄN</t>
        </is>
      </c>
      <c r="E1446" t="inlineStr">
        <is>
          <t>HABO</t>
        </is>
      </c>
      <c r="G1446" t="n">
        <v>2.3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9622-2024</t>
        </is>
      </c>
      <c r="B1447" s="1" t="n">
        <v>45361.83712962963</v>
      </c>
      <c r="C1447" s="1" t="n">
        <v>45962</v>
      </c>
      <c r="D1447" t="inlineStr">
        <is>
          <t>JÖNKÖPINGS LÄN</t>
        </is>
      </c>
      <c r="E1447" t="inlineStr">
        <is>
          <t>NÄSSJÖ</t>
        </is>
      </c>
      <c r="G1447" t="n">
        <v>2.2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11474-2024</t>
        </is>
      </c>
      <c r="B1448" s="1" t="n">
        <v>45372.614375</v>
      </c>
      <c r="C1448" s="1" t="n">
        <v>45962</v>
      </c>
      <c r="D1448" t="inlineStr">
        <is>
          <t>JÖNKÖPINGS LÄN</t>
        </is>
      </c>
      <c r="E1448" t="inlineStr">
        <is>
          <t>EKSJÖ</t>
        </is>
      </c>
      <c r="G1448" t="n">
        <v>0.7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2153-2022</t>
        </is>
      </c>
      <c r="B1449" s="1" t="n">
        <v>44578.43134259259</v>
      </c>
      <c r="C1449" s="1" t="n">
        <v>45962</v>
      </c>
      <c r="D1449" t="inlineStr">
        <is>
          <t>JÖNKÖPINGS LÄN</t>
        </is>
      </c>
      <c r="E1449" t="inlineStr">
        <is>
          <t>GISLAVED</t>
        </is>
      </c>
      <c r="G1449" t="n">
        <v>1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58906-2024</t>
        </is>
      </c>
      <c r="B1450" s="1" t="n">
        <v>45636.47858796296</v>
      </c>
      <c r="C1450" s="1" t="n">
        <v>45962</v>
      </c>
      <c r="D1450" t="inlineStr">
        <is>
          <t>JÖNKÖPINGS LÄN</t>
        </is>
      </c>
      <c r="E1450" t="inlineStr">
        <is>
          <t>VAGGERYD</t>
        </is>
      </c>
      <c r="F1450" t="inlineStr">
        <is>
          <t>Sveaskog</t>
        </is>
      </c>
      <c r="G1450" t="n">
        <v>3.8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49945-2024</t>
        </is>
      </c>
      <c r="B1451" s="1" t="n">
        <v>45597.60236111111</v>
      </c>
      <c r="C1451" s="1" t="n">
        <v>45962</v>
      </c>
      <c r="D1451" t="inlineStr">
        <is>
          <t>JÖNKÖPINGS LÄN</t>
        </is>
      </c>
      <c r="E1451" t="inlineStr">
        <is>
          <t>VETLANDA</t>
        </is>
      </c>
      <c r="G1451" t="n">
        <v>4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49960-2024</t>
        </is>
      </c>
      <c r="B1452" s="1" t="n">
        <v>45597.62469907408</v>
      </c>
      <c r="C1452" s="1" t="n">
        <v>45962</v>
      </c>
      <c r="D1452" t="inlineStr">
        <is>
          <t>JÖNKÖPINGS LÄN</t>
        </is>
      </c>
      <c r="E1452" t="inlineStr">
        <is>
          <t>VÄRNAMO</t>
        </is>
      </c>
      <c r="G1452" t="n">
        <v>6.2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10345-2022</t>
        </is>
      </c>
      <c r="B1453" s="1" t="n">
        <v>44623.32844907408</v>
      </c>
      <c r="C1453" s="1" t="n">
        <v>45962</v>
      </c>
      <c r="D1453" t="inlineStr">
        <is>
          <t>JÖNKÖPINGS LÄN</t>
        </is>
      </c>
      <c r="E1453" t="inlineStr">
        <is>
          <t>EKSJÖ</t>
        </is>
      </c>
      <c r="F1453" t="inlineStr">
        <is>
          <t>Sveaskog</t>
        </is>
      </c>
      <c r="G1453" t="n">
        <v>1.9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46657-2022</t>
        </is>
      </c>
      <c r="B1454" s="1" t="n">
        <v>44850</v>
      </c>
      <c r="C1454" s="1" t="n">
        <v>45962</v>
      </c>
      <c r="D1454" t="inlineStr">
        <is>
          <t>JÖNKÖPINGS LÄN</t>
        </is>
      </c>
      <c r="E1454" t="inlineStr">
        <is>
          <t>GNOSJÖ</t>
        </is>
      </c>
      <c r="G1454" t="n">
        <v>7.9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62056-2023</t>
        </is>
      </c>
      <c r="B1455" s="1" t="n">
        <v>45265</v>
      </c>
      <c r="C1455" s="1" t="n">
        <v>45962</v>
      </c>
      <c r="D1455" t="inlineStr">
        <is>
          <t>JÖNKÖPINGS LÄN</t>
        </is>
      </c>
      <c r="E1455" t="inlineStr">
        <is>
          <t>VETLANDA</t>
        </is>
      </c>
      <c r="G1455" t="n">
        <v>1.3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632-2025</t>
        </is>
      </c>
      <c r="B1456" s="1" t="n">
        <v>45660</v>
      </c>
      <c r="C1456" s="1" t="n">
        <v>45962</v>
      </c>
      <c r="D1456" t="inlineStr">
        <is>
          <t>JÖNKÖPINGS LÄN</t>
        </is>
      </c>
      <c r="E1456" t="inlineStr">
        <is>
          <t>VETLANDA</t>
        </is>
      </c>
      <c r="G1456" t="n">
        <v>2.3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37753-2023</t>
        </is>
      </c>
      <c r="B1457" s="1" t="n">
        <v>45156</v>
      </c>
      <c r="C1457" s="1" t="n">
        <v>45962</v>
      </c>
      <c r="D1457" t="inlineStr">
        <is>
          <t>JÖNKÖPINGS LÄN</t>
        </is>
      </c>
      <c r="E1457" t="inlineStr">
        <is>
          <t>EKSJÖ</t>
        </is>
      </c>
      <c r="G1457" t="n">
        <v>6.3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57715-2021</t>
        </is>
      </c>
      <c r="B1458" s="1" t="n">
        <v>44484</v>
      </c>
      <c r="C1458" s="1" t="n">
        <v>45962</v>
      </c>
      <c r="D1458" t="inlineStr">
        <is>
          <t>JÖNKÖPINGS LÄN</t>
        </is>
      </c>
      <c r="E1458" t="inlineStr">
        <is>
          <t>JÖNKÖPING</t>
        </is>
      </c>
      <c r="G1458" t="n">
        <v>0.8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15091-2023</t>
        </is>
      </c>
      <c r="B1459" s="1" t="n">
        <v>45016.3665625</v>
      </c>
      <c r="C1459" s="1" t="n">
        <v>45962</v>
      </c>
      <c r="D1459" t="inlineStr">
        <is>
          <t>JÖNKÖPINGS LÄN</t>
        </is>
      </c>
      <c r="E1459" t="inlineStr">
        <is>
          <t>ANEBY</t>
        </is>
      </c>
      <c r="G1459" t="n">
        <v>4.4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41030-2023</t>
        </is>
      </c>
      <c r="B1460" s="1" t="n">
        <v>45173.60072916667</v>
      </c>
      <c r="C1460" s="1" t="n">
        <v>45962</v>
      </c>
      <c r="D1460" t="inlineStr">
        <is>
          <t>JÖNKÖPINGS LÄN</t>
        </is>
      </c>
      <c r="E1460" t="inlineStr">
        <is>
          <t>EKSJÖ</t>
        </is>
      </c>
      <c r="G1460" t="n">
        <v>0.5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21916-2024</t>
        </is>
      </c>
      <c r="B1461" s="1" t="n">
        <v>45443.44555555555</v>
      </c>
      <c r="C1461" s="1" t="n">
        <v>45962</v>
      </c>
      <c r="D1461" t="inlineStr">
        <is>
          <t>JÖNKÖPINGS LÄN</t>
        </is>
      </c>
      <c r="E1461" t="inlineStr">
        <is>
          <t>VETLANDA</t>
        </is>
      </c>
      <c r="G1461" t="n">
        <v>3.9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28400-2023</t>
        </is>
      </c>
      <c r="B1462" s="1" t="n">
        <v>45100</v>
      </c>
      <c r="C1462" s="1" t="n">
        <v>45962</v>
      </c>
      <c r="D1462" t="inlineStr">
        <is>
          <t>JÖNKÖPINGS LÄN</t>
        </is>
      </c>
      <c r="E1462" t="inlineStr">
        <is>
          <t>GISLAVED</t>
        </is>
      </c>
      <c r="G1462" t="n">
        <v>1.9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52056-2021</t>
        </is>
      </c>
      <c r="B1463" s="1" t="n">
        <v>44462</v>
      </c>
      <c r="C1463" s="1" t="n">
        <v>45962</v>
      </c>
      <c r="D1463" t="inlineStr">
        <is>
          <t>JÖNKÖPINGS LÄN</t>
        </is>
      </c>
      <c r="E1463" t="inlineStr">
        <is>
          <t>VETLANDA</t>
        </is>
      </c>
      <c r="G1463" t="n">
        <v>0.5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52342-2021</t>
        </is>
      </c>
      <c r="B1464" s="1" t="n">
        <v>44464.42415509259</v>
      </c>
      <c r="C1464" s="1" t="n">
        <v>45962</v>
      </c>
      <c r="D1464" t="inlineStr">
        <is>
          <t>JÖNKÖPINGS LÄN</t>
        </is>
      </c>
      <c r="E1464" t="inlineStr">
        <is>
          <t>JÖNKÖPING</t>
        </is>
      </c>
      <c r="G1464" t="n">
        <v>0.6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39677-2021</t>
        </is>
      </c>
      <c r="B1465" s="1" t="n">
        <v>44417</v>
      </c>
      <c r="C1465" s="1" t="n">
        <v>45962</v>
      </c>
      <c r="D1465" t="inlineStr">
        <is>
          <t>JÖNKÖPINGS LÄN</t>
        </is>
      </c>
      <c r="E1465" t="inlineStr">
        <is>
          <t>VETLANDA</t>
        </is>
      </c>
      <c r="G1465" t="n">
        <v>8.4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53698-2022</t>
        </is>
      </c>
      <c r="B1466" s="1" t="n">
        <v>44880.34582175926</v>
      </c>
      <c r="C1466" s="1" t="n">
        <v>45962</v>
      </c>
      <c r="D1466" t="inlineStr">
        <is>
          <t>JÖNKÖPINGS LÄN</t>
        </is>
      </c>
      <c r="E1466" t="inlineStr">
        <is>
          <t>VAGGERYD</t>
        </is>
      </c>
      <c r="G1466" t="n">
        <v>3.3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71606-2021</t>
        </is>
      </c>
      <c r="B1467" s="1" t="n">
        <v>44541.81983796296</v>
      </c>
      <c r="C1467" s="1" t="n">
        <v>45962</v>
      </c>
      <c r="D1467" t="inlineStr">
        <is>
          <t>JÖNKÖPINGS LÄN</t>
        </is>
      </c>
      <c r="E1467" t="inlineStr">
        <is>
          <t>NÄSSJÖ</t>
        </is>
      </c>
      <c r="G1467" t="n">
        <v>2.7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7471-2022</t>
        </is>
      </c>
      <c r="B1468" s="1" t="n">
        <v>44606</v>
      </c>
      <c r="C1468" s="1" t="n">
        <v>45962</v>
      </c>
      <c r="D1468" t="inlineStr">
        <is>
          <t>JÖNKÖPINGS LÄN</t>
        </is>
      </c>
      <c r="E1468" t="inlineStr">
        <is>
          <t>ANEBY</t>
        </is>
      </c>
      <c r="G1468" t="n">
        <v>1.1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55909-2024</t>
        </is>
      </c>
      <c r="B1469" s="1" t="n">
        <v>45623.58572916667</v>
      </c>
      <c r="C1469" s="1" t="n">
        <v>45962</v>
      </c>
      <c r="D1469" t="inlineStr">
        <is>
          <t>JÖNKÖPINGS LÄN</t>
        </is>
      </c>
      <c r="E1469" t="inlineStr">
        <is>
          <t>SÄVSJÖ</t>
        </is>
      </c>
      <c r="F1469" t="inlineStr">
        <is>
          <t>Kommuner</t>
        </is>
      </c>
      <c r="G1469" t="n">
        <v>0.2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12085-2021</t>
        </is>
      </c>
      <c r="B1470" s="1" t="n">
        <v>44266.50221064815</v>
      </c>
      <c r="C1470" s="1" t="n">
        <v>45962</v>
      </c>
      <c r="D1470" t="inlineStr">
        <is>
          <t>JÖNKÖPINGS LÄN</t>
        </is>
      </c>
      <c r="E1470" t="inlineStr">
        <is>
          <t>EKSJÖ</t>
        </is>
      </c>
      <c r="G1470" t="n">
        <v>1.7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56077-2021</t>
        </is>
      </c>
      <c r="B1471" s="1" t="n">
        <v>44477.53445601852</v>
      </c>
      <c r="C1471" s="1" t="n">
        <v>45962</v>
      </c>
      <c r="D1471" t="inlineStr">
        <is>
          <t>JÖNKÖPINGS LÄN</t>
        </is>
      </c>
      <c r="E1471" t="inlineStr">
        <is>
          <t>VÄRNAMO</t>
        </is>
      </c>
      <c r="G1471" t="n">
        <v>0.9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67211-2021</t>
        </is>
      </c>
      <c r="B1472" s="1" t="n">
        <v>44523</v>
      </c>
      <c r="C1472" s="1" t="n">
        <v>45962</v>
      </c>
      <c r="D1472" t="inlineStr">
        <is>
          <t>JÖNKÖPINGS LÄN</t>
        </is>
      </c>
      <c r="E1472" t="inlineStr">
        <is>
          <t>GISLAVED</t>
        </is>
      </c>
      <c r="G1472" t="n">
        <v>2.2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62234-2023</t>
        </is>
      </c>
      <c r="B1473" s="1" t="n">
        <v>45267.5896412037</v>
      </c>
      <c r="C1473" s="1" t="n">
        <v>45962</v>
      </c>
      <c r="D1473" t="inlineStr">
        <is>
          <t>JÖNKÖPINGS LÄN</t>
        </is>
      </c>
      <c r="E1473" t="inlineStr">
        <is>
          <t>VETLANDA</t>
        </is>
      </c>
      <c r="G1473" t="n">
        <v>2.4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9497-2024</t>
        </is>
      </c>
      <c r="B1474" s="1" t="n">
        <v>45359.59966435185</v>
      </c>
      <c r="C1474" s="1" t="n">
        <v>45962</v>
      </c>
      <c r="D1474" t="inlineStr">
        <is>
          <t>JÖNKÖPINGS LÄN</t>
        </is>
      </c>
      <c r="E1474" t="inlineStr">
        <is>
          <t>VETLANDA</t>
        </is>
      </c>
      <c r="G1474" t="n">
        <v>1.7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53796-2022</t>
        </is>
      </c>
      <c r="B1475" s="1" t="n">
        <v>44880.50373842593</v>
      </c>
      <c r="C1475" s="1" t="n">
        <v>45962</v>
      </c>
      <c r="D1475" t="inlineStr">
        <is>
          <t>JÖNKÖPINGS LÄN</t>
        </is>
      </c>
      <c r="E1475" t="inlineStr">
        <is>
          <t>VETLANDA</t>
        </is>
      </c>
      <c r="G1475" t="n">
        <v>1.4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19548-2025</t>
        </is>
      </c>
      <c r="B1476" s="1" t="n">
        <v>45770.49387731482</v>
      </c>
      <c r="C1476" s="1" t="n">
        <v>45962</v>
      </c>
      <c r="D1476" t="inlineStr">
        <is>
          <t>JÖNKÖPINGS LÄN</t>
        </is>
      </c>
      <c r="E1476" t="inlineStr">
        <is>
          <t>VETLANDA</t>
        </is>
      </c>
      <c r="G1476" t="n">
        <v>5.4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19560-2025</t>
        </is>
      </c>
      <c r="B1477" s="1" t="n">
        <v>45770.51686342592</v>
      </c>
      <c r="C1477" s="1" t="n">
        <v>45962</v>
      </c>
      <c r="D1477" t="inlineStr">
        <is>
          <t>JÖNKÖPINGS LÄN</t>
        </is>
      </c>
      <c r="E1477" t="inlineStr">
        <is>
          <t>JÖNKÖPING</t>
        </is>
      </c>
      <c r="G1477" t="n">
        <v>4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46451-2022</t>
        </is>
      </c>
      <c r="B1478" s="1" t="n">
        <v>44848.48673611111</v>
      </c>
      <c r="C1478" s="1" t="n">
        <v>45962</v>
      </c>
      <c r="D1478" t="inlineStr">
        <is>
          <t>JÖNKÖPINGS LÄN</t>
        </is>
      </c>
      <c r="E1478" t="inlineStr">
        <is>
          <t>NÄSSJÖ</t>
        </is>
      </c>
      <c r="G1478" t="n">
        <v>2.6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56214-2023</t>
        </is>
      </c>
      <c r="B1479" s="1" t="n">
        <v>45240</v>
      </c>
      <c r="C1479" s="1" t="n">
        <v>45962</v>
      </c>
      <c r="D1479" t="inlineStr">
        <is>
          <t>JÖNKÖPINGS LÄN</t>
        </is>
      </c>
      <c r="E1479" t="inlineStr">
        <is>
          <t>VETLANDA</t>
        </is>
      </c>
      <c r="G1479" t="n">
        <v>1.1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22670-2023</t>
        </is>
      </c>
      <c r="B1480" s="1" t="n">
        <v>45071</v>
      </c>
      <c r="C1480" s="1" t="n">
        <v>45962</v>
      </c>
      <c r="D1480" t="inlineStr">
        <is>
          <t>JÖNKÖPINGS LÄN</t>
        </is>
      </c>
      <c r="E1480" t="inlineStr">
        <is>
          <t>EKSJÖ</t>
        </is>
      </c>
      <c r="G1480" t="n">
        <v>1.1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43698-2024</t>
        </is>
      </c>
      <c r="B1481" s="1" t="n">
        <v>45569</v>
      </c>
      <c r="C1481" s="1" t="n">
        <v>45962</v>
      </c>
      <c r="D1481" t="inlineStr">
        <is>
          <t>JÖNKÖPINGS LÄN</t>
        </is>
      </c>
      <c r="E1481" t="inlineStr">
        <is>
          <t>VETLANDA</t>
        </is>
      </c>
      <c r="F1481" t="inlineStr">
        <is>
          <t>Kyrkan</t>
        </is>
      </c>
      <c r="G1481" t="n">
        <v>0.5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40777-2024</t>
        </is>
      </c>
      <c r="B1482" s="1" t="n">
        <v>45558.48805555556</v>
      </c>
      <c r="C1482" s="1" t="n">
        <v>45962</v>
      </c>
      <c r="D1482" t="inlineStr">
        <is>
          <t>JÖNKÖPINGS LÄN</t>
        </is>
      </c>
      <c r="E1482" t="inlineStr">
        <is>
          <t>VÄRNAMO</t>
        </is>
      </c>
      <c r="G1482" t="n">
        <v>0.6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39868-2023</t>
        </is>
      </c>
      <c r="B1483" s="1" t="n">
        <v>45168.39784722222</v>
      </c>
      <c r="C1483" s="1" t="n">
        <v>45962</v>
      </c>
      <c r="D1483" t="inlineStr">
        <is>
          <t>JÖNKÖPINGS LÄN</t>
        </is>
      </c>
      <c r="E1483" t="inlineStr">
        <is>
          <t>VETLANDA</t>
        </is>
      </c>
      <c r="G1483" t="n">
        <v>0.6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40783-2024</t>
        </is>
      </c>
      <c r="B1484" s="1" t="n">
        <v>45558.493125</v>
      </c>
      <c r="C1484" s="1" t="n">
        <v>45962</v>
      </c>
      <c r="D1484" t="inlineStr">
        <is>
          <t>JÖNKÖPINGS LÄN</t>
        </is>
      </c>
      <c r="E1484" t="inlineStr">
        <is>
          <t>GISLAVED</t>
        </is>
      </c>
      <c r="G1484" t="n">
        <v>1.9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40795-2024</t>
        </is>
      </c>
      <c r="B1485" s="1" t="n">
        <v>45558.51949074074</v>
      </c>
      <c r="C1485" s="1" t="n">
        <v>45962</v>
      </c>
      <c r="D1485" t="inlineStr">
        <is>
          <t>JÖNKÖPINGS LÄN</t>
        </is>
      </c>
      <c r="E1485" t="inlineStr">
        <is>
          <t>JÖNKÖPING</t>
        </is>
      </c>
      <c r="F1485" t="inlineStr">
        <is>
          <t>Sveaskog</t>
        </is>
      </c>
      <c r="G1485" t="n">
        <v>2.8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43697-2023</t>
        </is>
      </c>
      <c r="B1486" s="1" t="n">
        <v>45187.41255787037</v>
      </c>
      <c r="C1486" s="1" t="n">
        <v>45962</v>
      </c>
      <c r="D1486" t="inlineStr">
        <is>
          <t>JÖNKÖPINGS LÄN</t>
        </is>
      </c>
      <c r="E1486" t="inlineStr">
        <is>
          <t>NÄSSJÖ</t>
        </is>
      </c>
      <c r="G1486" t="n">
        <v>1.9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30915-2024</t>
        </is>
      </c>
      <c r="B1487" s="1" t="n">
        <v>45498.65115740741</v>
      </c>
      <c r="C1487" s="1" t="n">
        <v>45962</v>
      </c>
      <c r="D1487" t="inlineStr">
        <is>
          <t>JÖNKÖPINGS LÄN</t>
        </is>
      </c>
      <c r="E1487" t="inlineStr">
        <is>
          <t>VAGGERYD</t>
        </is>
      </c>
      <c r="F1487" t="inlineStr">
        <is>
          <t>Sveaskog</t>
        </is>
      </c>
      <c r="G1487" t="n">
        <v>4.6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58645-2021</t>
        </is>
      </c>
      <c r="B1488" s="1" t="n">
        <v>44488</v>
      </c>
      <c r="C1488" s="1" t="n">
        <v>45962</v>
      </c>
      <c r="D1488" t="inlineStr">
        <is>
          <t>JÖNKÖPINGS LÄN</t>
        </is>
      </c>
      <c r="E1488" t="inlineStr">
        <is>
          <t>JÖNKÖPING</t>
        </is>
      </c>
      <c r="G1488" t="n">
        <v>5.7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49152-2021</t>
        </is>
      </c>
      <c r="B1489" s="1" t="n">
        <v>44453.92891203704</v>
      </c>
      <c r="C1489" s="1" t="n">
        <v>45962</v>
      </c>
      <c r="D1489" t="inlineStr">
        <is>
          <t>JÖNKÖPINGS LÄN</t>
        </is>
      </c>
      <c r="E1489" t="inlineStr">
        <is>
          <t>VAGGERYD</t>
        </is>
      </c>
      <c r="G1489" t="n">
        <v>1.8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48815-2024</t>
        </is>
      </c>
      <c r="B1490" s="1" t="n">
        <v>45593.67476851852</v>
      </c>
      <c r="C1490" s="1" t="n">
        <v>45962</v>
      </c>
      <c r="D1490" t="inlineStr">
        <is>
          <t>JÖNKÖPINGS LÄN</t>
        </is>
      </c>
      <c r="E1490" t="inlineStr">
        <is>
          <t>SÄVSJÖ</t>
        </is>
      </c>
      <c r="G1490" t="n">
        <v>0.7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58542-2022</t>
        </is>
      </c>
      <c r="B1491" s="1" t="n">
        <v>44902.45950231481</v>
      </c>
      <c r="C1491" s="1" t="n">
        <v>45962</v>
      </c>
      <c r="D1491" t="inlineStr">
        <is>
          <t>JÖNKÖPINGS LÄN</t>
        </is>
      </c>
      <c r="E1491" t="inlineStr">
        <is>
          <t>VETLANDA</t>
        </is>
      </c>
      <c r="G1491" t="n">
        <v>0.5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17829-2025</t>
        </is>
      </c>
      <c r="B1492" s="1" t="n">
        <v>45758</v>
      </c>
      <c r="C1492" s="1" t="n">
        <v>45962</v>
      </c>
      <c r="D1492" t="inlineStr">
        <is>
          <t>JÖNKÖPINGS LÄN</t>
        </is>
      </c>
      <c r="E1492" t="inlineStr">
        <is>
          <t>JÖNKÖPING</t>
        </is>
      </c>
      <c r="F1492" t="inlineStr">
        <is>
          <t>Kyrkan</t>
        </is>
      </c>
      <c r="G1492" t="n">
        <v>1.1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9355-2022</t>
        </is>
      </c>
      <c r="B1493" s="1" t="n">
        <v>44616</v>
      </c>
      <c r="C1493" s="1" t="n">
        <v>45962</v>
      </c>
      <c r="D1493" t="inlineStr">
        <is>
          <t>JÖNKÖPINGS LÄN</t>
        </is>
      </c>
      <c r="E1493" t="inlineStr">
        <is>
          <t>VÄRNAMO</t>
        </is>
      </c>
      <c r="G1493" t="n">
        <v>0.9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74026-2021</t>
        </is>
      </c>
      <c r="B1494" s="1" t="n">
        <v>44553</v>
      </c>
      <c r="C1494" s="1" t="n">
        <v>45962</v>
      </c>
      <c r="D1494" t="inlineStr">
        <is>
          <t>JÖNKÖPINGS LÄN</t>
        </is>
      </c>
      <c r="E1494" t="inlineStr">
        <is>
          <t>VÄRNAMO</t>
        </is>
      </c>
      <c r="G1494" t="n">
        <v>2.5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74027-2021</t>
        </is>
      </c>
      <c r="B1495" s="1" t="n">
        <v>44553</v>
      </c>
      <c r="C1495" s="1" t="n">
        <v>45962</v>
      </c>
      <c r="D1495" t="inlineStr">
        <is>
          <t>JÖNKÖPINGS LÄN</t>
        </is>
      </c>
      <c r="E1495" t="inlineStr">
        <is>
          <t>VÄRNAMO</t>
        </is>
      </c>
      <c r="G1495" t="n">
        <v>1.8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6980-2025</t>
        </is>
      </c>
      <c r="B1496" s="1" t="n">
        <v>45701.55280092593</v>
      </c>
      <c r="C1496" s="1" t="n">
        <v>45962</v>
      </c>
      <c r="D1496" t="inlineStr">
        <is>
          <t>JÖNKÖPINGS LÄN</t>
        </is>
      </c>
      <c r="E1496" t="inlineStr">
        <is>
          <t>VÄRNAMO</t>
        </is>
      </c>
      <c r="G1496" t="n">
        <v>1.2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58511-2021</t>
        </is>
      </c>
      <c r="B1497" s="1" t="n">
        <v>44488</v>
      </c>
      <c r="C1497" s="1" t="n">
        <v>45962</v>
      </c>
      <c r="D1497" t="inlineStr">
        <is>
          <t>JÖNKÖPINGS LÄN</t>
        </is>
      </c>
      <c r="E1497" t="inlineStr">
        <is>
          <t>VETLANDA</t>
        </is>
      </c>
      <c r="G1497" t="n">
        <v>0.5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45016-2024</t>
        </is>
      </c>
      <c r="B1498" s="1" t="n">
        <v>45575.49575231481</v>
      </c>
      <c r="C1498" s="1" t="n">
        <v>45962</v>
      </c>
      <c r="D1498" t="inlineStr">
        <is>
          <t>JÖNKÖPINGS LÄN</t>
        </is>
      </c>
      <c r="E1498" t="inlineStr">
        <is>
          <t>EKSJÖ</t>
        </is>
      </c>
      <c r="F1498" t="inlineStr">
        <is>
          <t>Övriga Aktiebolag</t>
        </is>
      </c>
      <c r="G1498" t="n">
        <v>6.7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2879-2023</t>
        </is>
      </c>
      <c r="B1499" s="1" t="n">
        <v>44945.46364583333</v>
      </c>
      <c r="C1499" s="1" t="n">
        <v>45962</v>
      </c>
      <c r="D1499" t="inlineStr">
        <is>
          <t>JÖNKÖPINGS LÄN</t>
        </is>
      </c>
      <c r="E1499" t="inlineStr">
        <is>
          <t>GISLAVED</t>
        </is>
      </c>
      <c r="G1499" t="n">
        <v>1.3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60816-2024</t>
        </is>
      </c>
      <c r="B1500" s="1" t="n">
        <v>45644.62243055556</v>
      </c>
      <c r="C1500" s="1" t="n">
        <v>45962</v>
      </c>
      <c r="D1500" t="inlineStr">
        <is>
          <t>JÖNKÖPINGS LÄN</t>
        </is>
      </c>
      <c r="E1500" t="inlineStr">
        <is>
          <t>JÖNKÖPING</t>
        </is>
      </c>
      <c r="G1500" t="n">
        <v>1.6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9934-2025</t>
        </is>
      </c>
      <c r="B1501" s="1" t="n">
        <v>45718.42078703704</v>
      </c>
      <c r="C1501" s="1" t="n">
        <v>45962</v>
      </c>
      <c r="D1501" t="inlineStr">
        <is>
          <t>JÖNKÖPINGS LÄN</t>
        </is>
      </c>
      <c r="E1501" t="inlineStr">
        <is>
          <t>VÄRNAMO</t>
        </is>
      </c>
      <c r="G1501" t="n">
        <v>1.9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7835-2025</t>
        </is>
      </c>
      <c r="B1502" s="1" t="n">
        <v>45706.65204861111</v>
      </c>
      <c r="C1502" s="1" t="n">
        <v>45962</v>
      </c>
      <c r="D1502" t="inlineStr">
        <is>
          <t>JÖNKÖPINGS LÄN</t>
        </is>
      </c>
      <c r="E1502" t="inlineStr">
        <is>
          <t>GISLAVED</t>
        </is>
      </c>
      <c r="G1502" t="n">
        <v>0.8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7844-2025</t>
        </is>
      </c>
      <c r="B1503" s="1" t="n">
        <v>45706.66072916667</v>
      </c>
      <c r="C1503" s="1" t="n">
        <v>45962</v>
      </c>
      <c r="D1503" t="inlineStr">
        <is>
          <t>JÖNKÖPINGS LÄN</t>
        </is>
      </c>
      <c r="E1503" t="inlineStr">
        <is>
          <t>GISLAVED</t>
        </is>
      </c>
      <c r="G1503" t="n">
        <v>0.9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7847-2025</t>
        </is>
      </c>
      <c r="B1504" s="1" t="n">
        <v>45706.66618055556</v>
      </c>
      <c r="C1504" s="1" t="n">
        <v>45962</v>
      </c>
      <c r="D1504" t="inlineStr">
        <is>
          <t>JÖNKÖPINGS LÄN</t>
        </is>
      </c>
      <c r="E1504" t="inlineStr">
        <is>
          <t>JÖNKÖPING</t>
        </is>
      </c>
      <c r="F1504" t="inlineStr">
        <is>
          <t>Sveaskog</t>
        </is>
      </c>
      <c r="G1504" t="n">
        <v>0.8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2025-2024</t>
        </is>
      </c>
      <c r="B1505" s="1" t="n">
        <v>45308</v>
      </c>
      <c r="C1505" s="1" t="n">
        <v>45962</v>
      </c>
      <c r="D1505" t="inlineStr">
        <is>
          <t>JÖNKÖPINGS LÄN</t>
        </is>
      </c>
      <c r="E1505" t="inlineStr">
        <is>
          <t>NÄSSJÖ</t>
        </is>
      </c>
      <c r="G1505" t="n">
        <v>1.8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2040-2024</t>
        </is>
      </c>
      <c r="B1506" s="1" t="n">
        <v>45308</v>
      </c>
      <c r="C1506" s="1" t="n">
        <v>45962</v>
      </c>
      <c r="D1506" t="inlineStr">
        <is>
          <t>JÖNKÖPINGS LÄN</t>
        </is>
      </c>
      <c r="E1506" t="inlineStr">
        <is>
          <t>VÄRNAMO</t>
        </is>
      </c>
      <c r="G1506" t="n">
        <v>0.9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14342-2021</t>
        </is>
      </c>
      <c r="B1507" s="1" t="n">
        <v>44278</v>
      </c>
      <c r="C1507" s="1" t="n">
        <v>45962</v>
      </c>
      <c r="D1507" t="inlineStr">
        <is>
          <t>JÖNKÖPINGS LÄN</t>
        </is>
      </c>
      <c r="E1507" t="inlineStr">
        <is>
          <t>TRANÅS</t>
        </is>
      </c>
      <c r="G1507" t="n">
        <v>4.1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1780-2025</t>
        </is>
      </c>
      <c r="B1508" s="1" t="n">
        <v>45671.44716435186</v>
      </c>
      <c r="C1508" s="1" t="n">
        <v>45962</v>
      </c>
      <c r="D1508" t="inlineStr">
        <is>
          <t>JÖNKÖPINGS LÄN</t>
        </is>
      </c>
      <c r="E1508" t="inlineStr">
        <is>
          <t>JÖNKÖPING</t>
        </is>
      </c>
      <c r="G1508" t="n">
        <v>1.4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19552-2025</t>
        </is>
      </c>
      <c r="B1509" s="1" t="n">
        <v>45770.50659722222</v>
      </c>
      <c r="C1509" s="1" t="n">
        <v>45962</v>
      </c>
      <c r="D1509" t="inlineStr">
        <is>
          <t>JÖNKÖPINGS LÄN</t>
        </is>
      </c>
      <c r="E1509" t="inlineStr">
        <is>
          <t>VETLANDA</t>
        </is>
      </c>
      <c r="G1509" t="n">
        <v>2.9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49575-2024</t>
        </is>
      </c>
      <c r="B1510" s="1" t="n">
        <v>45596.51546296296</v>
      </c>
      <c r="C1510" s="1" t="n">
        <v>45962</v>
      </c>
      <c r="D1510" t="inlineStr">
        <is>
          <t>JÖNKÖPINGS LÄN</t>
        </is>
      </c>
      <c r="E1510" t="inlineStr">
        <is>
          <t>VETLANDA</t>
        </is>
      </c>
      <c r="G1510" t="n">
        <v>2.5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62763-2022</t>
        </is>
      </c>
      <c r="B1511" s="1" t="n">
        <v>44926.86648148148</v>
      </c>
      <c r="C1511" s="1" t="n">
        <v>45962</v>
      </c>
      <c r="D1511" t="inlineStr">
        <is>
          <t>JÖNKÖPINGS LÄN</t>
        </is>
      </c>
      <c r="E1511" t="inlineStr">
        <is>
          <t>GISLAVED</t>
        </is>
      </c>
      <c r="G1511" t="n">
        <v>1.3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19579-2025</t>
        </is>
      </c>
      <c r="B1512" s="1" t="n">
        <v>45770.56298611111</v>
      </c>
      <c r="C1512" s="1" t="n">
        <v>45962</v>
      </c>
      <c r="D1512" t="inlineStr">
        <is>
          <t>JÖNKÖPINGS LÄN</t>
        </is>
      </c>
      <c r="E1512" t="inlineStr">
        <is>
          <t>GISLAVED</t>
        </is>
      </c>
      <c r="G1512" t="n">
        <v>1.1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17950-2021</t>
        </is>
      </c>
      <c r="B1513" s="1" t="n">
        <v>44301</v>
      </c>
      <c r="C1513" s="1" t="n">
        <v>45962</v>
      </c>
      <c r="D1513" t="inlineStr">
        <is>
          <t>JÖNKÖPINGS LÄN</t>
        </is>
      </c>
      <c r="E1513" t="inlineStr">
        <is>
          <t>TRANÅS</t>
        </is>
      </c>
      <c r="G1513" t="n">
        <v>4.7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10978-2021</t>
        </is>
      </c>
      <c r="B1514" s="1" t="n">
        <v>44260</v>
      </c>
      <c r="C1514" s="1" t="n">
        <v>45962</v>
      </c>
      <c r="D1514" t="inlineStr">
        <is>
          <t>JÖNKÖPINGS LÄN</t>
        </is>
      </c>
      <c r="E1514" t="inlineStr">
        <is>
          <t>NÄSSJÖ</t>
        </is>
      </c>
      <c r="G1514" t="n">
        <v>1.7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3790-2024</t>
        </is>
      </c>
      <c r="B1515" s="1" t="n">
        <v>45321.61387731481</v>
      </c>
      <c r="C1515" s="1" t="n">
        <v>45962</v>
      </c>
      <c r="D1515" t="inlineStr">
        <is>
          <t>JÖNKÖPINGS LÄN</t>
        </is>
      </c>
      <c r="E1515" t="inlineStr">
        <is>
          <t>VETLANDA</t>
        </is>
      </c>
      <c r="G1515" t="n">
        <v>2.9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7358-2025</t>
        </is>
      </c>
      <c r="B1516" s="1" t="n">
        <v>45704.62030092593</v>
      </c>
      <c r="C1516" s="1" t="n">
        <v>45962</v>
      </c>
      <c r="D1516" t="inlineStr">
        <is>
          <t>JÖNKÖPINGS LÄN</t>
        </is>
      </c>
      <c r="E1516" t="inlineStr">
        <is>
          <t>SÄVSJÖ</t>
        </is>
      </c>
      <c r="G1516" t="n">
        <v>1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30222-2021</t>
        </is>
      </c>
      <c r="B1517" s="1" t="n">
        <v>44363</v>
      </c>
      <c r="C1517" s="1" t="n">
        <v>45962</v>
      </c>
      <c r="D1517" t="inlineStr">
        <is>
          <t>JÖNKÖPINGS LÄN</t>
        </is>
      </c>
      <c r="E1517" t="inlineStr">
        <is>
          <t>VETLANDA</t>
        </is>
      </c>
      <c r="G1517" t="n">
        <v>1.7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48308-2022</t>
        </is>
      </c>
      <c r="B1518" s="1" t="n">
        <v>44853</v>
      </c>
      <c r="C1518" s="1" t="n">
        <v>45962</v>
      </c>
      <c r="D1518" t="inlineStr">
        <is>
          <t>JÖNKÖPINGS LÄN</t>
        </is>
      </c>
      <c r="E1518" t="inlineStr">
        <is>
          <t>JÖNKÖPING</t>
        </is>
      </c>
      <c r="G1518" t="n">
        <v>5.5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7401-2025</t>
        </is>
      </c>
      <c r="B1519" s="1" t="n">
        <v>45705</v>
      </c>
      <c r="C1519" s="1" t="n">
        <v>45962</v>
      </c>
      <c r="D1519" t="inlineStr">
        <is>
          <t>JÖNKÖPINGS LÄN</t>
        </is>
      </c>
      <c r="E1519" t="inlineStr">
        <is>
          <t>JÖNKÖPING</t>
        </is>
      </c>
      <c r="G1519" t="n">
        <v>1.1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65253-2023</t>
        </is>
      </c>
      <c r="B1520" s="1" t="n">
        <v>45290</v>
      </c>
      <c r="C1520" s="1" t="n">
        <v>45962</v>
      </c>
      <c r="D1520" t="inlineStr">
        <is>
          <t>JÖNKÖPINGS LÄN</t>
        </is>
      </c>
      <c r="E1520" t="inlineStr">
        <is>
          <t>NÄSSJÖ</t>
        </is>
      </c>
      <c r="G1520" t="n">
        <v>4.2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54002-2021</t>
        </is>
      </c>
      <c r="B1521" s="1" t="n">
        <v>44470.34038194444</v>
      </c>
      <c r="C1521" s="1" t="n">
        <v>45962</v>
      </c>
      <c r="D1521" t="inlineStr">
        <is>
          <t>JÖNKÖPINGS LÄN</t>
        </is>
      </c>
      <c r="E1521" t="inlineStr">
        <is>
          <t>VETLANDA</t>
        </is>
      </c>
      <c r="G1521" t="n">
        <v>1.5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17093-2021</t>
        </is>
      </c>
      <c r="B1522" s="1" t="n">
        <v>44298.31650462963</v>
      </c>
      <c r="C1522" s="1" t="n">
        <v>45962</v>
      </c>
      <c r="D1522" t="inlineStr">
        <is>
          <t>JÖNKÖPINGS LÄN</t>
        </is>
      </c>
      <c r="E1522" t="inlineStr">
        <is>
          <t>EKSJÖ</t>
        </is>
      </c>
      <c r="F1522" t="inlineStr">
        <is>
          <t>Sveaskog</t>
        </is>
      </c>
      <c r="G1522" t="n">
        <v>1.2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55944-2021</t>
        </is>
      </c>
      <c r="B1523" s="1" t="n">
        <v>44477.29997685185</v>
      </c>
      <c r="C1523" s="1" t="n">
        <v>45962</v>
      </c>
      <c r="D1523" t="inlineStr">
        <is>
          <t>JÖNKÖPINGS LÄN</t>
        </is>
      </c>
      <c r="E1523" t="inlineStr">
        <is>
          <t>VETLANDA</t>
        </is>
      </c>
      <c r="G1523" t="n">
        <v>2.4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12223-2023</t>
        </is>
      </c>
      <c r="B1524" s="1" t="n">
        <v>44998</v>
      </c>
      <c r="C1524" s="1" t="n">
        <v>45962</v>
      </c>
      <c r="D1524" t="inlineStr">
        <is>
          <t>JÖNKÖPINGS LÄN</t>
        </is>
      </c>
      <c r="E1524" t="inlineStr">
        <is>
          <t>VETLANDA</t>
        </is>
      </c>
      <c r="G1524" t="n">
        <v>8.800000000000001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20388-2024</t>
        </is>
      </c>
      <c r="B1525" s="1" t="n">
        <v>45435.51875</v>
      </c>
      <c r="C1525" s="1" t="n">
        <v>45962</v>
      </c>
      <c r="D1525" t="inlineStr">
        <is>
          <t>JÖNKÖPINGS LÄN</t>
        </is>
      </c>
      <c r="E1525" t="inlineStr">
        <is>
          <t>JÖNKÖPING</t>
        </is>
      </c>
      <c r="G1525" t="n">
        <v>0.1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8207-2024</t>
        </is>
      </c>
      <c r="B1526" s="1" t="n">
        <v>45351.72865740741</v>
      </c>
      <c r="C1526" s="1" t="n">
        <v>45962</v>
      </c>
      <c r="D1526" t="inlineStr">
        <is>
          <t>JÖNKÖPINGS LÄN</t>
        </is>
      </c>
      <c r="E1526" t="inlineStr">
        <is>
          <t>VETLANDA</t>
        </is>
      </c>
      <c r="G1526" t="n">
        <v>3.5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50878-2024</t>
        </is>
      </c>
      <c r="B1527" s="1" t="n">
        <v>45602</v>
      </c>
      <c r="C1527" s="1" t="n">
        <v>45962</v>
      </c>
      <c r="D1527" t="inlineStr">
        <is>
          <t>JÖNKÖPINGS LÄN</t>
        </is>
      </c>
      <c r="E1527" t="inlineStr">
        <is>
          <t>VETLANDA</t>
        </is>
      </c>
      <c r="G1527" t="n">
        <v>0.8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58962-2024</t>
        </is>
      </c>
      <c r="B1528" s="1" t="n">
        <v>45636.58703703704</v>
      </c>
      <c r="C1528" s="1" t="n">
        <v>45962</v>
      </c>
      <c r="D1528" t="inlineStr">
        <is>
          <t>JÖNKÖPINGS LÄN</t>
        </is>
      </c>
      <c r="E1528" t="inlineStr">
        <is>
          <t>GNOSJÖ</t>
        </is>
      </c>
      <c r="G1528" t="n">
        <v>2.9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55708-2022</t>
        </is>
      </c>
      <c r="B1529" s="1" t="n">
        <v>44888.55878472222</v>
      </c>
      <c r="C1529" s="1" t="n">
        <v>45962</v>
      </c>
      <c r="D1529" t="inlineStr">
        <is>
          <t>JÖNKÖPINGS LÄN</t>
        </is>
      </c>
      <c r="E1529" t="inlineStr">
        <is>
          <t>ANEBY</t>
        </is>
      </c>
      <c r="G1529" t="n">
        <v>2.1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11117-2023</t>
        </is>
      </c>
      <c r="B1530" s="1" t="n">
        <v>44992.45543981482</v>
      </c>
      <c r="C1530" s="1" t="n">
        <v>45962</v>
      </c>
      <c r="D1530" t="inlineStr">
        <is>
          <t>JÖNKÖPINGS LÄN</t>
        </is>
      </c>
      <c r="E1530" t="inlineStr">
        <is>
          <t>MULLSJÖ</t>
        </is>
      </c>
      <c r="G1530" t="n">
        <v>3.3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11120-2023</t>
        </is>
      </c>
      <c r="B1531" s="1" t="n">
        <v>44992.46184027778</v>
      </c>
      <c r="C1531" s="1" t="n">
        <v>45962</v>
      </c>
      <c r="D1531" t="inlineStr">
        <is>
          <t>JÖNKÖPINGS LÄN</t>
        </is>
      </c>
      <c r="E1531" t="inlineStr">
        <is>
          <t>NÄSSJÖ</t>
        </is>
      </c>
      <c r="F1531" t="inlineStr">
        <is>
          <t>Kommuner</t>
        </is>
      </c>
      <c r="G1531" t="n">
        <v>5.4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15407-2024</t>
        </is>
      </c>
      <c r="B1532" s="1" t="n">
        <v>45401.34349537037</v>
      </c>
      <c r="C1532" s="1" t="n">
        <v>45962</v>
      </c>
      <c r="D1532" t="inlineStr">
        <is>
          <t>JÖNKÖPINGS LÄN</t>
        </is>
      </c>
      <c r="E1532" t="inlineStr">
        <is>
          <t>JÖNKÖPING</t>
        </is>
      </c>
      <c r="G1532" t="n">
        <v>1.1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10563-2023</t>
        </is>
      </c>
      <c r="B1533" s="1" t="n">
        <v>44988</v>
      </c>
      <c r="C1533" s="1" t="n">
        <v>45962</v>
      </c>
      <c r="D1533" t="inlineStr">
        <is>
          <t>JÖNKÖPINGS LÄN</t>
        </is>
      </c>
      <c r="E1533" t="inlineStr">
        <is>
          <t>JÖNKÖPING</t>
        </is>
      </c>
      <c r="G1533" t="n">
        <v>1.7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37885-2024</t>
        </is>
      </c>
      <c r="B1534" s="1" t="n">
        <v>45544.44743055556</v>
      </c>
      <c r="C1534" s="1" t="n">
        <v>45962</v>
      </c>
      <c r="D1534" t="inlineStr">
        <is>
          <t>JÖNKÖPINGS LÄN</t>
        </is>
      </c>
      <c r="E1534" t="inlineStr">
        <is>
          <t>GISLAVED</t>
        </is>
      </c>
      <c r="G1534" t="n">
        <v>0.8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38964-2023</t>
        </is>
      </c>
      <c r="B1535" s="1" t="n">
        <v>45163.63111111111</v>
      </c>
      <c r="C1535" s="1" t="n">
        <v>45962</v>
      </c>
      <c r="D1535" t="inlineStr">
        <is>
          <t>JÖNKÖPINGS LÄN</t>
        </is>
      </c>
      <c r="E1535" t="inlineStr">
        <is>
          <t>VETLANDA</t>
        </is>
      </c>
      <c r="G1535" t="n">
        <v>0.5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45575-2022</t>
        </is>
      </c>
      <c r="B1536" s="1" t="n">
        <v>44845</v>
      </c>
      <c r="C1536" s="1" t="n">
        <v>45962</v>
      </c>
      <c r="D1536" t="inlineStr">
        <is>
          <t>JÖNKÖPINGS LÄN</t>
        </is>
      </c>
      <c r="E1536" t="inlineStr">
        <is>
          <t>TRANÅS</t>
        </is>
      </c>
      <c r="G1536" t="n">
        <v>0.6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44994-2024</t>
        </is>
      </c>
      <c r="B1537" s="1" t="n">
        <v>45575.48229166667</v>
      </c>
      <c r="C1537" s="1" t="n">
        <v>45962</v>
      </c>
      <c r="D1537" t="inlineStr">
        <is>
          <t>JÖNKÖPINGS LÄN</t>
        </is>
      </c>
      <c r="E1537" t="inlineStr">
        <is>
          <t>VETLANDA</t>
        </is>
      </c>
      <c r="G1537" t="n">
        <v>1.3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55074-2023</t>
        </is>
      </c>
      <c r="B1538" s="1" t="n">
        <v>45237</v>
      </c>
      <c r="C1538" s="1" t="n">
        <v>45962</v>
      </c>
      <c r="D1538" t="inlineStr">
        <is>
          <t>JÖNKÖPINGS LÄN</t>
        </is>
      </c>
      <c r="E1538" t="inlineStr">
        <is>
          <t>GNOSJÖ</t>
        </is>
      </c>
      <c r="G1538" t="n">
        <v>0.9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2860-2024</t>
        </is>
      </c>
      <c r="B1539" s="1" t="n">
        <v>45315.4415625</v>
      </c>
      <c r="C1539" s="1" t="n">
        <v>45962</v>
      </c>
      <c r="D1539" t="inlineStr">
        <is>
          <t>JÖNKÖPINGS LÄN</t>
        </is>
      </c>
      <c r="E1539" t="inlineStr">
        <is>
          <t>SÄVSJÖ</t>
        </is>
      </c>
      <c r="G1539" t="n">
        <v>0.6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53131-2023</t>
        </is>
      </c>
      <c r="B1540" s="1" t="n">
        <v>45229.31146990741</v>
      </c>
      <c r="C1540" s="1" t="n">
        <v>45962</v>
      </c>
      <c r="D1540" t="inlineStr">
        <is>
          <t>JÖNKÖPINGS LÄN</t>
        </is>
      </c>
      <c r="E1540" t="inlineStr">
        <is>
          <t>VÄRNAMO</t>
        </is>
      </c>
      <c r="G1540" t="n">
        <v>0.5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25418-2024</t>
        </is>
      </c>
      <c r="B1541" s="1" t="n">
        <v>45462</v>
      </c>
      <c r="C1541" s="1" t="n">
        <v>45962</v>
      </c>
      <c r="D1541" t="inlineStr">
        <is>
          <t>JÖNKÖPINGS LÄN</t>
        </is>
      </c>
      <c r="E1541" t="inlineStr">
        <is>
          <t>VAGGERYD</t>
        </is>
      </c>
      <c r="G1541" t="n">
        <v>6.3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27012-2024</t>
        </is>
      </c>
      <c r="B1542" s="1" t="n">
        <v>45471.4034837963</v>
      </c>
      <c r="C1542" s="1" t="n">
        <v>45962</v>
      </c>
      <c r="D1542" t="inlineStr">
        <is>
          <t>JÖNKÖPINGS LÄN</t>
        </is>
      </c>
      <c r="E1542" t="inlineStr">
        <is>
          <t>JÖNKÖPING</t>
        </is>
      </c>
      <c r="G1542" t="n">
        <v>1.2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13852-2023</t>
        </is>
      </c>
      <c r="B1543" s="1" t="n">
        <v>45007</v>
      </c>
      <c r="C1543" s="1" t="n">
        <v>45962</v>
      </c>
      <c r="D1543" t="inlineStr">
        <is>
          <t>JÖNKÖPINGS LÄN</t>
        </is>
      </c>
      <c r="E1543" t="inlineStr">
        <is>
          <t>ANEBY</t>
        </is>
      </c>
      <c r="G1543" t="n">
        <v>0.8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14228-2025</t>
        </is>
      </c>
      <c r="B1544" s="1" t="n">
        <v>45740.59871527777</v>
      </c>
      <c r="C1544" s="1" t="n">
        <v>45962</v>
      </c>
      <c r="D1544" t="inlineStr">
        <is>
          <t>JÖNKÖPINGS LÄN</t>
        </is>
      </c>
      <c r="E1544" t="inlineStr">
        <is>
          <t>JÖNKÖPING</t>
        </is>
      </c>
      <c r="G1544" t="n">
        <v>2.6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9750-2025</t>
        </is>
      </c>
      <c r="B1545" s="1" t="n">
        <v>45716.46211805556</v>
      </c>
      <c r="C1545" s="1" t="n">
        <v>45962</v>
      </c>
      <c r="D1545" t="inlineStr">
        <is>
          <t>JÖNKÖPINGS LÄN</t>
        </is>
      </c>
      <c r="E1545" t="inlineStr">
        <is>
          <t>TRANÅS</t>
        </is>
      </c>
      <c r="G1545" t="n">
        <v>5.2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46738-2023</t>
        </is>
      </c>
      <c r="B1546" s="1" t="n">
        <v>45198.59607638889</v>
      </c>
      <c r="C1546" s="1" t="n">
        <v>45962</v>
      </c>
      <c r="D1546" t="inlineStr">
        <is>
          <t>JÖNKÖPINGS LÄN</t>
        </is>
      </c>
      <c r="E1546" t="inlineStr">
        <is>
          <t>JÖNKÖPING</t>
        </is>
      </c>
      <c r="G1546" t="n">
        <v>0.9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49801-2023</t>
        </is>
      </c>
      <c r="B1547" s="1" t="n">
        <v>45212.6421875</v>
      </c>
      <c r="C1547" s="1" t="n">
        <v>45962</v>
      </c>
      <c r="D1547" t="inlineStr">
        <is>
          <t>JÖNKÖPINGS LÄN</t>
        </is>
      </c>
      <c r="E1547" t="inlineStr">
        <is>
          <t>GISLAVED</t>
        </is>
      </c>
      <c r="G1547" t="n">
        <v>1.1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46780-2023</t>
        </is>
      </c>
      <c r="B1548" s="1" t="n">
        <v>45198.65056712963</v>
      </c>
      <c r="C1548" s="1" t="n">
        <v>45962</v>
      </c>
      <c r="D1548" t="inlineStr">
        <is>
          <t>JÖNKÖPINGS LÄN</t>
        </is>
      </c>
      <c r="E1548" t="inlineStr">
        <is>
          <t>ANEBY</t>
        </is>
      </c>
      <c r="F1548" t="inlineStr">
        <is>
          <t>Sveaskog</t>
        </is>
      </c>
      <c r="G1548" t="n">
        <v>2.9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12959-2023</t>
        </is>
      </c>
      <c r="B1549" s="1" t="n">
        <v>45001.78961805555</v>
      </c>
      <c r="C1549" s="1" t="n">
        <v>45962</v>
      </c>
      <c r="D1549" t="inlineStr">
        <is>
          <t>JÖNKÖPINGS LÄN</t>
        </is>
      </c>
      <c r="E1549" t="inlineStr">
        <is>
          <t>SÄVSJÖ</t>
        </is>
      </c>
      <c r="G1549" t="n">
        <v>1.2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7521-2025</t>
        </is>
      </c>
      <c r="B1550" s="1" t="n">
        <v>45702</v>
      </c>
      <c r="C1550" s="1" t="n">
        <v>45962</v>
      </c>
      <c r="D1550" t="inlineStr">
        <is>
          <t>JÖNKÖPINGS LÄN</t>
        </is>
      </c>
      <c r="E1550" t="inlineStr">
        <is>
          <t>ANEBY</t>
        </is>
      </c>
      <c r="G1550" t="n">
        <v>0.7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4687-2024</t>
        </is>
      </c>
      <c r="B1551" s="1" t="n">
        <v>45328.50096064815</v>
      </c>
      <c r="C1551" s="1" t="n">
        <v>45962</v>
      </c>
      <c r="D1551" t="inlineStr">
        <is>
          <t>JÖNKÖPINGS LÄN</t>
        </is>
      </c>
      <c r="E1551" t="inlineStr">
        <is>
          <t>SÄVSJÖ</t>
        </is>
      </c>
      <c r="G1551" t="n">
        <v>2.8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38201-2023</t>
        </is>
      </c>
      <c r="B1552" s="1" t="n">
        <v>45161</v>
      </c>
      <c r="C1552" s="1" t="n">
        <v>45962</v>
      </c>
      <c r="D1552" t="inlineStr">
        <is>
          <t>JÖNKÖPINGS LÄN</t>
        </is>
      </c>
      <c r="E1552" t="inlineStr">
        <is>
          <t>EKSJÖ</t>
        </is>
      </c>
      <c r="G1552" t="n">
        <v>7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5661-2025</t>
        </is>
      </c>
      <c r="B1553" s="1" t="n">
        <v>45693</v>
      </c>
      <c r="C1553" s="1" t="n">
        <v>45962</v>
      </c>
      <c r="D1553" t="inlineStr">
        <is>
          <t>JÖNKÖPINGS LÄN</t>
        </is>
      </c>
      <c r="E1553" t="inlineStr">
        <is>
          <t>JÖNKÖPING</t>
        </is>
      </c>
      <c r="G1553" t="n">
        <v>0.9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4735-2024</t>
        </is>
      </c>
      <c r="B1554" s="1" t="n">
        <v>45328.62417824074</v>
      </c>
      <c r="C1554" s="1" t="n">
        <v>45962</v>
      </c>
      <c r="D1554" t="inlineStr">
        <is>
          <t>JÖNKÖPINGS LÄN</t>
        </is>
      </c>
      <c r="E1554" t="inlineStr">
        <is>
          <t>VÄRNAMO</t>
        </is>
      </c>
      <c r="G1554" t="n">
        <v>0.9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3900-2025</t>
        </is>
      </c>
      <c r="B1555" s="1" t="n">
        <v>45684.38881944444</v>
      </c>
      <c r="C1555" s="1" t="n">
        <v>45962</v>
      </c>
      <c r="D1555" t="inlineStr">
        <is>
          <t>JÖNKÖPINGS LÄN</t>
        </is>
      </c>
      <c r="E1555" t="inlineStr">
        <is>
          <t>VÄRNAMO</t>
        </is>
      </c>
      <c r="G1555" t="n">
        <v>1.3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51582-2024</t>
        </is>
      </c>
      <c r="B1556" s="1" t="n">
        <v>45604.63623842593</v>
      </c>
      <c r="C1556" s="1" t="n">
        <v>45962</v>
      </c>
      <c r="D1556" t="inlineStr">
        <is>
          <t>JÖNKÖPINGS LÄN</t>
        </is>
      </c>
      <c r="E1556" t="inlineStr">
        <is>
          <t>VÄRNAMO</t>
        </is>
      </c>
      <c r="G1556" t="n">
        <v>3.5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59905-2022</t>
        </is>
      </c>
      <c r="B1557" s="1" t="n">
        <v>44908.90825231482</v>
      </c>
      <c r="C1557" s="1" t="n">
        <v>45962</v>
      </c>
      <c r="D1557" t="inlineStr">
        <is>
          <t>JÖNKÖPINGS LÄN</t>
        </is>
      </c>
      <c r="E1557" t="inlineStr">
        <is>
          <t>EKSJÖ</t>
        </is>
      </c>
      <c r="G1557" t="n">
        <v>3.1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17578-2025</t>
        </is>
      </c>
      <c r="B1558" s="1" t="n">
        <v>45757</v>
      </c>
      <c r="C1558" s="1" t="n">
        <v>45962</v>
      </c>
      <c r="D1558" t="inlineStr">
        <is>
          <t>JÖNKÖPINGS LÄN</t>
        </is>
      </c>
      <c r="E1558" t="inlineStr">
        <is>
          <t>TRANÅS</t>
        </is>
      </c>
      <c r="G1558" t="n">
        <v>5.2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58953-2023</t>
        </is>
      </c>
      <c r="B1559" s="1" t="n">
        <v>45252.58925925926</v>
      </c>
      <c r="C1559" s="1" t="n">
        <v>45962</v>
      </c>
      <c r="D1559" t="inlineStr">
        <is>
          <t>JÖNKÖPINGS LÄN</t>
        </is>
      </c>
      <c r="E1559" t="inlineStr">
        <is>
          <t>JÖNKÖPING</t>
        </is>
      </c>
      <c r="G1559" t="n">
        <v>2.3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59961-2022</t>
        </is>
      </c>
      <c r="B1560" s="1" t="n">
        <v>44909.4028587963</v>
      </c>
      <c r="C1560" s="1" t="n">
        <v>45962</v>
      </c>
      <c r="D1560" t="inlineStr">
        <is>
          <t>JÖNKÖPINGS LÄN</t>
        </is>
      </c>
      <c r="E1560" t="inlineStr">
        <is>
          <t>EKSJÖ</t>
        </is>
      </c>
      <c r="G1560" t="n">
        <v>0.5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61665-2024</t>
        </is>
      </c>
      <c r="B1561" s="1" t="n">
        <v>45647.29790509259</v>
      </c>
      <c r="C1561" s="1" t="n">
        <v>45962</v>
      </c>
      <c r="D1561" t="inlineStr">
        <is>
          <t>JÖNKÖPINGS LÄN</t>
        </is>
      </c>
      <c r="E1561" t="inlineStr">
        <is>
          <t>HABO</t>
        </is>
      </c>
      <c r="G1561" t="n">
        <v>0.7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4631-2023</t>
        </is>
      </c>
      <c r="B1562" s="1" t="n">
        <v>44957.30019675926</v>
      </c>
      <c r="C1562" s="1" t="n">
        <v>45962</v>
      </c>
      <c r="D1562" t="inlineStr">
        <is>
          <t>JÖNKÖPINGS LÄN</t>
        </is>
      </c>
      <c r="E1562" t="inlineStr">
        <is>
          <t>VÄRNAMO</t>
        </is>
      </c>
      <c r="G1562" t="n">
        <v>4.1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73547-2021</t>
        </is>
      </c>
      <c r="B1563" s="1" t="n">
        <v>44551.8628587963</v>
      </c>
      <c r="C1563" s="1" t="n">
        <v>45962</v>
      </c>
      <c r="D1563" t="inlineStr">
        <is>
          <t>JÖNKÖPINGS LÄN</t>
        </is>
      </c>
      <c r="E1563" t="inlineStr">
        <is>
          <t>GISLAVED</t>
        </is>
      </c>
      <c r="G1563" t="n">
        <v>1.9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18770-2025</t>
        </is>
      </c>
      <c r="B1564" s="1" t="n">
        <v>45764.30016203703</v>
      </c>
      <c r="C1564" s="1" t="n">
        <v>45962</v>
      </c>
      <c r="D1564" t="inlineStr">
        <is>
          <t>JÖNKÖPINGS LÄN</t>
        </is>
      </c>
      <c r="E1564" t="inlineStr">
        <is>
          <t>JÖNKÖPING</t>
        </is>
      </c>
      <c r="G1564" t="n">
        <v>3.3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12876-2024</t>
        </is>
      </c>
      <c r="B1565" s="1" t="n">
        <v>45385.27788194444</v>
      </c>
      <c r="C1565" s="1" t="n">
        <v>45962</v>
      </c>
      <c r="D1565" t="inlineStr">
        <is>
          <t>JÖNKÖPINGS LÄN</t>
        </is>
      </c>
      <c r="E1565" t="inlineStr">
        <is>
          <t>VAGGERYD</t>
        </is>
      </c>
      <c r="G1565" t="n">
        <v>3.2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12882-2024</t>
        </is>
      </c>
      <c r="B1566" s="1" t="n">
        <v>45385.33501157408</v>
      </c>
      <c r="C1566" s="1" t="n">
        <v>45962</v>
      </c>
      <c r="D1566" t="inlineStr">
        <is>
          <t>JÖNKÖPINGS LÄN</t>
        </is>
      </c>
      <c r="E1566" t="inlineStr">
        <is>
          <t>GISLAVED</t>
        </is>
      </c>
      <c r="G1566" t="n">
        <v>1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8811-2023</t>
        </is>
      </c>
      <c r="B1567" s="1" t="n">
        <v>44978.63289351852</v>
      </c>
      <c r="C1567" s="1" t="n">
        <v>45962</v>
      </c>
      <c r="D1567" t="inlineStr">
        <is>
          <t>JÖNKÖPINGS LÄN</t>
        </is>
      </c>
      <c r="E1567" t="inlineStr">
        <is>
          <t>ANEBY</t>
        </is>
      </c>
      <c r="G1567" t="n">
        <v>3.9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59746-2022</t>
        </is>
      </c>
      <c r="B1568" s="1" t="n">
        <v>44900</v>
      </c>
      <c r="C1568" s="1" t="n">
        <v>45962</v>
      </c>
      <c r="D1568" t="inlineStr">
        <is>
          <t>JÖNKÖPINGS LÄN</t>
        </is>
      </c>
      <c r="E1568" t="inlineStr">
        <is>
          <t>VAGGERYD</t>
        </is>
      </c>
      <c r="G1568" t="n">
        <v>4.2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34683-2021</t>
        </is>
      </c>
      <c r="B1569" s="1" t="n">
        <v>44382.60047453704</v>
      </c>
      <c r="C1569" s="1" t="n">
        <v>45962</v>
      </c>
      <c r="D1569" t="inlineStr">
        <is>
          <t>JÖNKÖPINGS LÄN</t>
        </is>
      </c>
      <c r="E1569" t="inlineStr">
        <is>
          <t>NÄSSJÖ</t>
        </is>
      </c>
      <c r="G1569" t="n">
        <v>3.5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6896-2023</t>
        </is>
      </c>
      <c r="B1570" s="1" t="n">
        <v>44967.50171296296</v>
      </c>
      <c r="C1570" s="1" t="n">
        <v>45962</v>
      </c>
      <c r="D1570" t="inlineStr">
        <is>
          <t>JÖNKÖPINGS LÄN</t>
        </is>
      </c>
      <c r="E1570" t="inlineStr">
        <is>
          <t>VETLANDA</t>
        </is>
      </c>
      <c r="G1570" t="n">
        <v>0.5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6897-2023</t>
        </is>
      </c>
      <c r="B1571" s="1" t="n">
        <v>44967.50269675926</v>
      </c>
      <c r="C1571" s="1" t="n">
        <v>45962</v>
      </c>
      <c r="D1571" t="inlineStr">
        <is>
          <t>JÖNKÖPINGS LÄN</t>
        </is>
      </c>
      <c r="E1571" t="inlineStr">
        <is>
          <t>VETLANDA</t>
        </is>
      </c>
      <c r="G1571" t="n">
        <v>0.5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14323-2024</t>
        </is>
      </c>
      <c r="B1572" s="1" t="n">
        <v>45393.69707175926</v>
      </c>
      <c r="C1572" s="1" t="n">
        <v>45962</v>
      </c>
      <c r="D1572" t="inlineStr">
        <is>
          <t>JÖNKÖPINGS LÄN</t>
        </is>
      </c>
      <c r="E1572" t="inlineStr">
        <is>
          <t>ANEBY</t>
        </is>
      </c>
      <c r="G1572" t="n">
        <v>0.6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27775-2024</t>
        </is>
      </c>
      <c r="B1573" s="1" t="n">
        <v>45475.53646990741</v>
      </c>
      <c r="C1573" s="1" t="n">
        <v>45962</v>
      </c>
      <c r="D1573" t="inlineStr">
        <is>
          <t>JÖNKÖPINGS LÄN</t>
        </is>
      </c>
      <c r="E1573" t="inlineStr">
        <is>
          <t>EKSJÖ</t>
        </is>
      </c>
      <c r="G1573" t="n">
        <v>1.2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20420-2025</t>
        </is>
      </c>
      <c r="B1574" s="1" t="n">
        <v>45775.46554398148</v>
      </c>
      <c r="C1574" s="1" t="n">
        <v>45962</v>
      </c>
      <c r="D1574" t="inlineStr">
        <is>
          <t>JÖNKÖPINGS LÄN</t>
        </is>
      </c>
      <c r="E1574" t="inlineStr">
        <is>
          <t>VETLANDA</t>
        </is>
      </c>
      <c r="G1574" t="n">
        <v>3.2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39443-2021</t>
        </is>
      </c>
      <c r="B1575" s="1" t="n">
        <v>44414</v>
      </c>
      <c r="C1575" s="1" t="n">
        <v>45962</v>
      </c>
      <c r="D1575" t="inlineStr">
        <is>
          <t>JÖNKÖPINGS LÄN</t>
        </is>
      </c>
      <c r="E1575" t="inlineStr">
        <is>
          <t>JÖNKÖPING</t>
        </is>
      </c>
      <c r="G1575" t="n">
        <v>1.6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51588-2023</t>
        </is>
      </c>
      <c r="B1576" s="1" t="n">
        <v>45222</v>
      </c>
      <c r="C1576" s="1" t="n">
        <v>45962</v>
      </c>
      <c r="D1576" t="inlineStr">
        <is>
          <t>JÖNKÖPINGS LÄN</t>
        </is>
      </c>
      <c r="E1576" t="inlineStr">
        <is>
          <t>HABO</t>
        </is>
      </c>
      <c r="G1576" t="n">
        <v>3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3306-2024</t>
        </is>
      </c>
      <c r="B1577" s="1" t="n">
        <v>45317</v>
      </c>
      <c r="C1577" s="1" t="n">
        <v>45962</v>
      </c>
      <c r="D1577" t="inlineStr">
        <is>
          <t>JÖNKÖPINGS LÄN</t>
        </is>
      </c>
      <c r="E1577" t="inlineStr">
        <is>
          <t>SÄVSJÖ</t>
        </is>
      </c>
      <c r="G1577" t="n">
        <v>19.9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14227-2023</t>
        </is>
      </c>
      <c r="B1578" s="1" t="n">
        <v>45009</v>
      </c>
      <c r="C1578" s="1" t="n">
        <v>45962</v>
      </c>
      <c r="D1578" t="inlineStr">
        <is>
          <t>JÖNKÖPINGS LÄN</t>
        </is>
      </c>
      <c r="E1578" t="inlineStr">
        <is>
          <t>JÖNKÖPING</t>
        </is>
      </c>
      <c r="G1578" t="n">
        <v>1.3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14116-2023</t>
        </is>
      </c>
      <c r="B1579" s="1" t="n">
        <v>45009.42462962963</v>
      </c>
      <c r="C1579" s="1" t="n">
        <v>45962</v>
      </c>
      <c r="D1579" t="inlineStr">
        <is>
          <t>JÖNKÖPINGS LÄN</t>
        </is>
      </c>
      <c r="E1579" t="inlineStr">
        <is>
          <t>NÄSSJÖ</t>
        </is>
      </c>
      <c r="G1579" t="n">
        <v>1.3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5818-2023</t>
        </is>
      </c>
      <c r="B1580" s="1" t="n">
        <v>44963</v>
      </c>
      <c r="C1580" s="1" t="n">
        <v>45962</v>
      </c>
      <c r="D1580" t="inlineStr">
        <is>
          <t>JÖNKÖPINGS LÄN</t>
        </is>
      </c>
      <c r="E1580" t="inlineStr">
        <is>
          <t>GNOSJÖ</t>
        </is>
      </c>
      <c r="G1580" t="n">
        <v>0.7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62892-2023</t>
        </is>
      </c>
      <c r="B1581" s="1" t="n">
        <v>45272.42149305555</v>
      </c>
      <c r="C1581" s="1" t="n">
        <v>45962</v>
      </c>
      <c r="D1581" t="inlineStr">
        <is>
          <t>JÖNKÖPINGS LÄN</t>
        </is>
      </c>
      <c r="E1581" t="inlineStr">
        <is>
          <t>JÖNKÖPING</t>
        </is>
      </c>
      <c r="G1581" t="n">
        <v>7.7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64240-2021</t>
        </is>
      </c>
      <c r="B1582" s="1" t="n">
        <v>44510</v>
      </c>
      <c r="C1582" s="1" t="n">
        <v>45962</v>
      </c>
      <c r="D1582" t="inlineStr">
        <is>
          <t>JÖNKÖPINGS LÄN</t>
        </is>
      </c>
      <c r="E1582" t="inlineStr">
        <is>
          <t>VETLANDA</t>
        </is>
      </c>
      <c r="G1582" t="n">
        <v>0.9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28605-2023</t>
        </is>
      </c>
      <c r="B1583" s="1" t="n">
        <v>45103.5830787037</v>
      </c>
      <c r="C1583" s="1" t="n">
        <v>45962</v>
      </c>
      <c r="D1583" t="inlineStr">
        <is>
          <t>JÖNKÖPINGS LÄN</t>
        </is>
      </c>
      <c r="E1583" t="inlineStr">
        <is>
          <t>MULLSJÖ</t>
        </is>
      </c>
      <c r="G1583" t="n">
        <v>1.6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12-2022</t>
        </is>
      </c>
      <c r="B1584" s="1" t="n">
        <v>44563</v>
      </c>
      <c r="C1584" s="1" t="n">
        <v>45962</v>
      </c>
      <c r="D1584" t="inlineStr">
        <is>
          <t>JÖNKÖPINGS LÄN</t>
        </is>
      </c>
      <c r="E1584" t="inlineStr">
        <is>
          <t>GISLAVED</t>
        </is>
      </c>
      <c r="G1584" t="n">
        <v>1.2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29006-2024</t>
        </is>
      </c>
      <c r="B1585" s="1" t="n">
        <v>45481.53797453704</v>
      </c>
      <c r="C1585" s="1" t="n">
        <v>45962</v>
      </c>
      <c r="D1585" t="inlineStr">
        <is>
          <t>JÖNKÖPINGS LÄN</t>
        </is>
      </c>
      <c r="E1585" t="inlineStr">
        <is>
          <t>NÄSSJÖ</t>
        </is>
      </c>
      <c r="G1585" t="n">
        <v>2.9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13833-2024</t>
        </is>
      </c>
      <c r="B1586" s="1" t="n">
        <v>45391.43503472222</v>
      </c>
      <c r="C1586" s="1" t="n">
        <v>45962</v>
      </c>
      <c r="D1586" t="inlineStr">
        <is>
          <t>JÖNKÖPINGS LÄN</t>
        </is>
      </c>
      <c r="E1586" t="inlineStr">
        <is>
          <t>EKSJÖ</t>
        </is>
      </c>
      <c r="G1586" t="n">
        <v>1.5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34394-2022</t>
        </is>
      </c>
      <c r="B1587" s="1" t="n">
        <v>44792.50753472222</v>
      </c>
      <c r="C1587" s="1" t="n">
        <v>45962</v>
      </c>
      <c r="D1587" t="inlineStr">
        <is>
          <t>JÖNKÖPINGS LÄN</t>
        </is>
      </c>
      <c r="E1587" t="inlineStr">
        <is>
          <t>VETLANDA</t>
        </is>
      </c>
      <c r="G1587" t="n">
        <v>1.3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28436-2023</t>
        </is>
      </c>
      <c r="B1588" s="1" t="n">
        <v>45102.75549768518</v>
      </c>
      <c r="C1588" s="1" t="n">
        <v>45962</v>
      </c>
      <c r="D1588" t="inlineStr">
        <is>
          <t>JÖNKÖPINGS LÄN</t>
        </is>
      </c>
      <c r="E1588" t="inlineStr">
        <is>
          <t>VÄRNAMO</t>
        </is>
      </c>
      <c r="G1588" t="n">
        <v>1.9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4706-2022</t>
        </is>
      </c>
      <c r="B1589" s="1" t="n">
        <v>44592.50039351852</v>
      </c>
      <c r="C1589" s="1" t="n">
        <v>45962</v>
      </c>
      <c r="D1589" t="inlineStr">
        <is>
          <t>JÖNKÖPINGS LÄN</t>
        </is>
      </c>
      <c r="E1589" t="inlineStr">
        <is>
          <t>VETLANDA</t>
        </is>
      </c>
      <c r="G1589" t="n">
        <v>5.1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11258-2024</t>
        </is>
      </c>
      <c r="B1590" s="1" t="n">
        <v>45371.66693287037</v>
      </c>
      <c r="C1590" s="1" t="n">
        <v>45962</v>
      </c>
      <c r="D1590" t="inlineStr">
        <is>
          <t>JÖNKÖPINGS LÄN</t>
        </is>
      </c>
      <c r="E1590" t="inlineStr">
        <is>
          <t>SÄVSJÖ</t>
        </is>
      </c>
      <c r="G1590" t="n">
        <v>1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11263-2024</t>
        </is>
      </c>
      <c r="B1591" s="1" t="n">
        <v>45371.67920138889</v>
      </c>
      <c r="C1591" s="1" t="n">
        <v>45962</v>
      </c>
      <c r="D1591" t="inlineStr">
        <is>
          <t>JÖNKÖPINGS LÄN</t>
        </is>
      </c>
      <c r="E1591" t="inlineStr">
        <is>
          <t>SÄVSJÖ</t>
        </is>
      </c>
      <c r="G1591" t="n">
        <v>0.8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58430-2021</t>
        </is>
      </c>
      <c r="B1592" s="1" t="n">
        <v>44488</v>
      </c>
      <c r="C1592" s="1" t="n">
        <v>45962</v>
      </c>
      <c r="D1592" t="inlineStr">
        <is>
          <t>JÖNKÖPINGS LÄN</t>
        </is>
      </c>
      <c r="E1592" t="inlineStr">
        <is>
          <t>HABO</t>
        </is>
      </c>
      <c r="G1592" t="n">
        <v>1.4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53916-2021</t>
        </is>
      </c>
      <c r="B1593" s="1" t="n">
        <v>44469</v>
      </c>
      <c r="C1593" s="1" t="n">
        <v>45962</v>
      </c>
      <c r="D1593" t="inlineStr">
        <is>
          <t>JÖNKÖPINGS LÄN</t>
        </is>
      </c>
      <c r="E1593" t="inlineStr">
        <is>
          <t>SÄVSJÖ</t>
        </is>
      </c>
      <c r="G1593" t="n">
        <v>2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14240-2024</t>
        </is>
      </c>
      <c r="B1594" s="1" t="n">
        <v>45393.4815625</v>
      </c>
      <c r="C1594" s="1" t="n">
        <v>45962</v>
      </c>
      <c r="D1594" t="inlineStr">
        <is>
          <t>JÖNKÖPINGS LÄN</t>
        </is>
      </c>
      <c r="E1594" t="inlineStr">
        <is>
          <t>VÄRNAMO</t>
        </is>
      </c>
      <c r="G1594" t="n">
        <v>1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40883-2023</t>
        </is>
      </c>
      <c r="B1595" s="1" t="n">
        <v>45173.37297453704</v>
      </c>
      <c r="C1595" s="1" t="n">
        <v>45962</v>
      </c>
      <c r="D1595" t="inlineStr">
        <is>
          <t>JÖNKÖPINGS LÄN</t>
        </is>
      </c>
      <c r="E1595" t="inlineStr">
        <is>
          <t>HABO</t>
        </is>
      </c>
      <c r="G1595" t="n">
        <v>1.4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19095-2025</t>
        </is>
      </c>
      <c r="B1596" s="1" t="n">
        <v>45767.64738425926</v>
      </c>
      <c r="C1596" s="1" t="n">
        <v>45962</v>
      </c>
      <c r="D1596" t="inlineStr">
        <is>
          <t>JÖNKÖPINGS LÄN</t>
        </is>
      </c>
      <c r="E1596" t="inlineStr">
        <is>
          <t>VETLANDA</t>
        </is>
      </c>
      <c r="G1596" t="n">
        <v>1.3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13212-2021</t>
        </is>
      </c>
      <c r="B1597" s="1" t="n">
        <v>44272</v>
      </c>
      <c r="C1597" s="1" t="n">
        <v>45962</v>
      </c>
      <c r="D1597" t="inlineStr">
        <is>
          <t>JÖNKÖPINGS LÄN</t>
        </is>
      </c>
      <c r="E1597" t="inlineStr">
        <is>
          <t>JÖNKÖPING</t>
        </is>
      </c>
      <c r="G1597" t="n">
        <v>0.8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13215-2021</t>
        </is>
      </c>
      <c r="B1598" s="1" t="n">
        <v>44272.58122685185</v>
      </c>
      <c r="C1598" s="1" t="n">
        <v>45962</v>
      </c>
      <c r="D1598" t="inlineStr">
        <is>
          <t>JÖNKÖPINGS LÄN</t>
        </is>
      </c>
      <c r="E1598" t="inlineStr">
        <is>
          <t>VETLANDA</t>
        </is>
      </c>
      <c r="G1598" t="n">
        <v>1.6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10125-2024</t>
        </is>
      </c>
      <c r="B1599" s="1" t="n">
        <v>45364.56442129629</v>
      </c>
      <c r="C1599" s="1" t="n">
        <v>45962</v>
      </c>
      <c r="D1599" t="inlineStr">
        <is>
          <t>JÖNKÖPINGS LÄN</t>
        </is>
      </c>
      <c r="E1599" t="inlineStr">
        <is>
          <t>GISLAVED</t>
        </is>
      </c>
      <c r="G1599" t="n">
        <v>3.3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36460-2022</t>
        </is>
      </c>
      <c r="B1600" s="1" t="n">
        <v>44803</v>
      </c>
      <c r="C1600" s="1" t="n">
        <v>45962</v>
      </c>
      <c r="D1600" t="inlineStr">
        <is>
          <t>JÖNKÖPINGS LÄN</t>
        </is>
      </c>
      <c r="E1600" t="inlineStr">
        <is>
          <t>GISLAVED</t>
        </is>
      </c>
      <c r="F1600" t="inlineStr">
        <is>
          <t>Kyrkan</t>
        </is>
      </c>
      <c r="G1600" t="n">
        <v>4.3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11282-2024</t>
        </is>
      </c>
      <c r="B1601" s="1" t="n">
        <v>45371.72210648148</v>
      </c>
      <c r="C1601" s="1" t="n">
        <v>45962</v>
      </c>
      <c r="D1601" t="inlineStr">
        <is>
          <t>JÖNKÖPINGS LÄN</t>
        </is>
      </c>
      <c r="E1601" t="inlineStr">
        <is>
          <t>MULLSJÖ</t>
        </is>
      </c>
      <c r="G1601" t="n">
        <v>1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9041-2025</t>
        </is>
      </c>
      <c r="B1602" s="1" t="n">
        <v>45713.62552083333</v>
      </c>
      <c r="C1602" s="1" t="n">
        <v>45962</v>
      </c>
      <c r="D1602" t="inlineStr">
        <is>
          <t>JÖNKÖPINGS LÄN</t>
        </is>
      </c>
      <c r="E1602" t="inlineStr">
        <is>
          <t>VÄRNAMO</t>
        </is>
      </c>
      <c r="F1602" t="inlineStr">
        <is>
          <t>Sveaskog</t>
        </is>
      </c>
      <c r="G1602" t="n">
        <v>3.7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98-2022</t>
        </is>
      </c>
      <c r="B1603" s="1" t="n">
        <v>44564.49002314815</v>
      </c>
      <c r="C1603" s="1" t="n">
        <v>45962</v>
      </c>
      <c r="D1603" t="inlineStr">
        <is>
          <t>JÖNKÖPINGS LÄN</t>
        </is>
      </c>
      <c r="E1603" t="inlineStr">
        <is>
          <t>VETLANDA</t>
        </is>
      </c>
      <c r="G1603" t="n">
        <v>0.5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7344-2022</t>
        </is>
      </c>
      <c r="B1604" s="1" t="n">
        <v>44606.55320601852</v>
      </c>
      <c r="C1604" s="1" t="n">
        <v>45962</v>
      </c>
      <c r="D1604" t="inlineStr">
        <is>
          <t>JÖNKÖPINGS LÄN</t>
        </is>
      </c>
      <c r="E1604" t="inlineStr">
        <is>
          <t>GISLAVED</t>
        </is>
      </c>
      <c r="G1604" t="n">
        <v>0.7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7358-2022</t>
        </is>
      </c>
      <c r="B1605" s="1" t="n">
        <v>44606.57155092592</v>
      </c>
      <c r="C1605" s="1" t="n">
        <v>45962</v>
      </c>
      <c r="D1605" t="inlineStr">
        <is>
          <t>JÖNKÖPINGS LÄN</t>
        </is>
      </c>
      <c r="E1605" t="inlineStr">
        <is>
          <t>ANEBY</t>
        </is>
      </c>
      <c r="G1605" t="n">
        <v>0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11369-2024</t>
        </is>
      </c>
      <c r="B1606" s="1" t="n">
        <v>45372.40991898148</v>
      </c>
      <c r="C1606" s="1" t="n">
        <v>45962</v>
      </c>
      <c r="D1606" t="inlineStr">
        <is>
          <t>JÖNKÖPINGS LÄN</t>
        </is>
      </c>
      <c r="E1606" t="inlineStr">
        <is>
          <t>ANEBY</t>
        </is>
      </c>
      <c r="G1606" t="n">
        <v>3.8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73551-2021</t>
        </is>
      </c>
      <c r="B1607" s="1" t="n">
        <v>44551.88674768519</v>
      </c>
      <c r="C1607" s="1" t="n">
        <v>45962</v>
      </c>
      <c r="D1607" t="inlineStr">
        <is>
          <t>JÖNKÖPINGS LÄN</t>
        </is>
      </c>
      <c r="E1607" t="inlineStr">
        <is>
          <t>GISLAVED</t>
        </is>
      </c>
      <c r="G1607" t="n">
        <v>0.5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61891-2021</t>
        </is>
      </c>
      <c r="B1608" s="1" t="n">
        <v>44502.31447916666</v>
      </c>
      <c r="C1608" s="1" t="n">
        <v>45962</v>
      </c>
      <c r="D1608" t="inlineStr">
        <is>
          <t>JÖNKÖPINGS LÄN</t>
        </is>
      </c>
      <c r="E1608" t="inlineStr">
        <is>
          <t>GISLAVED</t>
        </is>
      </c>
      <c r="G1608" t="n">
        <v>1.9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50812-2022</t>
        </is>
      </c>
      <c r="B1609" s="1" t="n">
        <v>44867.47667824074</v>
      </c>
      <c r="C1609" s="1" t="n">
        <v>45962</v>
      </c>
      <c r="D1609" t="inlineStr">
        <is>
          <t>JÖNKÖPINGS LÄN</t>
        </is>
      </c>
      <c r="E1609" t="inlineStr">
        <is>
          <t>NÄSSJÖ</t>
        </is>
      </c>
      <c r="G1609" t="n">
        <v>0.5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12714-2023</t>
        </is>
      </c>
      <c r="B1610" s="1" t="n">
        <v>45000.69547453704</v>
      </c>
      <c r="C1610" s="1" t="n">
        <v>45962</v>
      </c>
      <c r="D1610" t="inlineStr">
        <is>
          <t>JÖNKÖPINGS LÄN</t>
        </is>
      </c>
      <c r="E1610" t="inlineStr">
        <is>
          <t>ANEBY</t>
        </is>
      </c>
      <c r="G1610" t="n">
        <v>2.1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73599-2021</t>
        </is>
      </c>
      <c r="B1611" s="1" t="n">
        <v>44552</v>
      </c>
      <c r="C1611" s="1" t="n">
        <v>45962</v>
      </c>
      <c r="D1611" t="inlineStr">
        <is>
          <t>JÖNKÖPINGS LÄN</t>
        </is>
      </c>
      <c r="E1611" t="inlineStr">
        <is>
          <t>VÄRNAMO</t>
        </is>
      </c>
      <c r="G1611" t="n">
        <v>4.5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52250-2022</t>
        </is>
      </c>
      <c r="B1612" s="1" t="n">
        <v>44873.6115625</v>
      </c>
      <c r="C1612" s="1" t="n">
        <v>45962</v>
      </c>
      <c r="D1612" t="inlineStr">
        <is>
          <t>JÖNKÖPINGS LÄN</t>
        </is>
      </c>
      <c r="E1612" t="inlineStr">
        <is>
          <t>NÄSSJÖ</t>
        </is>
      </c>
      <c r="G1612" t="n">
        <v>1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2819-2022</t>
        </is>
      </c>
      <c r="B1613" s="1" t="n">
        <v>44581.41361111111</v>
      </c>
      <c r="C1613" s="1" t="n">
        <v>45962</v>
      </c>
      <c r="D1613" t="inlineStr">
        <is>
          <t>JÖNKÖPINGS LÄN</t>
        </is>
      </c>
      <c r="E1613" t="inlineStr">
        <is>
          <t>EKSJÖ</t>
        </is>
      </c>
      <c r="G1613" t="n">
        <v>1.5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33237-2022</t>
        </is>
      </c>
      <c r="B1614" s="1" t="n">
        <v>44786</v>
      </c>
      <c r="C1614" s="1" t="n">
        <v>45962</v>
      </c>
      <c r="D1614" t="inlineStr">
        <is>
          <t>JÖNKÖPINGS LÄN</t>
        </is>
      </c>
      <c r="E1614" t="inlineStr">
        <is>
          <t>VAGGERYD</t>
        </is>
      </c>
      <c r="G1614" t="n">
        <v>0.7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29056-2022</t>
        </is>
      </c>
      <c r="B1615" s="1" t="n">
        <v>44750</v>
      </c>
      <c r="C1615" s="1" t="n">
        <v>45962</v>
      </c>
      <c r="D1615" t="inlineStr">
        <is>
          <t>JÖNKÖPINGS LÄN</t>
        </is>
      </c>
      <c r="E1615" t="inlineStr">
        <is>
          <t>JÖNKÖPING</t>
        </is>
      </c>
      <c r="G1615" t="n">
        <v>1.8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37468-2021</t>
        </is>
      </c>
      <c r="B1616" s="1" t="n">
        <v>44398.715</v>
      </c>
      <c r="C1616" s="1" t="n">
        <v>45962</v>
      </c>
      <c r="D1616" t="inlineStr">
        <is>
          <t>JÖNKÖPINGS LÄN</t>
        </is>
      </c>
      <c r="E1616" t="inlineStr">
        <is>
          <t>VETLANDA</t>
        </is>
      </c>
      <c r="G1616" t="n">
        <v>1.5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8341-2022</t>
        </is>
      </c>
      <c r="B1617" s="1" t="n">
        <v>44610.5587962963</v>
      </c>
      <c r="C1617" s="1" t="n">
        <v>45962</v>
      </c>
      <c r="D1617" t="inlineStr">
        <is>
          <t>JÖNKÖPINGS LÄN</t>
        </is>
      </c>
      <c r="E1617" t="inlineStr">
        <is>
          <t>SÄVSJÖ</t>
        </is>
      </c>
      <c r="G1617" t="n">
        <v>0.6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55601-2023</t>
        </is>
      </c>
      <c r="B1618" s="1" t="n">
        <v>45238.69797453703</v>
      </c>
      <c r="C1618" s="1" t="n">
        <v>45962</v>
      </c>
      <c r="D1618" t="inlineStr">
        <is>
          <t>JÖNKÖPINGS LÄN</t>
        </is>
      </c>
      <c r="E1618" t="inlineStr">
        <is>
          <t>NÄSSJÖ</t>
        </is>
      </c>
      <c r="G1618" t="n">
        <v>0.5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13273-2023</t>
        </is>
      </c>
      <c r="B1619" s="1" t="n">
        <v>45003</v>
      </c>
      <c r="C1619" s="1" t="n">
        <v>45962</v>
      </c>
      <c r="D1619" t="inlineStr">
        <is>
          <t>JÖNKÖPINGS LÄN</t>
        </is>
      </c>
      <c r="E1619" t="inlineStr">
        <is>
          <t>EKSJÖ</t>
        </is>
      </c>
      <c r="G1619" t="n">
        <v>1.5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18496-2024</t>
        </is>
      </c>
      <c r="B1620" s="1" t="n">
        <v>45425</v>
      </c>
      <c r="C1620" s="1" t="n">
        <v>45962</v>
      </c>
      <c r="D1620" t="inlineStr">
        <is>
          <t>JÖNKÖPINGS LÄN</t>
        </is>
      </c>
      <c r="E1620" t="inlineStr">
        <is>
          <t>TRANÅS</t>
        </is>
      </c>
      <c r="G1620" t="n">
        <v>1.4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20948-2024</t>
        </is>
      </c>
      <c r="B1621" s="1" t="n">
        <v>45439.56258101852</v>
      </c>
      <c r="C1621" s="1" t="n">
        <v>45962</v>
      </c>
      <c r="D1621" t="inlineStr">
        <is>
          <t>JÖNKÖPINGS LÄN</t>
        </is>
      </c>
      <c r="E1621" t="inlineStr">
        <is>
          <t>GNOSJÖ</t>
        </is>
      </c>
      <c r="G1621" t="n">
        <v>6.4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32369-2022</t>
        </is>
      </c>
      <c r="B1622" s="1" t="n">
        <v>44781</v>
      </c>
      <c r="C1622" s="1" t="n">
        <v>45962</v>
      </c>
      <c r="D1622" t="inlineStr">
        <is>
          <t>JÖNKÖPINGS LÄN</t>
        </is>
      </c>
      <c r="E1622" t="inlineStr">
        <is>
          <t>VETLANDA</t>
        </is>
      </c>
      <c r="G1622" t="n">
        <v>0.9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38252-2024</t>
        </is>
      </c>
      <c r="B1623" s="1" t="n">
        <v>45545.58944444444</v>
      </c>
      <c r="C1623" s="1" t="n">
        <v>45962</v>
      </c>
      <c r="D1623" t="inlineStr">
        <is>
          <t>JÖNKÖPINGS LÄN</t>
        </is>
      </c>
      <c r="E1623" t="inlineStr">
        <is>
          <t>GISLAVED</t>
        </is>
      </c>
      <c r="G1623" t="n">
        <v>0.6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63934-2020</t>
        </is>
      </c>
      <c r="B1624" s="1" t="n">
        <v>44167</v>
      </c>
      <c r="C1624" s="1" t="n">
        <v>45962</v>
      </c>
      <c r="D1624" t="inlineStr">
        <is>
          <t>JÖNKÖPINGS LÄN</t>
        </is>
      </c>
      <c r="E1624" t="inlineStr">
        <is>
          <t>VETLANDA</t>
        </is>
      </c>
      <c r="G1624" t="n">
        <v>1.2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51430-2021</t>
        </is>
      </c>
      <c r="B1625" s="1" t="n">
        <v>44461.92769675926</v>
      </c>
      <c r="C1625" s="1" t="n">
        <v>45962</v>
      </c>
      <c r="D1625" t="inlineStr">
        <is>
          <t>JÖNKÖPINGS LÄN</t>
        </is>
      </c>
      <c r="E1625" t="inlineStr">
        <is>
          <t>VÄRNAMO</t>
        </is>
      </c>
      <c r="G1625" t="n">
        <v>0.7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10010-2023</t>
        </is>
      </c>
      <c r="B1626" s="1" t="n">
        <v>44985.61200231482</v>
      </c>
      <c r="C1626" s="1" t="n">
        <v>45962</v>
      </c>
      <c r="D1626" t="inlineStr">
        <is>
          <t>JÖNKÖPINGS LÄN</t>
        </is>
      </c>
      <c r="E1626" t="inlineStr">
        <is>
          <t>ANEBY</t>
        </is>
      </c>
      <c r="G1626" t="n">
        <v>2.1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10013-2023</t>
        </is>
      </c>
      <c r="B1627" s="1" t="n">
        <v>44985.61400462963</v>
      </c>
      <c r="C1627" s="1" t="n">
        <v>45962</v>
      </c>
      <c r="D1627" t="inlineStr">
        <is>
          <t>JÖNKÖPINGS LÄN</t>
        </is>
      </c>
      <c r="E1627" t="inlineStr">
        <is>
          <t>ANEBY</t>
        </is>
      </c>
      <c r="G1627" t="n">
        <v>0.6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19684-2025</t>
        </is>
      </c>
      <c r="B1628" s="1" t="n">
        <v>45770.86675925926</v>
      </c>
      <c r="C1628" s="1" t="n">
        <v>45962</v>
      </c>
      <c r="D1628" t="inlineStr">
        <is>
          <t>JÖNKÖPINGS LÄN</t>
        </is>
      </c>
      <c r="E1628" t="inlineStr">
        <is>
          <t>NÄSSJÖ</t>
        </is>
      </c>
      <c r="G1628" t="n">
        <v>1.2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36410-2023</t>
        </is>
      </c>
      <c r="B1629" s="1" t="n">
        <v>45149</v>
      </c>
      <c r="C1629" s="1" t="n">
        <v>45962</v>
      </c>
      <c r="D1629" t="inlineStr">
        <is>
          <t>JÖNKÖPINGS LÄN</t>
        </is>
      </c>
      <c r="E1629" t="inlineStr">
        <is>
          <t>VÄRNAMO</t>
        </is>
      </c>
      <c r="G1629" t="n">
        <v>0.7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14235-2023</t>
        </is>
      </c>
      <c r="B1630" s="1" t="n">
        <v>45009</v>
      </c>
      <c r="C1630" s="1" t="n">
        <v>45962</v>
      </c>
      <c r="D1630" t="inlineStr">
        <is>
          <t>JÖNKÖPINGS LÄN</t>
        </is>
      </c>
      <c r="E1630" t="inlineStr">
        <is>
          <t>ANEBY</t>
        </is>
      </c>
      <c r="G1630" t="n">
        <v>13.8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5530-2024</t>
        </is>
      </c>
      <c r="B1631" s="1" t="n">
        <v>45334.40017361111</v>
      </c>
      <c r="C1631" s="1" t="n">
        <v>45962</v>
      </c>
      <c r="D1631" t="inlineStr">
        <is>
          <t>JÖNKÖPINGS LÄN</t>
        </is>
      </c>
      <c r="E1631" t="inlineStr">
        <is>
          <t>EKSJÖ</t>
        </is>
      </c>
      <c r="F1631" t="inlineStr">
        <is>
          <t>Kommuner</t>
        </is>
      </c>
      <c r="G1631" t="n">
        <v>3.6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29343-2022</t>
        </is>
      </c>
      <c r="B1632" s="1" t="n">
        <v>44753.28717592593</v>
      </c>
      <c r="C1632" s="1" t="n">
        <v>45962</v>
      </c>
      <c r="D1632" t="inlineStr">
        <is>
          <t>JÖNKÖPINGS LÄN</t>
        </is>
      </c>
      <c r="E1632" t="inlineStr">
        <is>
          <t>GISLAVED</t>
        </is>
      </c>
      <c r="G1632" t="n">
        <v>0.6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33256-2023</t>
        </is>
      </c>
      <c r="B1633" s="1" t="n">
        <v>45127</v>
      </c>
      <c r="C1633" s="1" t="n">
        <v>45962</v>
      </c>
      <c r="D1633" t="inlineStr">
        <is>
          <t>JÖNKÖPINGS LÄN</t>
        </is>
      </c>
      <c r="E1633" t="inlineStr">
        <is>
          <t>JÖNKÖPING</t>
        </is>
      </c>
      <c r="G1633" t="n">
        <v>7.1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10074-2024</t>
        </is>
      </c>
      <c r="B1634" s="1" t="n">
        <v>45364.40862268519</v>
      </c>
      <c r="C1634" s="1" t="n">
        <v>45962</v>
      </c>
      <c r="D1634" t="inlineStr">
        <is>
          <t>JÖNKÖPINGS LÄN</t>
        </is>
      </c>
      <c r="E1634" t="inlineStr">
        <is>
          <t>JÖNKÖPING</t>
        </is>
      </c>
      <c r="G1634" t="n">
        <v>4.4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20603-2022</t>
        </is>
      </c>
      <c r="B1635" s="1" t="n">
        <v>44700</v>
      </c>
      <c r="C1635" s="1" t="n">
        <v>45962</v>
      </c>
      <c r="D1635" t="inlineStr">
        <is>
          <t>JÖNKÖPINGS LÄN</t>
        </is>
      </c>
      <c r="E1635" t="inlineStr">
        <is>
          <t>SÄVSJÖ</t>
        </is>
      </c>
      <c r="G1635" t="n">
        <v>1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74317-2021</t>
        </is>
      </c>
      <c r="B1636" s="1" t="n">
        <v>44559</v>
      </c>
      <c r="C1636" s="1" t="n">
        <v>45962</v>
      </c>
      <c r="D1636" t="inlineStr">
        <is>
          <t>JÖNKÖPINGS LÄN</t>
        </is>
      </c>
      <c r="E1636" t="inlineStr">
        <is>
          <t>VÄRNAMO</t>
        </is>
      </c>
      <c r="F1636" t="inlineStr">
        <is>
          <t>Sveaskog</t>
        </is>
      </c>
      <c r="G1636" t="n">
        <v>0.9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21626-2022</t>
        </is>
      </c>
      <c r="B1637" s="1" t="n">
        <v>44706.6987962963</v>
      </c>
      <c r="C1637" s="1" t="n">
        <v>45962</v>
      </c>
      <c r="D1637" t="inlineStr">
        <is>
          <t>JÖNKÖPINGS LÄN</t>
        </is>
      </c>
      <c r="E1637" t="inlineStr">
        <is>
          <t>VÄRNAMO</t>
        </is>
      </c>
      <c r="G1637" t="n">
        <v>0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38176-2022</t>
        </is>
      </c>
      <c r="B1638" s="1" t="n">
        <v>44812.39266203704</v>
      </c>
      <c r="C1638" s="1" t="n">
        <v>45962</v>
      </c>
      <c r="D1638" t="inlineStr">
        <is>
          <t>JÖNKÖPINGS LÄN</t>
        </is>
      </c>
      <c r="E1638" t="inlineStr">
        <is>
          <t>SÄVSJÖ</t>
        </is>
      </c>
      <c r="G1638" t="n">
        <v>1.1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52047-2021</t>
        </is>
      </c>
      <c r="B1639" s="1" t="n">
        <v>44462</v>
      </c>
      <c r="C1639" s="1" t="n">
        <v>45962</v>
      </c>
      <c r="D1639" t="inlineStr">
        <is>
          <t>JÖNKÖPINGS LÄN</t>
        </is>
      </c>
      <c r="E1639" t="inlineStr">
        <is>
          <t>VETLANDA</t>
        </is>
      </c>
      <c r="G1639" t="n">
        <v>1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16947-2025</t>
        </is>
      </c>
      <c r="B1640" s="1" t="n">
        <v>45755.43791666667</v>
      </c>
      <c r="C1640" s="1" t="n">
        <v>45962</v>
      </c>
      <c r="D1640" t="inlineStr">
        <is>
          <t>JÖNKÖPINGS LÄN</t>
        </is>
      </c>
      <c r="E1640" t="inlineStr">
        <is>
          <t>VÄRNAMO</t>
        </is>
      </c>
      <c r="G1640" t="n">
        <v>0.9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49451-2024</t>
        </is>
      </c>
      <c r="B1641" s="1" t="n">
        <v>45596.27090277777</v>
      </c>
      <c r="C1641" s="1" t="n">
        <v>45962</v>
      </c>
      <c r="D1641" t="inlineStr">
        <is>
          <t>JÖNKÖPINGS LÄN</t>
        </is>
      </c>
      <c r="E1641" t="inlineStr">
        <is>
          <t>GISLAVED</t>
        </is>
      </c>
      <c r="G1641" t="n">
        <v>0.7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2868-2024</t>
        </is>
      </c>
      <c r="B1642" s="1" t="n">
        <v>45315.45684027778</v>
      </c>
      <c r="C1642" s="1" t="n">
        <v>45962</v>
      </c>
      <c r="D1642" t="inlineStr">
        <is>
          <t>JÖNKÖPINGS LÄN</t>
        </is>
      </c>
      <c r="E1642" t="inlineStr">
        <is>
          <t>SÄVSJÖ</t>
        </is>
      </c>
      <c r="G1642" t="n">
        <v>2.9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2465-2025</t>
        </is>
      </c>
      <c r="B1643" s="1" t="n">
        <v>45674.46950231482</v>
      </c>
      <c r="C1643" s="1" t="n">
        <v>45962</v>
      </c>
      <c r="D1643" t="inlineStr">
        <is>
          <t>JÖNKÖPINGS LÄN</t>
        </is>
      </c>
      <c r="E1643" t="inlineStr">
        <is>
          <t>VETLANDA</t>
        </is>
      </c>
      <c r="G1643" t="n">
        <v>0.5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49673-2023</t>
        </is>
      </c>
      <c r="B1644" s="1" t="n">
        <v>45212</v>
      </c>
      <c r="C1644" s="1" t="n">
        <v>45962</v>
      </c>
      <c r="D1644" t="inlineStr">
        <is>
          <t>JÖNKÖPINGS LÄN</t>
        </is>
      </c>
      <c r="E1644" t="inlineStr">
        <is>
          <t>HABO</t>
        </is>
      </c>
      <c r="G1644" t="n">
        <v>0.4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5089-2024</t>
        </is>
      </c>
      <c r="B1645" s="1" t="n">
        <v>45330</v>
      </c>
      <c r="C1645" s="1" t="n">
        <v>45962</v>
      </c>
      <c r="D1645" t="inlineStr">
        <is>
          <t>JÖNKÖPINGS LÄN</t>
        </is>
      </c>
      <c r="E1645" t="inlineStr">
        <is>
          <t>GNOSJÖ</t>
        </is>
      </c>
      <c r="G1645" t="n">
        <v>0.9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73785-2021</t>
        </is>
      </c>
      <c r="B1646" s="1" t="n">
        <v>44552</v>
      </c>
      <c r="C1646" s="1" t="n">
        <v>45962</v>
      </c>
      <c r="D1646" t="inlineStr">
        <is>
          <t>JÖNKÖPINGS LÄN</t>
        </is>
      </c>
      <c r="E1646" t="inlineStr">
        <is>
          <t>TRANÅS</t>
        </is>
      </c>
      <c r="F1646" t="inlineStr">
        <is>
          <t>Allmännings- och besparingsskogar</t>
        </is>
      </c>
      <c r="G1646" t="n">
        <v>14.9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25608-2024</t>
        </is>
      </c>
      <c r="B1647" s="1" t="n">
        <v>45463.63390046296</v>
      </c>
      <c r="C1647" s="1" t="n">
        <v>45962</v>
      </c>
      <c r="D1647" t="inlineStr">
        <is>
          <t>JÖNKÖPINGS LÄN</t>
        </is>
      </c>
      <c r="E1647" t="inlineStr">
        <is>
          <t>EKSJÖ</t>
        </is>
      </c>
      <c r="G1647" t="n">
        <v>5.2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11816-2024</t>
        </is>
      </c>
      <c r="B1648" s="1" t="n">
        <v>45376.32592592593</v>
      </c>
      <c r="C1648" s="1" t="n">
        <v>45962</v>
      </c>
      <c r="D1648" t="inlineStr">
        <is>
          <t>JÖNKÖPINGS LÄN</t>
        </is>
      </c>
      <c r="E1648" t="inlineStr">
        <is>
          <t>VETLANDA</t>
        </is>
      </c>
      <c r="G1648" t="n">
        <v>0.7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43052-2024</t>
        </is>
      </c>
      <c r="B1649" s="1" t="n">
        <v>45567.45212962963</v>
      </c>
      <c r="C1649" s="1" t="n">
        <v>45962</v>
      </c>
      <c r="D1649" t="inlineStr">
        <is>
          <t>JÖNKÖPINGS LÄN</t>
        </is>
      </c>
      <c r="E1649" t="inlineStr">
        <is>
          <t>VAGGERYD</t>
        </is>
      </c>
      <c r="G1649" t="n">
        <v>1.9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24708-2023</t>
        </is>
      </c>
      <c r="B1650" s="1" t="n">
        <v>45084.54755787037</v>
      </c>
      <c r="C1650" s="1" t="n">
        <v>45962</v>
      </c>
      <c r="D1650" t="inlineStr">
        <is>
          <t>JÖNKÖPINGS LÄN</t>
        </is>
      </c>
      <c r="E1650" t="inlineStr">
        <is>
          <t>TRANÅS</t>
        </is>
      </c>
      <c r="G1650" t="n">
        <v>1.2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57433-2022</t>
        </is>
      </c>
      <c r="B1651" s="1" t="n">
        <v>44896.52641203703</v>
      </c>
      <c r="C1651" s="1" t="n">
        <v>45962</v>
      </c>
      <c r="D1651" t="inlineStr">
        <is>
          <t>JÖNKÖPINGS LÄN</t>
        </is>
      </c>
      <c r="E1651" t="inlineStr">
        <is>
          <t>GISLAVED</t>
        </is>
      </c>
      <c r="G1651" t="n">
        <v>1.1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40111-2022</t>
        </is>
      </c>
      <c r="B1652" s="1" t="n">
        <v>44820.49834490741</v>
      </c>
      <c r="C1652" s="1" t="n">
        <v>45962</v>
      </c>
      <c r="D1652" t="inlineStr">
        <is>
          <t>JÖNKÖPINGS LÄN</t>
        </is>
      </c>
      <c r="E1652" t="inlineStr">
        <is>
          <t>SÄVSJÖ</t>
        </is>
      </c>
      <c r="G1652" t="n">
        <v>0.5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40638-2024</t>
        </is>
      </c>
      <c r="B1653" s="1" t="n">
        <v>45558.29855324074</v>
      </c>
      <c r="C1653" s="1" t="n">
        <v>45962</v>
      </c>
      <c r="D1653" t="inlineStr">
        <is>
          <t>JÖNKÖPINGS LÄN</t>
        </is>
      </c>
      <c r="E1653" t="inlineStr">
        <is>
          <t>HABO</t>
        </is>
      </c>
      <c r="G1653" t="n">
        <v>0.5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6644-2023</t>
        </is>
      </c>
      <c r="B1654" s="1" t="n">
        <v>44966.5853125</v>
      </c>
      <c r="C1654" s="1" t="n">
        <v>45962</v>
      </c>
      <c r="D1654" t="inlineStr">
        <is>
          <t>JÖNKÖPINGS LÄN</t>
        </is>
      </c>
      <c r="E1654" t="inlineStr">
        <is>
          <t>VAGGERYD</t>
        </is>
      </c>
      <c r="F1654" t="inlineStr">
        <is>
          <t>Sveaskog</t>
        </is>
      </c>
      <c r="G1654" t="n">
        <v>4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59057-2024</t>
        </is>
      </c>
      <c r="B1655" s="1" t="n">
        <v>45636</v>
      </c>
      <c r="C1655" s="1" t="n">
        <v>45962</v>
      </c>
      <c r="D1655" t="inlineStr">
        <is>
          <t>JÖNKÖPINGS LÄN</t>
        </is>
      </c>
      <c r="E1655" t="inlineStr">
        <is>
          <t>HABO</t>
        </is>
      </c>
      <c r="G1655" t="n">
        <v>1.7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39652-2021</t>
        </is>
      </c>
      <c r="B1656" s="1" t="n">
        <v>44417</v>
      </c>
      <c r="C1656" s="1" t="n">
        <v>45962</v>
      </c>
      <c r="D1656" t="inlineStr">
        <is>
          <t>JÖNKÖPINGS LÄN</t>
        </is>
      </c>
      <c r="E1656" t="inlineStr">
        <is>
          <t>TRANÅS</t>
        </is>
      </c>
      <c r="F1656" t="inlineStr">
        <is>
          <t>Allmännings- och besparingsskogar</t>
        </is>
      </c>
      <c r="G1656" t="n">
        <v>1.4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43212-2024</t>
        </is>
      </c>
      <c r="B1657" s="1" t="n">
        <v>45567</v>
      </c>
      <c r="C1657" s="1" t="n">
        <v>45962</v>
      </c>
      <c r="D1657" t="inlineStr">
        <is>
          <t>JÖNKÖPINGS LÄN</t>
        </is>
      </c>
      <c r="E1657" t="inlineStr">
        <is>
          <t>JÖNKÖPING</t>
        </is>
      </c>
      <c r="G1657" t="n">
        <v>7.7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12270-2023</t>
        </is>
      </c>
      <c r="B1658" s="1" t="n">
        <v>44998.67371527778</v>
      </c>
      <c r="C1658" s="1" t="n">
        <v>45962</v>
      </c>
      <c r="D1658" t="inlineStr">
        <is>
          <t>JÖNKÖPINGS LÄN</t>
        </is>
      </c>
      <c r="E1658" t="inlineStr">
        <is>
          <t>VETLANDA</t>
        </is>
      </c>
      <c r="G1658" t="n">
        <v>0.7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31679-2022</t>
        </is>
      </c>
      <c r="B1659" s="1" t="n">
        <v>44776.37015046296</v>
      </c>
      <c r="C1659" s="1" t="n">
        <v>45962</v>
      </c>
      <c r="D1659" t="inlineStr">
        <is>
          <t>JÖNKÖPINGS LÄN</t>
        </is>
      </c>
      <c r="E1659" t="inlineStr">
        <is>
          <t>NÄSSJÖ</t>
        </is>
      </c>
      <c r="G1659" t="n">
        <v>1.4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38211-2024</t>
        </is>
      </c>
      <c r="B1660" s="1" t="n">
        <v>45545.5222337963</v>
      </c>
      <c r="C1660" s="1" t="n">
        <v>45962</v>
      </c>
      <c r="D1660" t="inlineStr">
        <is>
          <t>JÖNKÖPINGS LÄN</t>
        </is>
      </c>
      <c r="E1660" t="inlineStr">
        <is>
          <t>GISLAVED</t>
        </is>
      </c>
      <c r="G1660" t="n">
        <v>1.1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38214-2024</t>
        </is>
      </c>
      <c r="B1661" s="1" t="n">
        <v>45545.52599537037</v>
      </c>
      <c r="C1661" s="1" t="n">
        <v>45962</v>
      </c>
      <c r="D1661" t="inlineStr">
        <is>
          <t>JÖNKÖPINGS LÄN</t>
        </is>
      </c>
      <c r="E1661" t="inlineStr">
        <is>
          <t>GISLAVED</t>
        </is>
      </c>
      <c r="G1661" t="n">
        <v>1.6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11723-2024</t>
        </is>
      </c>
      <c r="B1662" s="1" t="n">
        <v>45373.65174768519</v>
      </c>
      <c r="C1662" s="1" t="n">
        <v>45962</v>
      </c>
      <c r="D1662" t="inlineStr">
        <is>
          <t>JÖNKÖPINGS LÄN</t>
        </is>
      </c>
      <c r="E1662" t="inlineStr">
        <is>
          <t>EKSJÖ</t>
        </is>
      </c>
      <c r="G1662" t="n">
        <v>1.8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44003-2023</t>
        </is>
      </c>
      <c r="B1663" s="1" t="n">
        <v>45188.3012037037</v>
      </c>
      <c r="C1663" s="1" t="n">
        <v>45962</v>
      </c>
      <c r="D1663" t="inlineStr">
        <is>
          <t>JÖNKÖPINGS LÄN</t>
        </is>
      </c>
      <c r="E1663" t="inlineStr">
        <is>
          <t>JÖNKÖPING</t>
        </is>
      </c>
      <c r="G1663" t="n">
        <v>3.4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6333-2025</t>
        </is>
      </c>
      <c r="B1664" s="1" t="n">
        <v>45698.92776620371</v>
      </c>
      <c r="C1664" s="1" t="n">
        <v>45962</v>
      </c>
      <c r="D1664" t="inlineStr">
        <is>
          <t>JÖNKÖPINGS LÄN</t>
        </is>
      </c>
      <c r="E1664" t="inlineStr">
        <is>
          <t>SÄVSJÖ</t>
        </is>
      </c>
      <c r="G1664" t="n">
        <v>1.6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30527-2023</t>
        </is>
      </c>
      <c r="B1665" s="1" t="n">
        <v>45111.67137731481</v>
      </c>
      <c r="C1665" s="1" t="n">
        <v>45962</v>
      </c>
      <c r="D1665" t="inlineStr">
        <is>
          <t>JÖNKÖPINGS LÄN</t>
        </is>
      </c>
      <c r="E1665" t="inlineStr">
        <is>
          <t>EKSJÖ</t>
        </is>
      </c>
      <c r="G1665" t="n">
        <v>3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41316-2023</t>
        </is>
      </c>
      <c r="B1666" s="1" t="n">
        <v>45173</v>
      </c>
      <c r="C1666" s="1" t="n">
        <v>45962</v>
      </c>
      <c r="D1666" t="inlineStr">
        <is>
          <t>JÖNKÖPINGS LÄN</t>
        </is>
      </c>
      <c r="E1666" t="inlineStr">
        <is>
          <t>VÄRNAMO</t>
        </is>
      </c>
      <c r="G1666" t="n">
        <v>2.9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9708-2021</t>
        </is>
      </c>
      <c r="B1667" s="1" t="n">
        <v>44252</v>
      </c>
      <c r="C1667" s="1" t="n">
        <v>45962</v>
      </c>
      <c r="D1667" t="inlineStr">
        <is>
          <t>JÖNKÖPINGS LÄN</t>
        </is>
      </c>
      <c r="E1667" t="inlineStr">
        <is>
          <t>GNOSJÖ</t>
        </is>
      </c>
      <c r="G1667" t="n">
        <v>1.2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8809-2024</t>
        </is>
      </c>
      <c r="B1668" s="1" t="n">
        <v>45356.65395833334</v>
      </c>
      <c r="C1668" s="1" t="n">
        <v>45962</v>
      </c>
      <c r="D1668" t="inlineStr">
        <is>
          <t>JÖNKÖPINGS LÄN</t>
        </is>
      </c>
      <c r="E1668" t="inlineStr">
        <is>
          <t>JÖNKÖPING</t>
        </is>
      </c>
      <c r="F1668" t="inlineStr">
        <is>
          <t>Sveaskog</t>
        </is>
      </c>
      <c r="G1668" t="n">
        <v>0.8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42400-2022</t>
        </is>
      </c>
      <c r="B1669" s="1" t="n">
        <v>44830</v>
      </c>
      <c r="C1669" s="1" t="n">
        <v>45962</v>
      </c>
      <c r="D1669" t="inlineStr">
        <is>
          <t>JÖNKÖPINGS LÄN</t>
        </is>
      </c>
      <c r="E1669" t="inlineStr">
        <is>
          <t>SÄVSJÖ</t>
        </is>
      </c>
      <c r="G1669" t="n">
        <v>1.9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9065-2023</t>
        </is>
      </c>
      <c r="B1670" s="1" t="n">
        <v>44979</v>
      </c>
      <c r="C1670" s="1" t="n">
        <v>45962</v>
      </c>
      <c r="D1670" t="inlineStr">
        <is>
          <t>JÖNKÖPINGS LÄN</t>
        </is>
      </c>
      <c r="E1670" t="inlineStr">
        <is>
          <t>VAGGERYD</t>
        </is>
      </c>
      <c r="G1670" t="n">
        <v>2.7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37135-2024</t>
        </is>
      </c>
      <c r="B1671" s="1" t="n">
        <v>45539.57982638889</v>
      </c>
      <c r="C1671" s="1" t="n">
        <v>45962</v>
      </c>
      <c r="D1671" t="inlineStr">
        <is>
          <t>JÖNKÖPINGS LÄN</t>
        </is>
      </c>
      <c r="E1671" t="inlineStr">
        <is>
          <t>ANEBY</t>
        </is>
      </c>
      <c r="G1671" t="n">
        <v>2.5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7453-2021</t>
        </is>
      </c>
      <c r="B1672" s="1" t="n">
        <v>44239</v>
      </c>
      <c r="C1672" s="1" t="n">
        <v>45962</v>
      </c>
      <c r="D1672" t="inlineStr">
        <is>
          <t>JÖNKÖPINGS LÄN</t>
        </is>
      </c>
      <c r="E1672" t="inlineStr">
        <is>
          <t>EKSJÖ</t>
        </is>
      </c>
      <c r="G1672" t="n">
        <v>1.3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31383-2023</t>
        </is>
      </c>
      <c r="B1673" s="1" t="n">
        <v>45114.55280092593</v>
      </c>
      <c r="C1673" s="1" t="n">
        <v>45962</v>
      </c>
      <c r="D1673" t="inlineStr">
        <is>
          <t>JÖNKÖPINGS LÄN</t>
        </is>
      </c>
      <c r="E1673" t="inlineStr">
        <is>
          <t>JÖNKÖPING</t>
        </is>
      </c>
      <c r="G1673" t="n">
        <v>4.5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37676-2022</t>
        </is>
      </c>
      <c r="B1674" s="1" t="n">
        <v>44810.47083333333</v>
      </c>
      <c r="C1674" s="1" t="n">
        <v>45962</v>
      </c>
      <c r="D1674" t="inlineStr">
        <is>
          <t>JÖNKÖPINGS LÄN</t>
        </is>
      </c>
      <c r="E1674" t="inlineStr">
        <is>
          <t>VETLANDA</t>
        </is>
      </c>
      <c r="G1674" t="n">
        <v>4.9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17203-2022</t>
        </is>
      </c>
      <c r="B1675" s="1" t="n">
        <v>44677</v>
      </c>
      <c r="C1675" s="1" t="n">
        <v>45962</v>
      </c>
      <c r="D1675" t="inlineStr">
        <is>
          <t>JÖNKÖPINGS LÄN</t>
        </is>
      </c>
      <c r="E1675" t="inlineStr">
        <is>
          <t>JÖNKÖPING</t>
        </is>
      </c>
      <c r="G1675" t="n">
        <v>1.1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15058-2023</t>
        </is>
      </c>
      <c r="B1676" s="1" t="n">
        <v>45015.69268518518</v>
      </c>
      <c r="C1676" s="1" t="n">
        <v>45962</v>
      </c>
      <c r="D1676" t="inlineStr">
        <is>
          <t>JÖNKÖPINGS LÄN</t>
        </is>
      </c>
      <c r="E1676" t="inlineStr">
        <is>
          <t>SÄVSJÖ</t>
        </is>
      </c>
      <c r="G1676" t="n">
        <v>0.6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6163-2024</t>
        </is>
      </c>
      <c r="B1677" s="1" t="n">
        <v>45337.49902777778</v>
      </c>
      <c r="C1677" s="1" t="n">
        <v>45962</v>
      </c>
      <c r="D1677" t="inlineStr">
        <is>
          <t>JÖNKÖPINGS LÄN</t>
        </is>
      </c>
      <c r="E1677" t="inlineStr">
        <is>
          <t>EKSJÖ</t>
        </is>
      </c>
      <c r="G1677" t="n">
        <v>0.9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18771-2025</t>
        </is>
      </c>
      <c r="B1678" s="1" t="n">
        <v>45764.30391203704</v>
      </c>
      <c r="C1678" s="1" t="n">
        <v>45962</v>
      </c>
      <c r="D1678" t="inlineStr">
        <is>
          <t>JÖNKÖPINGS LÄN</t>
        </is>
      </c>
      <c r="E1678" t="inlineStr">
        <is>
          <t>JÖNKÖPING</t>
        </is>
      </c>
      <c r="G1678" t="n">
        <v>1.7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49420-2023</t>
        </is>
      </c>
      <c r="B1679" s="1" t="n">
        <v>45211.45560185185</v>
      </c>
      <c r="C1679" s="1" t="n">
        <v>45962</v>
      </c>
      <c r="D1679" t="inlineStr">
        <is>
          <t>JÖNKÖPINGS LÄN</t>
        </is>
      </c>
      <c r="E1679" t="inlineStr">
        <is>
          <t>VETLANDA</t>
        </is>
      </c>
      <c r="G1679" t="n">
        <v>2.4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5499-2025</t>
        </is>
      </c>
      <c r="B1680" s="1" t="n">
        <v>45693.38452546296</v>
      </c>
      <c r="C1680" s="1" t="n">
        <v>45962</v>
      </c>
      <c r="D1680" t="inlineStr">
        <is>
          <t>JÖNKÖPINGS LÄN</t>
        </is>
      </c>
      <c r="E1680" t="inlineStr">
        <is>
          <t>VETLANDA</t>
        </is>
      </c>
      <c r="G1680" t="n">
        <v>1.1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7861-2025</t>
        </is>
      </c>
      <c r="B1681" s="1" t="n">
        <v>45706.69090277778</v>
      </c>
      <c r="C1681" s="1" t="n">
        <v>45962</v>
      </c>
      <c r="D1681" t="inlineStr">
        <is>
          <t>JÖNKÖPINGS LÄN</t>
        </is>
      </c>
      <c r="E1681" t="inlineStr">
        <is>
          <t>JÖNKÖPING</t>
        </is>
      </c>
      <c r="F1681" t="inlineStr">
        <is>
          <t>Sveaskog</t>
        </is>
      </c>
      <c r="G1681" t="n">
        <v>0.7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12238-2024</t>
        </is>
      </c>
      <c r="B1682" s="1" t="n">
        <v>45378.36734953704</v>
      </c>
      <c r="C1682" s="1" t="n">
        <v>45962</v>
      </c>
      <c r="D1682" t="inlineStr">
        <is>
          <t>JÖNKÖPINGS LÄN</t>
        </is>
      </c>
      <c r="E1682" t="inlineStr">
        <is>
          <t>ANEBY</t>
        </is>
      </c>
      <c r="G1682" t="n">
        <v>0.9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13190-2024</t>
        </is>
      </c>
      <c r="B1683" s="1" t="n">
        <v>45386.46412037037</v>
      </c>
      <c r="C1683" s="1" t="n">
        <v>45962</v>
      </c>
      <c r="D1683" t="inlineStr">
        <is>
          <t>JÖNKÖPINGS LÄN</t>
        </is>
      </c>
      <c r="E1683" t="inlineStr">
        <is>
          <t>VÄRNAMO</t>
        </is>
      </c>
      <c r="G1683" t="n">
        <v>3.5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14230-2024</t>
        </is>
      </c>
      <c r="B1684" s="1" t="n">
        <v>45393</v>
      </c>
      <c r="C1684" s="1" t="n">
        <v>45962</v>
      </c>
      <c r="D1684" t="inlineStr">
        <is>
          <t>JÖNKÖPINGS LÄN</t>
        </is>
      </c>
      <c r="E1684" t="inlineStr">
        <is>
          <t>MULLSJÖ</t>
        </is>
      </c>
      <c r="G1684" t="n">
        <v>2.9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23031-2022</t>
        </is>
      </c>
      <c r="B1685" s="1" t="n">
        <v>44719</v>
      </c>
      <c r="C1685" s="1" t="n">
        <v>45962</v>
      </c>
      <c r="D1685" t="inlineStr">
        <is>
          <t>JÖNKÖPINGS LÄN</t>
        </is>
      </c>
      <c r="E1685" t="inlineStr">
        <is>
          <t>TRANÅS</t>
        </is>
      </c>
      <c r="F1685" t="inlineStr">
        <is>
          <t>Kommuner</t>
        </is>
      </c>
      <c r="G1685" t="n">
        <v>3.1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21935-2022</t>
        </is>
      </c>
      <c r="B1686" s="1" t="n">
        <v>44711</v>
      </c>
      <c r="C1686" s="1" t="n">
        <v>45962</v>
      </c>
      <c r="D1686" t="inlineStr">
        <is>
          <t>JÖNKÖPINGS LÄN</t>
        </is>
      </c>
      <c r="E1686" t="inlineStr">
        <is>
          <t>JÖNKÖPING</t>
        </is>
      </c>
      <c r="G1686" t="n">
        <v>1.7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58950-2021</t>
        </is>
      </c>
      <c r="B1687" s="1" t="n">
        <v>44489</v>
      </c>
      <c r="C1687" s="1" t="n">
        <v>45962</v>
      </c>
      <c r="D1687" t="inlineStr">
        <is>
          <t>JÖNKÖPINGS LÄN</t>
        </is>
      </c>
      <c r="E1687" t="inlineStr">
        <is>
          <t>GISLAVED</t>
        </is>
      </c>
      <c r="G1687" t="n">
        <v>0.6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4226-2024</t>
        </is>
      </c>
      <c r="B1688" s="1" t="n">
        <v>45324.41423611111</v>
      </c>
      <c r="C1688" s="1" t="n">
        <v>45962</v>
      </c>
      <c r="D1688" t="inlineStr">
        <is>
          <t>JÖNKÖPINGS LÄN</t>
        </is>
      </c>
      <c r="E1688" t="inlineStr">
        <is>
          <t>GISLAVED</t>
        </is>
      </c>
      <c r="F1688" t="inlineStr">
        <is>
          <t>Kommuner</t>
        </is>
      </c>
      <c r="G1688" t="n">
        <v>0.5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51264-2022</t>
        </is>
      </c>
      <c r="B1689" s="1" t="n">
        <v>44866</v>
      </c>
      <c r="C1689" s="1" t="n">
        <v>45962</v>
      </c>
      <c r="D1689" t="inlineStr">
        <is>
          <t>JÖNKÖPINGS LÄN</t>
        </is>
      </c>
      <c r="E1689" t="inlineStr">
        <is>
          <t>VAGGERYD</t>
        </is>
      </c>
      <c r="G1689" t="n">
        <v>0.6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17883-2024</t>
        </is>
      </c>
      <c r="B1690" s="1" t="n">
        <v>45419.46804398148</v>
      </c>
      <c r="C1690" s="1" t="n">
        <v>45962</v>
      </c>
      <c r="D1690" t="inlineStr">
        <is>
          <t>JÖNKÖPINGS LÄN</t>
        </is>
      </c>
      <c r="E1690" t="inlineStr">
        <is>
          <t>SÄVSJÖ</t>
        </is>
      </c>
      <c r="G1690" t="n">
        <v>1.4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8690-2024</t>
        </is>
      </c>
      <c r="B1691" s="1" t="n">
        <v>45356.36820601852</v>
      </c>
      <c r="C1691" s="1" t="n">
        <v>45962</v>
      </c>
      <c r="D1691" t="inlineStr">
        <is>
          <t>JÖNKÖPINGS LÄN</t>
        </is>
      </c>
      <c r="E1691" t="inlineStr">
        <is>
          <t>VAGGERYD</t>
        </is>
      </c>
      <c r="G1691" t="n">
        <v>1.4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20095-2025</t>
        </is>
      </c>
      <c r="B1692" s="1" t="n">
        <v>45772.46607638889</v>
      </c>
      <c r="C1692" s="1" t="n">
        <v>45962</v>
      </c>
      <c r="D1692" t="inlineStr">
        <is>
          <t>JÖNKÖPINGS LÄN</t>
        </is>
      </c>
      <c r="E1692" t="inlineStr">
        <is>
          <t>VAGGERYD</t>
        </is>
      </c>
      <c r="G1692" t="n">
        <v>6.1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33665-2021</t>
        </is>
      </c>
      <c r="B1693" s="1" t="n">
        <v>44378</v>
      </c>
      <c r="C1693" s="1" t="n">
        <v>45962</v>
      </c>
      <c r="D1693" t="inlineStr">
        <is>
          <t>JÖNKÖPINGS LÄN</t>
        </is>
      </c>
      <c r="E1693" t="inlineStr">
        <is>
          <t>GISLAVED</t>
        </is>
      </c>
      <c r="G1693" t="n">
        <v>0.3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42634-2023</t>
        </is>
      </c>
      <c r="B1694" s="1" t="n">
        <v>45181</v>
      </c>
      <c r="C1694" s="1" t="n">
        <v>45962</v>
      </c>
      <c r="D1694" t="inlineStr">
        <is>
          <t>JÖNKÖPINGS LÄN</t>
        </is>
      </c>
      <c r="E1694" t="inlineStr">
        <is>
          <t>JÖNKÖPING</t>
        </is>
      </c>
      <c r="G1694" t="n">
        <v>0.7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17362-2025</t>
        </is>
      </c>
      <c r="B1695" s="1" t="n">
        <v>45756</v>
      </c>
      <c r="C1695" s="1" t="n">
        <v>45962</v>
      </c>
      <c r="D1695" t="inlineStr">
        <is>
          <t>JÖNKÖPINGS LÄN</t>
        </is>
      </c>
      <c r="E1695" t="inlineStr">
        <is>
          <t>JÖNKÖPING</t>
        </is>
      </c>
      <c r="G1695" t="n">
        <v>1.8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72037-2021</t>
        </is>
      </c>
      <c r="B1696" s="1" t="n">
        <v>44544</v>
      </c>
      <c r="C1696" s="1" t="n">
        <v>45962</v>
      </c>
      <c r="D1696" t="inlineStr">
        <is>
          <t>JÖNKÖPINGS LÄN</t>
        </is>
      </c>
      <c r="E1696" t="inlineStr">
        <is>
          <t>EKSJÖ</t>
        </is>
      </c>
      <c r="G1696" t="n">
        <v>1.6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42651-2023</t>
        </is>
      </c>
      <c r="B1697" s="1" t="n">
        <v>45176</v>
      </c>
      <c r="C1697" s="1" t="n">
        <v>45962</v>
      </c>
      <c r="D1697" t="inlineStr">
        <is>
          <t>JÖNKÖPINGS LÄN</t>
        </is>
      </c>
      <c r="E1697" t="inlineStr">
        <is>
          <t>GISLAVED</t>
        </is>
      </c>
      <c r="F1697" t="inlineStr">
        <is>
          <t>Kyrkan</t>
        </is>
      </c>
      <c r="G1697" t="n">
        <v>4.9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54451-2022</t>
        </is>
      </c>
      <c r="B1698" s="1" t="n">
        <v>44882</v>
      </c>
      <c r="C1698" s="1" t="n">
        <v>45962</v>
      </c>
      <c r="D1698" t="inlineStr">
        <is>
          <t>JÖNKÖPINGS LÄN</t>
        </is>
      </c>
      <c r="E1698" t="inlineStr">
        <is>
          <t>JÖNKÖPING</t>
        </is>
      </c>
      <c r="G1698" t="n">
        <v>1.2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62045-2022</t>
        </is>
      </c>
      <c r="B1699" s="1" t="n">
        <v>44918.56108796296</v>
      </c>
      <c r="C1699" s="1" t="n">
        <v>45962</v>
      </c>
      <c r="D1699" t="inlineStr">
        <is>
          <t>JÖNKÖPINGS LÄN</t>
        </is>
      </c>
      <c r="E1699" t="inlineStr">
        <is>
          <t>GNOSJÖ</t>
        </is>
      </c>
      <c r="G1699" t="n">
        <v>2.4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807-2023</t>
        </is>
      </c>
      <c r="B1700" s="1" t="n">
        <v>44931.47987268519</v>
      </c>
      <c r="C1700" s="1" t="n">
        <v>45962</v>
      </c>
      <c r="D1700" t="inlineStr">
        <is>
          <t>JÖNKÖPINGS LÄN</t>
        </is>
      </c>
      <c r="E1700" t="inlineStr">
        <is>
          <t>GISLAVED</t>
        </is>
      </c>
      <c r="G1700" t="n">
        <v>0.8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54415-2024</t>
        </is>
      </c>
      <c r="B1701" s="1" t="n">
        <v>45617.4812962963</v>
      </c>
      <c r="C1701" s="1" t="n">
        <v>45962</v>
      </c>
      <c r="D1701" t="inlineStr">
        <is>
          <t>JÖNKÖPINGS LÄN</t>
        </is>
      </c>
      <c r="E1701" t="inlineStr">
        <is>
          <t>ANEBY</t>
        </is>
      </c>
      <c r="G1701" t="n">
        <v>0.5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54426-2024</t>
        </is>
      </c>
      <c r="B1702" s="1" t="n">
        <v>45617</v>
      </c>
      <c r="C1702" s="1" t="n">
        <v>45962</v>
      </c>
      <c r="D1702" t="inlineStr">
        <is>
          <t>JÖNKÖPINGS LÄN</t>
        </is>
      </c>
      <c r="E1702" t="inlineStr">
        <is>
          <t>NÄSSJÖ</t>
        </is>
      </c>
      <c r="G1702" t="n">
        <v>1.2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54431-2024</t>
        </is>
      </c>
      <c r="B1703" s="1" t="n">
        <v>45617.4922337963</v>
      </c>
      <c r="C1703" s="1" t="n">
        <v>45962</v>
      </c>
      <c r="D1703" t="inlineStr">
        <is>
          <t>JÖNKÖPINGS LÄN</t>
        </is>
      </c>
      <c r="E1703" t="inlineStr">
        <is>
          <t>JÖNKÖPING</t>
        </is>
      </c>
      <c r="G1703" t="n">
        <v>5.8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863-2023</t>
        </is>
      </c>
      <c r="B1704" s="1" t="n">
        <v>44931.6290625</v>
      </c>
      <c r="C1704" s="1" t="n">
        <v>45962</v>
      </c>
      <c r="D1704" t="inlineStr">
        <is>
          <t>JÖNKÖPINGS LÄN</t>
        </is>
      </c>
      <c r="E1704" t="inlineStr">
        <is>
          <t>VÄRNAMO</t>
        </is>
      </c>
      <c r="G1704" t="n">
        <v>3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58768-2022</t>
        </is>
      </c>
      <c r="B1705" s="1" t="n">
        <v>44903</v>
      </c>
      <c r="C1705" s="1" t="n">
        <v>45962</v>
      </c>
      <c r="D1705" t="inlineStr">
        <is>
          <t>JÖNKÖPINGS LÄN</t>
        </is>
      </c>
      <c r="E1705" t="inlineStr">
        <is>
          <t>VETLANDA</t>
        </is>
      </c>
      <c r="G1705" t="n">
        <v>3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8373-2024</t>
        </is>
      </c>
      <c r="B1706" s="1" t="n">
        <v>45352.62596064815</v>
      </c>
      <c r="C1706" s="1" t="n">
        <v>45962</v>
      </c>
      <c r="D1706" t="inlineStr">
        <is>
          <t>JÖNKÖPINGS LÄN</t>
        </is>
      </c>
      <c r="E1706" t="inlineStr">
        <is>
          <t>SÄVSJÖ</t>
        </is>
      </c>
      <c r="G1706" t="n">
        <v>0.6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48885-2023</t>
        </is>
      </c>
      <c r="B1707" s="1" t="n">
        <v>45209</v>
      </c>
      <c r="C1707" s="1" t="n">
        <v>45962</v>
      </c>
      <c r="D1707" t="inlineStr">
        <is>
          <t>JÖNKÖPINGS LÄN</t>
        </is>
      </c>
      <c r="E1707" t="inlineStr">
        <is>
          <t>VETLANDA</t>
        </is>
      </c>
      <c r="G1707" t="n">
        <v>7.1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63630-2023</t>
        </is>
      </c>
      <c r="B1708" s="1" t="n">
        <v>45275</v>
      </c>
      <c r="C1708" s="1" t="n">
        <v>45962</v>
      </c>
      <c r="D1708" t="inlineStr">
        <is>
          <t>JÖNKÖPINGS LÄN</t>
        </is>
      </c>
      <c r="E1708" t="inlineStr">
        <is>
          <t>NÄSSJÖ</t>
        </is>
      </c>
      <c r="G1708" t="n">
        <v>0.4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23607-2024</t>
        </is>
      </c>
      <c r="B1709" s="1" t="n">
        <v>45454</v>
      </c>
      <c r="C1709" s="1" t="n">
        <v>45962</v>
      </c>
      <c r="D1709" t="inlineStr">
        <is>
          <t>JÖNKÖPINGS LÄN</t>
        </is>
      </c>
      <c r="E1709" t="inlineStr">
        <is>
          <t>ANEBY</t>
        </is>
      </c>
      <c r="G1709" t="n">
        <v>0.5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63679-2023</t>
        </is>
      </c>
      <c r="B1710" s="1" t="n">
        <v>45275.64987268519</v>
      </c>
      <c r="C1710" s="1" t="n">
        <v>45962</v>
      </c>
      <c r="D1710" t="inlineStr">
        <is>
          <t>JÖNKÖPINGS LÄN</t>
        </is>
      </c>
      <c r="E1710" t="inlineStr">
        <is>
          <t>SÄVSJÖ</t>
        </is>
      </c>
      <c r="G1710" t="n">
        <v>0.7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55246-2023</t>
        </is>
      </c>
      <c r="B1711" s="1" t="n">
        <v>45237</v>
      </c>
      <c r="C1711" s="1" t="n">
        <v>45962</v>
      </c>
      <c r="D1711" t="inlineStr">
        <is>
          <t>JÖNKÖPINGS LÄN</t>
        </is>
      </c>
      <c r="E1711" t="inlineStr">
        <is>
          <t>VAGGERYD</t>
        </is>
      </c>
      <c r="G1711" t="n">
        <v>2.7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42751-2023</t>
        </is>
      </c>
      <c r="B1712" s="1" t="n">
        <v>45181.67774305555</v>
      </c>
      <c r="C1712" s="1" t="n">
        <v>45962</v>
      </c>
      <c r="D1712" t="inlineStr">
        <is>
          <t>JÖNKÖPINGS LÄN</t>
        </is>
      </c>
      <c r="E1712" t="inlineStr">
        <is>
          <t>NÄSSJÖ</t>
        </is>
      </c>
      <c r="G1712" t="n">
        <v>1.2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26241-2024</t>
        </is>
      </c>
      <c r="B1713" s="1" t="n">
        <v>45468.63356481482</v>
      </c>
      <c r="C1713" s="1" t="n">
        <v>45962</v>
      </c>
      <c r="D1713" t="inlineStr">
        <is>
          <t>JÖNKÖPINGS LÄN</t>
        </is>
      </c>
      <c r="E1713" t="inlineStr">
        <is>
          <t>ANEBY</t>
        </is>
      </c>
      <c r="G1713" t="n">
        <v>1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58668-2024</t>
        </is>
      </c>
      <c r="B1714" s="1" t="n">
        <v>45635.6093287037</v>
      </c>
      <c r="C1714" s="1" t="n">
        <v>45962</v>
      </c>
      <c r="D1714" t="inlineStr">
        <is>
          <t>JÖNKÖPINGS LÄN</t>
        </is>
      </c>
      <c r="E1714" t="inlineStr">
        <is>
          <t>HABO</t>
        </is>
      </c>
      <c r="G1714" t="n">
        <v>1.1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43158-2023</t>
        </is>
      </c>
      <c r="B1715" s="1" t="n">
        <v>45183.33701388889</v>
      </c>
      <c r="C1715" s="1" t="n">
        <v>45962</v>
      </c>
      <c r="D1715" t="inlineStr">
        <is>
          <t>JÖNKÖPINGS LÄN</t>
        </is>
      </c>
      <c r="E1715" t="inlineStr">
        <is>
          <t>VETLANDA</t>
        </is>
      </c>
      <c r="G1715" t="n">
        <v>0.8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26397-2024</t>
        </is>
      </c>
      <c r="B1716" s="1" t="n">
        <v>45469.43982638889</v>
      </c>
      <c r="C1716" s="1" t="n">
        <v>45962</v>
      </c>
      <c r="D1716" t="inlineStr">
        <is>
          <t>JÖNKÖPINGS LÄN</t>
        </is>
      </c>
      <c r="E1716" t="inlineStr">
        <is>
          <t>JÖNKÖPING</t>
        </is>
      </c>
      <c r="G1716" t="n">
        <v>2.2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36306-2023</t>
        </is>
      </c>
      <c r="B1717" s="1" t="n">
        <v>45152</v>
      </c>
      <c r="C1717" s="1" t="n">
        <v>45962</v>
      </c>
      <c r="D1717" t="inlineStr">
        <is>
          <t>JÖNKÖPINGS LÄN</t>
        </is>
      </c>
      <c r="E1717" t="inlineStr">
        <is>
          <t>EKSJÖ</t>
        </is>
      </c>
      <c r="G1717" t="n">
        <v>1.9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6236-2022</t>
        </is>
      </c>
      <c r="B1718" s="1" t="n">
        <v>44600</v>
      </c>
      <c r="C1718" s="1" t="n">
        <v>45962</v>
      </c>
      <c r="D1718" t="inlineStr">
        <is>
          <t>JÖNKÖPINGS LÄN</t>
        </is>
      </c>
      <c r="E1718" t="inlineStr">
        <is>
          <t>EKSJÖ</t>
        </is>
      </c>
      <c r="G1718" t="n">
        <v>2.8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49411-2024</t>
        </is>
      </c>
      <c r="B1719" s="1" t="n">
        <v>45595.68493055556</v>
      </c>
      <c r="C1719" s="1" t="n">
        <v>45962</v>
      </c>
      <c r="D1719" t="inlineStr">
        <is>
          <t>JÖNKÖPINGS LÄN</t>
        </is>
      </c>
      <c r="E1719" t="inlineStr">
        <is>
          <t>VETLANDA</t>
        </is>
      </c>
      <c r="G1719" t="n">
        <v>0.5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33508-2021</t>
        </is>
      </c>
      <c r="B1720" s="1" t="n">
        <v>44377</v>
      </c>
      <c r="C1720" s="1" t="n">
        <v>45962</v>
      </c>
      <c r="D1720" t="inlineStr">
        <is>
          <t>JÖNKÖPINGS LÄN</t>
        </is>
      </c>
      <c r="E1720" t="inlineStr">
        <is>
          <t>TRANÅS</t>
        </is>
      </c>
      <c r="F1720" t="inlineStr">
        <is>
          <t>Kyrkan</t>
        </is>
      </c>
      <c r="G1720" t="n">
        <v>1.8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11976-2023</t>
        </is>
      </c>
      <c r="B1721" s="1" t="n">
        <v>44994</v>
      </c>
      <c r="C1721" s="1" t="n">
        <v>45962</v>
      </c>
      <c r="D1721" t="inlineStr">
        <is>
          <t>JÖNKÖPINGS LÄN</t>
        </is>
      </c>
      <c r="E1721" t="inlineStr">
        <is>
          <t>ANEBY</t>
        </is>
      </c>
      <c r="G1721" t="n">
        <v>1.9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4639-2024</t>
        </is>
      </c>
      <c r="B1722" s="1" t="n">
        <v>45328</v>
      </c>
      <c r="C1722" s="1" t="n">
        <v>45962</v>
      </c>
      <c r="D1722" t="inlineStr">
        <is>
          <t>JÖNKÖPINGS LÄN</t>
        </is>
      </c>
      <c r="E1722" t="inlineStr">
        <is>
          <t>NÄSSJÖ</t>
        </is>
      </c>
      <c r="G1722" t="n">
        <v>0.5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41421-2023</t>
        </is>
      </c>
      <c r="B1723" s="1" t="n">
        <v>45175.33553240741</v>
      </c>
      <c r="C1723" s="1" t="n">
        <v>45962</v>
      </c>
      <c r="D1723" t="inlineStr">
        <is>
          <t>JÖNKÖPINGS LÄN</t>
        </is>
      </c>
      <c r="E1723" t="inlineStr">
        <is>
          <t>VETLANDA</t>
        </is>
      </c>
      <c r="G1723" t="n">
        <v>1.3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17234-2024</t>
        </is>
      </c>
      <c r="B1724" s="1" t="n">
        <v>45414.37135416667</v>
      </c>
      <c r="C1724" s="1" t="n">
        <v>45962</v>
      </c>
      <c r="D1724" t="inlineStr">
        <is>
          <t>JÖNKÖPINGS LÄN</t>
        </is>
      </c>
      <c r="E1724" t="inlineStr">
        <is>
          <t>VETLANDA</t>
        </is>
      </c>
      <c r="G1724" t="n">
        <v>2.1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60436-2024</t>
        </is>
      </c>
      <c r="B1725" s="1" t="n">
        <v>45643.57760416667</v>
      </c>
      <c r="C1725" s="1" t="n">
        <v>45962</v>
      </c>
      <c r="D1725" t="inlineStr">
        <is>
          <t>JÖNKÖPINGS LÄN</t>
        </is>
      </c>
      <c r="E1725" t="inlineStr">
        <is>
          <t>EKSJÖ</t>
        </is>
      </c>
      <c r="G1725" t="n">
        <v>3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17933-2025</t>
        </is>
      </c>
      <c r="B1726" s="1" t="n">
        <v>45760</v>
      </c>
      <c r="C1726" s="1" t="n">
        <v>45962</v>
      </c>
      <c r="D1726" t="inlineStr">
        <is>
          <t>JÖNKÖPINGS LÄN</t>
        </is>
      </c>
      <c r="E1726" t="inlineStr">
        <is>
          <t>NÄSSJÖ</t>
        </is>
      </c>
      <c r="G1726" t="n">
        <v>3.9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17936-2025</t>
        </is>
      </c>
      <c r="B1727" s="1" t="n">
        <v>45760</v>
      </c>
      <c r="C1727" s="1" t="n">
        <v>45962</v>
      </c>
      <c r="D1727" t="inlineStr">
        <is>
          <t>JÖNKÖPINGS LÄN</t>
        </is>
      </c>
      <c r="E1727" t="inlineStr">
        <is>
          <t>NÄSSJÖ</t>
        </is>
      </c>
      <c r="G1727" t="n">
        <v>4.7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17943-2025</t>
        </is>
      </c>
      <c r="B1728" s="1" t="n">
        <v>45760</v>
      </c>
      <c r="C1728" s="1" t="n">
        <v>45962</v>
      </c>
      <c r="D1728" t="inlineStr">
        <is>
          <t>JÖNKÖPINGS LÄN</t>
        </is>
      </c>
      <c r="E1728" t="inlineStr">
        <is>
          <t>NÄSSJÖ</t>
        </is>
      </c>
      <c r="G1728" t="n">
        <v>0.9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45010-2024</t>
        </is>
      </c>
      <c r="B1729" s="1" t="n">
        <v>45575.49151620371</v>
      </c>
      <c r="C1729" s="1" t="n">
        <v>45962</v>
      </c>
      <c r="D1729" t="inlineStr">
        <is>
          <t>JÖNKÖPINGS LÄN</t>
        </is>
      </c>
      <c r="E1729" t="inlineStr">
        <is>
          <t>VETLANDA</t>
        </is>
      </c>
      <c r="G1729" t="n">
        <v>0.5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4076-2025</t>
        </is>
      </c>
      <c r="B1730" s="1" t="n">
        <v>45684.64578703704</v>
      </c>
      <c r="C1730" s="1" t="n">
        <v>45962</v>
      </c>
      <c r="D1730" t="inlineStr">
        <is>
          <t>JÖNKÖPINGS LÄN</t>
        </is>
      </c>
      <c r="E1730" t="inlineStr">
        <is>
          <t>VÄRNAMO</t>
        </is>
      </c>
      <c r="G1730" t="n">
        <v>0.5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4309-2024</t>
        </is>
      </c>
      <c r="B1731" s="1" t="n">
        <v>45324.64579861111</v>
      </c>
      <c r="C1731" s="1" t="n">
        <v>45962</v>
      </c>
      <c r="D1731" t="inlineStr">
        <is>
          <t>JÖNKÖPINGS LÄN</t>
        </is>
      </c>
      <c r="E1731" t="inlineStr">
        <is>
          <t>JÖNKÖPING</t>
        </is>
      </c>
      <c r="F1731" t="inlineStr">
        <is>
          <t>Kyrkan</t>
        </is>
      </c>
      <c r="G1731" t="n">
        <v>1.7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4311-2024</t>
        </is>
      </c>
      <c r="B1732" s="1" t="n">
        <v>45324.64745370371</v>
      </c>
      <c r="C1732" s="1" t="n">
        <v>45962</v>
      </c>
      <c r="D1732" t="inlineStr">
        <is>
          <t>JÖNKÖPINGS LÄN</t>
        </is>
      </c>
      <c r="E1732" t="inlineStr">
        <is>
          <t>JÖNKÖPING</t>
        </is>
      </c>
      <c r="F1732" t="inlineStr">
        <is>
          <t>Kyrkan</t>
        </is>
      </c>
      <c r="G1732" t="n">
        <v>2.8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4081-2025</t>
        </is>
      </c>
      <c r="B1733" s="1" t="n">
        <v>45684.66012731481</v>
      </c>
      <c r="C1733" s="1" t="n">
        <v>45962</v>
      </c>
      <c r="D1733" t="inlineStr">
        <is>
          <t>JÖNKÖPINGS LÄN</t>
        </is>
      </c>
      <c r="E1733" t="inlineStr">
        <is>
          <t>SÄVSJÖ</t>
        </is>
      </c>
      <c r="G1733" t="n">
        <v>1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9974-2023</t>
        </is>
      </c>
      <c r="B1734" s="1" t="n">
        <v>44979</v>
      </c>
      <c r="C1734" s="1" t="n">
        <v>45962</v>
      </c>
      <c r="D1734" t="inlineStr">
        <is>
          <t>JÖNKÖPINGS LÄN</t>
        </is>
      </c>
      <c r="E1734" t="inlineStr">
        <is>
          <t>JÖNKÖPING</t>
        </is>
      </c>
      <c r="G1734" t="n">
        <v>1.2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1782-2025</t>
        </is>
      </c>
      <c r="B1735" s="1" t="n">
        <v>45671.44894675926</v>
      </c>
      <c r="C1735" s="1" t="n">
        <v>45962</v>
      </c>
      <c r="D1735" t="inlineStr">
        <is>
          <t>JÖNKÖPINGS LÄN</t>
        </is>
      </c>
      <c r="E1735" t="inlineStr">
        <is>
          <t>JÖNKÖPING</t>
        </is>
      </c>
      <c r="G1735" t="n">
        <v>0.7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10464-2023</t>
        </is>
      </c>
      <c r="B1736" s="1" t="n">
        <v>44987</v>
      </c>
      <c r="C1736" s="1" t="n">
        <v>45962</v>
      </c>
      <c r="D1736" t="inlineStr">
        <is>
          <t>JÖNKÖPINGS LÄN</t>
        </is>
      </c>
      <c r="E1736" t="inlineStr">
        <is>
          <t>EKSJÖ</t>
        </is>
      </c>
      <c r="G1736" t="n">
        <v>1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56767-2022</t>
        </is>
      </c>
      <c r="B1737" s="1" t="n">
        <v>44894</v>
      </c>
      <c r="C1737" s="1" t="n">
        <v>45962</v>
      </c>
      <c r="D1737" t="inlineStr">
        <is>
          <t>JÖNKÖPINGS LÄN</t>
        </is>
      </c>
      <c r="E1737" t="inlineStr">
        <is>
          <t>HABO</t>
        </is>
      </c>
      <c r="G1737" t="n">
        <v>0.5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56909-2022</t>
        </is>
      </c>
      <c r="B1738" s="1" t="n">
        <v>44894</v>
      </c>
      <c r="C1738" s="1" t="n">
        <v>45962</v>
      </c>
      <c r="D1738" t="inlineStr">
        <is>
          <t>JÖNKÖPINGS LÄN</t>
        </is>
      </c>
      <c r="E1738" t="inlineStr">
        <is>
          <t>VETLANDA</t>
        </is>
      </c>
      <c r="G1738" t="n">
        <v>1.3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33416-2024</t>
        </is>
      </c>
      <c r="B1739" s="1" t="n">
        <v>45519.49717592593</v>
      </c>
      <c r="C1739" s="1" t="n">
        <v>45962</v>
      </c>
      <c r="D1739" t="inlineStr">
        <is>
          <t>JÖNKÖPINGS LÄN</t>
        </is>
      </c>
      <c r="E1739" t="inlineStr">
        <is>
          <t>VETLANDA</t>
        </is>
      </c>
      <c r="G1739" t="n">
        <v>2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17299-2024</t>
        </is>
      </c>
      <c r="B1740" s="1" t="n">
        <v>45414</v>
      </c>
      <c r="C1740" s="1" t="n">
        <v>45962</v>
      </c>
      <c r="D1740" t="inlineStr">
        <is>
          <t>JÖNKÖPINGS LÄN</t>
        </is>
      </c>
      <c r="E1740" t="inlineStr">
        <is>
          <t>JÖNKÖPING</t>
        </is>
      </c>
      <c r="G1740" t="n">
        <v>0.7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6914-2024</t>
        </is>
      </c>
      <c r="B1741" s="1" t="n">
        <v>45343.28386574074</v>
      </c>
      <c r="C1741" s="1" t="n">
        <v>45962</v>
      </c>
      <c r="D1741" t="inlineStr">
        <is>
          <t>JÖNKÖPINGS LÄN</t>
        </is>
      </c>
      <c r="E1741" t="inlineStr">
        <is>
          <t>VÄRNAMO</t>
        </is>
      </c>
      <c r="G1741" t="n">
        <v>0.9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6918-2024</t>
        </is>
      </c>
      <c r="B1742" s="1" t="n">
        <v>45343.30072916667</v>
      </c>
      <c r="C1742" s="1" t="n">
        <v>45962</v>
      </c>
      <c r="D1742" t="inlineStr">
        <is>
          <t>JÖNKÖPINGS LÄN</t>
        </is>
      </c>
      <c r="E1742" t="inlineStr">
        <is>
          <t>VÄRNAMO</t>
        </is>
      </c>
      <c r="G1742" t="n">
        <v>5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24656-2021</t>
        </is>
      </c>
      <c r="B1743" s="1" t="n">
        <v>44340.41997685185</v>
      </c>
      <c r="C1743" s="1" t="n">
        <v>45962</v>
      </c>
      <c r="D1743" t="inlineStr">
        <is>
          <t>JÖNKÖPINGS LÄN</t>
        </is>
      </c>
      <c r="E1743" t="inlineStr">
        <is>
          <t>GISLAVED</t>
        </is>
      </c>
      <c r="G1743" t="n">
        <v>1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47309-2022</t>
        </is>
      </c>
      <c r="B1744" s="1" t="n">
        <v>44853.33546296296</v>
      </c>
      <c r="C1744" s="1" t="n">
        <v>45962</v>
      </c>
      <c r="D1744" t="inlineStr">
        <is>
          <t>JÖNKÖPINGS LÄN</t>
        </is>
      </c>
      <c r="E1744" t="inlineStr">
        <is>
          <t>GISLAVED</t>
        </is>
      </c>
      <c r="G1744" t="n">
        <v>1.7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45945-2024</t>
        </is>
      </c>
      <c r="B1745" s="1" t="n">
        <v>45580.55204861111</v>
      </c>
      <c r="C1745" s="1" t="n">
        <v>45962</v>
      </c>
      <c r="D1745" t="inlineStr">
        <is>
          <t>JÖNKÖPINGS LÄN</t>
        </is>
      </c>
      <c r="E1745" t="inlineStr">
        <is>
          <t>VETLANDA</t>
        </is>
      </c>
      <c r="G1745" t="n">
        <v>1.1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40244-2024</t>
        </is>
      </c>
      <c r="B1746" s="1" t="n">
        <v>45554.61420138889</v>
      </c>
      <c r="C1746" s="1" t="n">
        <v>45962</v>
      </c>
      <c r="D1746" t="inlineStr">
        <is>
          <t>JÖNKÖPINGS LÄN</t>
        </is>
      </c>
      <c r="E1746" t="inlineStr">
        <is>
          <t>GNOSJÖ</t>
        </is>
      </c>
      <c r="G1746" t="n">
        <v>0.9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18069-2025</t>
        </is>
      </c>
      <c r="B1747" s="1" t="n">
        <v>45761.49107638889</v>
      </c>
      <c r="C1747" s="1" t="n">
        <v>45962</v>
      </c>
      <c r="D1747" t="inlineStr">
        <is>
          <t>JÖNKÖPINGS LÄN</t>
        </is>
      </c>
      <c r="E1747" t="inlineStr">
        <is>
          <t>JÖNKÖPING</t>
        </is>
      </c>
      <c r="G1747" t="n">
        <v>2.6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10964-2025</t>
        </is>
      </c>
      <c r="B1748" s="1" t="n">
        <v>45723.38173611111</v>
      </c>
      <c r="C1748" s="1" t="n">
        <v>45962</v>
      </c>
      <c r="D1748" t="inlineStr">
        <is>
          <t>JÖNKÖPINGS LÄN</t>
        </is>
      </c>
      <c r="E1748" t="inlineStr">
        <is>
          <t>VÄRNAMO</t>
        </is>
      </c>
      <c r="G1748" t="n">
        <v>1.8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18086-2025</t>
        </is>
      </c>
      <c r="B1749" s="1" t="n">
        <v>45761.52376157408</v>
      </c>
      <c r="C1749" s="1" t="n">
        <v>45962</v>
      </c>
      <c r="D1749" t="inlineStr">
        <is>
          <t>JÖNKÖPINGS LÄN</t>
        </is>
      </c>
      <c r="E1749" t="inlineStr">
        <is>
          <t>EKSJÖ</t>
        </is>
      </c>
      <c r="G1749" t="n">
        <v>0.7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56469-2021</t>
        </is>
      </c>
      <c r="B1750" s="1" t="n">
        <v>44480.54768518519</v>
      </c>
      <c r="C1750" s="1" t="n">
        <v>45962</v>
      </c>
      <c r="D1750" t="inlineStr">
        <is>
          <t>JÖNKÖPINGS LÄN</t>
        </is>
      </c>
      <c r="E1750" t="inlineStr">
        <is>
          <t>EKSJÖ</t>
        </is>
      </c>
      <c r="G1750" t="n">
        <v>1.9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63741-2023</t>
        </is>
      </c>
      <c r="B1751" s="1" t="n">
        <v>45277</v>
      </c>
      <c r="C1751" s="1" t="n">
        <v>45962</v>
      </c>
      <c r="D1751" t="inlineStr">
        <is>
          <t>JÖNKÖPINGS LÄN</t>
        </is>
      </c>
      <c r="E1751" t="inlineStr">
        <is>
          <t>NÄSSJÖ</t>
        </is>
      </c>
      <c r="G1751" t="n">
        <v>1.8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9363-2025</t>
        </is>
      </c>
      <c r="B1752" s="1" t="n">
        <v>45715.30773148148</v>
      </c>
      <c r="C1752" s="1" t="n">
        <v>45962</v>
      </c>
      <c r="D1752" t="inlineStr">
        <is>
          <t>JÖNKÖPINGS LÄN</t>
        </is>
      </c>
      <c r="E1752" t="inlineStr">
        <is>
          <t>EKSJÖ</t>
        </is>
      </c>
      <c r="F1752" t="inlineStr">
        <is>
          <t>Sveaskog</t>
        </is>
      </c>
      <c r="G1752" t="n">
        <v>1.2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43790-2023</t>
        </is>
      </c>
      <c r="B1753" s="1" t="n">
        <v>45187.53984953704</v>
      </c>
      <c r="C1753" s="1" t="n">
        <v>45962</v>
      </c>
      <c r="D1753" t="inlineStr">
        <is>
          <t>JÖNKÖPINGS LÄN</t>
        </is>
      </c>
      <c r="E1753" t="inlineStr">
        <is>
          <t>GNOSJÖ</t>
        </is>
      </c>
      <c r="G1753" t="n">
        <v>3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48399-2024</t>
        </is>
      </c>
      <c r="B1754" s="1" t="n">
        <v>45590.61549768518</v>
      </c>
      <c r="C1754" s="1" t="n">
        <v>45962</v>
      </c>
      <c r="D1754" t="inlineStr">
        <is>
          <t>JÖNKÖPINGS LÄN</t>
        </is>
      </c>
      <c r="E1754" t="inlineStr">
        <is>
          <t>GISLAVED</t>
        </is>
      </c>
      <c r="F1754" t="inlineStr">
        <is>
          <t>Sveaskog</t>
        </is>
      </c>
      <c r="G1754" t="n">
        <v>2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26954-2023</t>
        </is>
      </c>
      <c r="B1755" s="1" t="n">
        <v>45093</v>
      </c>
      <c r="C1755" s="1" t="n">
        <v>45962</v>
      </c>
      <c r="D1755" t="inlineStr">
        <is>
          <t>JÖNKÖPINGS LÄN</t>
        </is>
      </c>
      <c r="E1755" t="inlineStr">
        <is>
          <t>GISLAVED</t>
        </is>
      </c>
      <c r="G1755" t="n">
        <v>1.8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995-2023</t>
        </is>
      </c>
      <c r="B1756" s="1" t="n">
        <v>44935</v>
      </c>
      <c r="C1756" s="1" t="n">
        <v>45962</v>
      </c>
      <c r="D1756" t="inlineStr">
        <is>
          <t>JÖNKÖPINGS LÄN</t>
        </is>
      </c>
      <c r="E1756" t="inlineStr">
        <is>
          <t>SÄVSJÖ</t>
        </is>
      </c>
      <c r="F1756" t="inlineStr">
        <is>
          <t>Sveaskog</t>
        </is>
      </c>
      <c r="G1756" t="n">
        <v>0.8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48462-2024</t>
        </is>
      </c>
      <c r="B1757" s="1" t="n">
        <v>45590.92597222222</v>
      </c>
      <c r="C1757" s="1" t="n">
        <v>45962</v>
      </c>
      <c r="D1757" t="inlineStr">
        <is>
          <t>JÖNKÖPINGS LÄN</t>
        </is>
      </c>
      <c r="E1757" t="inlineStr">
        <is>
          <t>NÄSSJÖ</t>
        </is>
      </c>
      <c r="G1757" t="n">
        <v>0.9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37519-2022</t>
        </is>
      </c>
      <c r="B1758" s="1" t="n">
        <v>44809.59835648148</v>
      </c>
      <c r="C1758" s="1" t="n">
        <v>45962</v>
      </c>
      <c r="D1758" t="inlineStr">
        <is>
          <t>JÖNKÖPINGS LÄN</t>
        </is>
      </c>
      <c r="E1758" t="inlineStr">
        <is>
          <t>EKSJÖ</t>
        </is>
      </c>
      <c r="G1758" t="n">
        <v>2.9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2815-2024</t>
        </is>
      </c>
      <c r="B1759" s="1" t="n">
        <v>45314.72010416666</v>
      </c>
      <c r="C1759" s="1" t="n">
        <v>45962</v>
      </c>
      <c r="D1759" t="inlineStr">
        <is>
          <t>JÖNKÖPINGS LÄN</t>
        </is>
      </c>
      <c r="E1759" t="inlineStr">
        <is>
          <t>VETLANDA</t>
        </is>
      </c>
      <c r="G1759" t="n">
        <v>2.2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3599-2024</t>
        </is>
      </c>
      <c r="B1760" s="1" t="n">
        <v>45320.77902777777</v>
      </c>
      <c r="C1760" s="1" t="n">
        <v>45962</v>
      </c>
      <c r="D1760" t="inlineStr">
        <is>
          <t>JÖNKÖPINGS LÄN</t>
        </is>
      </c>
      <c r="E1760" t="inlineStr">
        <is>
          <t>SÄVSJÖ</t>
        </is>
      </c>
      <c r="G1760" t="n">
        <v>0.5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6428-2023</t>
        </is>
      </c>
      <c r="B1761" s="1" t="n">
        <v>44965</v>
      </c>
      <c r="C1761" s="1" t="n">
        <v>45962</v>
      </c>
      <c r="D1761" t="inlineStr">
        <is>
          <t>JÖNKÖPINGS LÄN</t>
        </is>
      </c>
      <c r="E1761" t="inlineStr">
        <is>
          <t>JÖNKÖPING</t>
        </is>
      </c>
      <c r="G1761" t="n">
        <v>3.6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43050-2024</t>
        </is>
      </c>
      <c r="B1762" s="1" t="n">
        <v>45567.44934027778</v>
      </c>
      <c r="C1762" s="1" t="n">
        <v>45962</v>
      </c>
      <c r="D1762" t="inlineStr">
        <is>
          <t>JÖNKÖPINGS LÄN</t>
        </is>
      </c>
      <c r="E1762" t="inlineStr">
        <is>
          <t>VAGGERYD</t>
        </is>
      </c>
      <c r="G1762" t="n">
        <v>2.3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54600-2022</t>
        </is>
      </c>
      <c r="B1763" s="1" t="n">
        <v>44883.33305555556</v>
      </c>
      <c r="C1763" s="1" t="n">
        <v>45962</v>
      </c>
      <c r="D1763" t="inlineStr">
        <is>
          <t>JÖNKÖPINGS LÄN</t>
        </is>
      </c>
      <c r="E1763" t="inlineStr">
        <is>
          <t>SÄVSJÖ</t>
        </is>
      </c>
      <c r="G1763" t="n">
        <v>3.4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27013-2023</t>
        </is>
      </c>
      <c r="B1764" s="1" t="n">
        <v>45094.85306712963</v>
      </c>
      <c r="C1764" s="1" t="n">
        <v>45962</v>
      </c>
      <c r="D1764" t="inlineStr">
        <is>
          <t>JÖNKÖPINGS LÄN</t>
        </is>
      </c>
      <c r="E1764" t="inlineStr">
        <is>
          <t>SÄVSJÖ</t>
        </is>
      </c>
      <c r="G1764" t="n">
        <v>2.4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19953-2024</t>
        </is>
      </c>
      <c r="B1765" s="1" t="n">
        <v>45433.62693287037</v>
      </c>
      <c r="C1765" s="1" t="n">
        <v>45962</v>
      </c>
      <c r="D1765" t="inlineStr">
        <is>
          <t>JÖNKÖPINGS LÄN</t>
        </is>
      </c>
      <c r="E1765" t="inlineStr">
        <is>
          <t>VETLANDA</t>
        </is>
      </c>
      <c r="G1765" t="n">
        <v>0.8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27437-2023</t>
        </is>
      </c>
      <c r="B1766" s="1" t="n">
        <v>45097.393125</v>
      </c>
      <c r="C1766" s="1" t="n">
        <v>45962</v>
      </c>
      <c r="D1766" t="inlineStr">
        <is>
          <t>JÖNKÖPINGS LÄN</t>
        </is>
      </c>
      <c r="E1766" t="inlineStr">
        <is>
          <t>VETLANDA</t>
        </is>
      </c>
      <c r="G1766" t="n">
        <v>1.3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48880-2024</t>
        </is>
      </c>
      <c r="B1767" s="1" t="n">
        <v>45594.32667824074</v>
      </c>
      <c r="C1767" s="1" t="n">
        <v>45962</v>
      </c>
      <c r="D1767" t="inlineStr">
        <is>
          <t>JÖNKÖPINGS LÄN</t>
        </is>
      </c>
      <c r="E1767" t="inlineStr">
        <is>
          <t>EKSJÖ</t>
        </is>
      </c>
      <c r="G1767" t="n">
        <v>1.5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18801-2023</t>
        </is>
      </c>
      <c r="B1768" s="1" t="n">
        <v>45044.34604166666</v>
      </c>
      <c r="C1768" s="1" t="n">
        <v>45962</v>
      </c>
      <c r="D1768" t="inlineStr">
        <is>
          <t>JÖNKÖPINGS LÄN</t>
        </is>
      </c>
      <c r="E1768" t="inlineStr">
        <is>
          <t>VÄRNAMO</t>
        </is>
      </c>
      <c r="G1768" t="n">
        <v>1.5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35036-2023</t>
        </is>
      </c>
      <c r="B1769" s="1" t="n">
        <v>45145.36064814815</v>
      </c>
      <c r="C1769" s="1" t="n">
        <v>45962</v>
      </c>
      <c r="D1769" t="inlineStr">
        <is>
          <t>JÖNKÖPINGS LÄN</t>
        </is>
      </c>
      <c r="E1769" t="inlineStr">
        <is>
          <t>VAGGERYD</t>
        </is>
      </c>
      <c r="G1769" t="n">
        <v>0.7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18481-2025</t>
        </is>
      </c>
      <c r="B1770" s="1" t="n">
        <v>45762.95744212963</v>
      </c>
      <c r="C1770" s="1" t="n">
        <v>45962</v>
      </c>
      <c r="D1770" t="inlineStr">
        <is>
          <t>JÖNKÖPINGS LÄN</t>
        </is>
      </c>
      <c r="E1770" t="inlineStr">
        <is>
          <t>SÄVSJÖ</t>
        </is>
      </c>
      <c r="G1770" t="n">
        <v>3.2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21353-2022</t>
        </is>
      </c>
      <c r="B1771" s="1" t="n">
        <v>44705.66621527778</v>
      </c>
      <c r="C1771" s="1" t="n">
        <v>45962</v>
      </c>
      <c r="D1771" t="inlineStr">
        <is>
          <t>JÖNKÖPINGS LÄN</t>
        </is>
      </c>
      <c r="E1771" t="inlineStr">
        <is>
          <t>ANEBY</t>
        </is>
      </c>
      <c r="G1771" t="n">
        <v>1.2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60915-2023</t>
        </is>
      </c>
      <c r="B1772" s="1" t="n">
        <v>45261.3987037037</v>
      </c>
      <c r="C1772" s="1" t="n">
        <v>45962</v>
      </c>
      <c r="D1772" t="inlineStr">
        <is>
          <t>JÖNKÖPINGS LÄN</t>
        </is>
      </c>
      <c r="E1772" t="inlineStr">
        <is>
          <t>SÄVSJÖ</t>
        </is>
      </c>
      <c r="G1772" t="n">
        <v>0.6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40563-2024</t>
        </is>
      </c>
      <c r="B1773" s="1" t="n">
        <v>45555.66153935185</v>
      </c>
      <c r="C1773" s="1" t="n">
        <v>45962</v>
      </c>
      <c r="D1773" t="inlineStr">
        <is>
          <t>JÖNKÖPINGS LÄN</t>
        </is>
      </c>
      <c r="E1773" t="inlineStr">
        <is>
          <t>ANEBY</t>
        </is>
      </c>
      <c r="G1773" t="n">
        <v>2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21267-2023</t>
        </is>
      </c>
      <c r="B1774" s="1" t="n">
        <v>45062</v>
      </c>
      <c r="C1774" s="1" t="n">
        <v>45962</v>
      </c>
      <c r="D1774" t="inlineStr">
        <is>
          <t>JÖNKÖPINGS LÄN</t>
        </is>
      </c>
      <c r="E1774" t="inlineStr">
        <is>
          <t>VETLANDA</t>
        </is>
      </c>
      <c r="G1774" t="n">
        <v>5.3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22715-2024</t>
        </is>
      </c>
      <c r="B1775" s="1" t="n">
        <v>45448.36170138889</v>
      </c>
      <c r="C1775" s="1" t="n">
        <v>45962</v>
      </c>
      <c r="D1775" t="inlineStr">
        <is>
          <t>JÖNKÖPINGS LÄN</t>
        </is>
      </c>
      <c r="E1775" t="inlineStr">
        <is>
          <t>VETLANDA</t>
        </is>
      </c>
      <c r="G1775" t="n">
        <v>1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35244-2023</t>
        </is>
      </c>
      <c r="B1776" s="1" t="n">
        <v>45145.88350694445</v>
      </c>
      <c r="C1776" s="1" t="n">
        <v>45962</v>
      </c>
      <c r="D1776" t="inlineStr">
        <is>
          <t>JÖNKÖPINGS LÄN</t>
        </is>
      </c>
      <c r="E1776" t="inlineStr">
        <is>
          <t>MULLSJÖ</t>
        </is>
      </c>
      <c r="G1776" t="n">
        <v>4.9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21319-2023</t>
        </is>
      </c>
      <c r="B1777" s="1" t="n">
        <v>45062</v>
      </c>
      <c r="C1777" s="1" t="n">
        <v>45962</v>
      </c>
      <c r="D1777" t="inlineStr">
        <is>
          <t>JÖNKÖPINGS LÄN</t>
        </is>
      </c>
      <c r="E1777" t="inlineStr">
        <is>
          <t>TRANÅS</t>
        </is>
      </c>
      <c r="G1777" t="n">
        <v>0.5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11103-2024</t>
        </is>
      </c>
      <c r="B1778" s="1" t="n">
        <v>45371</v>
      </c>
      <c r="C1778" s="1" t="n">
        <v>45962</v>
      </c>
      <c r="D1778" t="inlineStr">
        <is>
          <t>JÖNKÖPINGS LÄN</t>
        </is>
      </c>
      <c r="E1778" t="inlineStr">
        <is>
          <t>VAGGERYD</t>
        </is>
      </c>
      <c r="G1778" t="n">
        <v>1.1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11105-2024</t>
        </is>
      </c>
      <c r="B1779" s="1" t="n">
        <v>45371.32840277778</v>
      </c>
      <c r="C1779" s="1" t="n">
        <v>45962</v>
      </c>
      <c r="D1779" t="inlineStr">
        <is>
          <t>JÖNKÖPINGS LÄN</t>
        </is>
      </c>
      <c r="E1779" t="inlineStr">
        <is>
          <t>VAGGERYD</t>
        </is>
      </c>
      <c r="G1779" t="n">
        <v>1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404-2025</t>
        </is>
      </c>
      <c r="B1780" s="1" t="n">
        <v>45663.61690972222</v>
      </c>
      <c r="C1780" s="1" t="n">
        <v>45962</v>
      </c>
      <c r="D1780" t="inlineStr">
        <is>
          <t>JÖNKÖPINGS LÄN</t>
        </is>
      </c>
      <c r="E1780" t="inlineStr">
        <is>
          <t>VETLANDA</t>
        </is>
      </c>
      <c r="G1780" t="n">
        <v>1.9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38527-2024</t>
        </is>
      </c>
      <c r="B1781" s="1" t="n">
        <v>45546.58008101852</v>
      </c>
      <c r="C1781" s="1" t="n">
        <v>45962</v>
      </c>
      <c r="D1781" t="inlineStr">
        <is>
          <t>JÖNKÖPINGS LÄN</t>
        </is>
      </c>
      <c r="E1781" t="inlineStr">
        <is>
          <t>VETLANDA</t>
        </is>
      </c>
      <c r="G1781" t="n">
        <v>1.7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15961-2024</t>
        </is>
      </c>
      <c r="B1782" s="1" t="n">
        <v>45405.55135416667</v>
      </c>
      <c r="C1782" s="1" t="n">
        <v>45962</v>
      </c>
      <c r="D1782" t="inlineStr">
        <is>
          <t>JÖNKÖPINGS LÄN</t>
        </is>
      </c>
      <c r="E1782" t="inlineStr">
        <is>
          <t>EKSJÖ</t>
        </is>
      </c>
      <c r="G1782" t="n">
        <v>4.7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14372-2023</t>
        </is>
      </c>
      <c r="B1783" s="1" t="n">
        <v>45012</v>
      </c>
      <c r="C1783" s="1" t="n">
        <v>45962</v>
      </c>
      <c r="D1783" t="inlineStr">
        <is>
          <t>JÖNKÖPINGS LÄN</t>
        </is>
      </c>
      <c r="E1783" t="inlineStr">
        <is>
          <t>JÖNKÖPING</t>
        </is>
      </c>
      <c r="G1783" t="n">
        <v>4.8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39218-2023</t>
        </is>
      </c>
      <c r="B1784" s="1" t="n">
        <v>45166</v>
      </c>
      <c r="C1784" s="1" t="n">
        <v>45962</v>
      </c>
      <c r="D1784" t="inlineStr">
        <is>
          <t>JÖNKÖPINGS LÄN</t>
        </is>
      </c>
      <c r="E1784" t="inlineStr">
        <is>
          <t>VÄRNAMO</t>
        </is>
      </c>
      <c r="G1784" t="n">
        <v>0.8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39222-2023</t>
        </is>
      </c>
      <c r="B1785" s="1" t="n">
        <v>45166.43667824074</v>
      </c>
      <c r="C1785" s="1" t="n">
        <v>45962</v>
      </c>
      <c r="D1785" t="inlineStr">
        <is>
          <t>JÖNKÖPINGS LÄN</t>
        </is>
      </c>
      <c r="E1785" t="inlineStr">
        <is>
          <t>VAGGERYD</t>
        </is>
      </c>
      <c r="G1785" t="n">
        <v>1.3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55749-2023</t>
        </is>
      </c>
      <c r="B1786" s="1" t="n">
        <v>45239.45123842593</v>
      </c>
      <c r="C1786" s="1" t="n">
        <v>45962</v>
      </c>
      <c r="D1786" t="inlineStr">
        <is>
          <t>JÖNKÖPINGS LÄN</t>
        </is>
      </c>
      <c r="E1786" t="inlineStr">
        <is>
          <t>VÄRNAMO</t>
        </is>
      </c>
      <c r="G1786" t="n">
        <v>2.1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5148-2025</t>
        </is>
      </c>
      <c r="B1787" s="1" t="n">
        <v>45691.59204861111</v>
      </c>
      <c r="C1787" s="1" t="n">
        <v>45962</v>
      </c>
      <c r="D1787" t="inlineStr">
        <is>
          <t>JÖNKÖPINGS LÄN</t>
        </is>
      </c>
      <c r="E1787" t="inlineStr">
        <is>
          <t>VETLANDA</t>
        </is>
      </c>
      <c r="F1787" t="inlineStr">
        <is>
          <t>Sveaskog</t>
        </is>
      </c>
      <c r="G1787" t="n">
        <v>2.4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33644-2023</t>
        </is>
      </c>
      <c r="B1788" s="1" t="n">
        <v>45119</v>
      </c>
      <c r="C1788" s="1" t="n">
        <v>45962</v>
      </c>
      <c r="D1788" t="inlineStr">
        <is>
          <t>JÖNKÖPINGS LÄN</t>
        </is>
      </c>
      <c r="E1788" t="inlineStr">
        <is>
          <t>GISLAVED</t>
        </is>
      </c>
      <c r="G1788" t="n">
        <v>1.4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2147-2023</t>
        </is>
      </c>
      <c r="B1789" s="1" t="n">
        <v>44940.89184027778</v>
      </c>
      <c r="C1789" s="1" t="n">
        <v>45962</v>
      </c>
      <c r="D1789" t="inlineStr">
        <is>
          <t>JÖNKÖPINGS LÄN</t>
        </is>
      </c>
      <c r="E1789" t="inlineStr">
        <is>
          <t>EKSJÖ</t>
        </is>
      </c>
      <c r="G1789" t="n">
        <v>2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2148-2023</t>
        </is>
      </c>
      <c r="B1790" s="1" t="n">
        <v>44941</v>
      </c>
      <c r="C1790" s="1" t="n">
        <v>45962</v>
      </c>
      <c r="D1790" t="inlineStr">
        <is>
          <t>JÖNKÖPINGS LÄN</t>
        </is>
      </c>
      <c r="E1790" t="inlineStr">
        <is>
          <t>EKSJÖ</t>
        </is>
      </c>
      <c r="F1790" t="inlineStr">
        <is>
          <t>Övriga Aktiebolag</t>
        </is>
      </c>
      <c r="G1790" t="n">
        <v>3.2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8270-2025</t>
        </is>
      </c>
      <c r="B1791" s="1" t="n">
        <v>45708.52121527777</v>
      </c>
      <c r="C1791" s="1" t="n">
        <v>45962</v>
      </c>
      <c r="D1791" t="inlineStr">
        <is>
          <t>JÖNKÖPINGS LÄN</t>
        </is>
      </c>
      <c r="E1791" t="inlineStr">
        <is>
          <t>JÖNKÖPING</t>
        </is>
      </c>
      <c r="G1791" t="n">
        <v>3.2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6274-2022</t>
        </is>
      </c>
      <c r="B1792" s="1" t="n">
        <v>44600</v>
      </c>
      <c r="C1792" s="1" t="n">
        <v>45962</v>
      </c>
      <c r="D1792" t="inlineStr">
        <is>
          <t>JÖNKÖPINGS LÄN</t>
        </is>
      </c>
      <c r="E1792" t="inlineStr">
        <is>
          <t>EKSJÖ</t>
        </is>
      </c>
      <c r="G1792" t="n">
        <v>1.2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9046-2025</t>
        </is>
      </c>
      <c r="B1793" s="1" t="n">
        <v>45713.62856481481</v>
      </c>
      <c r="C1793" s="1" t="n">
        <v>45962</v>
      </c>
      <c r="D1793" t="inlineStr">
        <is>
          <t>JÖNKÖPINGS LÄN</t>
        </is>
      </c>
      <c r="E1793" t="inlineStr">
        <is>
          <t>VÄRNAMO</t>
        </is>
      </c>
      <c r="F1793" t="inlineStr">
        <is>
          <t>Sveaskog</t>
        </is>
      </c>
      <c r="G1793" t="n">
        <v>4.3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48217-2023</t>
        </is>
      </c>
      <c r="B1794" s="1" t="n">
        <v>45205</v>
      </c>
      <c r="C1794" s="1" t="n">
        <v>45962</v>
      </c>
      <c r="D1794" t="inlineStr">
        <is>
          <t>JÖNKÖPINGS LÄN</t>
        </is>
      </c>
      <c r="E1794" t="inlineStr">
        <is>
          <t>VETLANDA</t>
        </is>
      </c>
      <c r="G1794" t="n">
        <v>0.5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19844-2025</t>
        </is>
      </c>
      <c r="B1795" s="1" t="n">
        <v>45771.48474537037</v>
      </c>
      <c r="C1795" s="1" t="n">
        <v>45962</v>
      </c>
      <c r="D1795" t="inlineStr">
        <is>
          <t>JÖNKÖPINGS LÄN</t>
        </is>
      </c>
      <c r="E1795" t="inlineStr">
        <is>
          <t>VETLANDA</t>
        </is>
      </c>
      <c r="F1795" t="inlineStr">
        <is>
          <t>Sveaskog</t>
        </is>
      </c>
      <c r="G1795" t="n">
        <v>8.699999999999999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9049-2025</t>
        </is>
      </c>
      <c r="B1796" s="1" t="n">
        <v>45713.63297453704</v>
      </c>
      <c r="C1796" s="1" t="n">
        <v>45962</v>
      </c>
      <c r="D1796" t="inlineStr">
        <is>
          <t>JÖNKÖPINGS LÄN</t>
        </is>
      </c>
      <c r="E1796" t="inlineStr">
        <is>
          <t>VÄRNAMO</t>
        </is>
      </c>
      <c r="F1796" t="inlineStr">
        <is>
          <t>Sveaskog</t>
        </is>
      </c>
      <c r="G1796" t="n">
        <v>1.6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14787-2025</t>
        </is>
      </c>
      <c r="B1797" s="1" t="n">
        <v>45742.76833333333</v>
      </c>
      <c r="C1797" s="1" t="n">
        <v>45962</v>
      </c>
      <c r="D1797" t="inlineStr">
        <is>
          <t>JÖNKÖPINGS LÄN</t>
        </is>
      </c>
      <c r="E1797" t="inlineStr">
        <is>
          <t>NÄSSJÖ</t>
        </is>
      </c>
      <c r="G1797" t="n">
        <v>0.5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61393-2023</t>
        </is>
      </c>
      <c r="B1798" s="1" t="n">
        <v>45261</v>
      </c>
      <c r="C1798" s="1" t="n">
        <v>45962</v>
      </c>
      <c r="D1798" t="inlineStr">
        <is>
          <t>JÖNKÖPINGS LÄN</t>
        </is>
      </c>
      <c r="E1798" t="inlineStr">
        <is>
          <t>TRANÅS</t>
        </is>
      </c>
      <c r="G1798" t="n">
        <v>0.6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19845-2025</t>
        </is>
      </c>
      <c r="B1799" s="1" t="n">
        <v>45771.48600694445</v>
      </c>
      <c r="C1799" s="1" t="n">
        <v>45962</v>
      </c>
      <c r="D1799" t="inlineStr">
        <is>
          <t>JÖNKÖPINGS LÄN</t>
        </is>
      </c>
      <c r="E1799" t="inlineStr">
        <is>
          <t>VETLANDA</t>
        </is>
      </c>
      <c r="F1799" t="inlineStr">
        <is>
          <t>Sveaskog</t>
        </is>
      </c>
      <c r="G1799" t="n">
        <v>2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16072-2025</t>
        </is>
      </c>
      <c r="B1800" s="1" t="n">
        <v>45749.67842592593</v>
      </c>
      <c r="C1800" s="1" t="n">
        <v>45962</v>
      </c>
      <c r="D1800" t="inlineStr">
        <is>
          <t>JÖNKÖPINGS LÄN</t>
        </is>
      </c>
      <c r="E1800" t="inlineStr">
        <is>
          <t>JÖNKÖPING</t>
        </is>
      </c>
      <c r="G1800" t="n">
        <v>2.4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15759-2023</t>
        </is>
      </c>
      <c r="B1801" s="1" t="n">
        <v>45021.62957175926</v>
      </c>
      <c r="C1801" s="1" t="n">
        <v>45962</v>
      </c>
      <c r="D1801" t="inlineStr">
        <is>
          <t>JÖNKÖPINGS LÄN</t>
        </is>
      </c>
      <c r="E1801" t="inlineStr">
        <is>
          <t>NÄSSJÖ</t>
        </is>
      </c>
      <c r="G1801" t="n">
        <v>4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16625-2023</t>
        </is>
      </c>
      <c r="B1802" s="1" t="n">
        <v>45030.44295138889</v>
      </c>
      <c r="C1802" s="1" t="n">
        <v>45962</v>
      </c>
      <c r="D1802" t="inlineStr">
        <is>
          <t>JÖNKÖPINGS LÄN</t>
        </is>
      </c>
      <c r="E1802" t="inlineStr">
        <is>
          <t>VAGGERYD</t>
        </is>
      </c>
      <c r="G1802" t="n">
        <v>0.5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3562-2024</t>
        </is>
      </c>
      <c r="B1803" s="1" t="n">
        <v>45320.63027777777</v>
      </c>
      <c r="C1803" s="1" t="n">
        <v>45962</v>
      </c>
      <c r="D1803" t="inlineStr">
        <is>
          <t>JÖNKÖPINGS LÄN</t>
        </is>
      </c>
      <c r="E1803" t="inlineStr">
        <is>
          <t>VÄRNAMO</t>
        </is>
      </c>
      <c r="G1803" t="n">
        <v>1.2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17468-2023</t>
        </is>
      </c>
      <c r="B1804" s="1" t="n">
        <v>45036</v>
      </c>
      <c r="C1804" s="1" t="n">
        <v>45962</v>
      </c>
      <c r="D1804" t="inlineStr">
        <is>
          <t>JÖNKÖPINGS LÄN</t>
        </is>
      </c>
      <c r="E1804" t="inlineStr">
        <is>
          <t>VÄRNAMO</t>
        </is>
      </c>
      <c r="G1804" t="n">
        <v>3.4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53952-2023</t>
        </is>
      </c>
      <c r="B1805" s="1" t="n">
        <v>45231.61479166667</v>
      </c>
      <c r="C1805" s="1" t="n">
        <v>45962</v>
      </c>
      <c r="D1805" t="inlineStr">
        <is>
          <t>JÖNKÖPINGS LÄN</t>
        </is>
      </c>
      <c r="E1805" t="inlineStr">
        <is>
          <t>VETLANDA</t>
        </is>
      </c>
      <c r="G1805" t="n">
        <v>4.7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41757-2023</t>
        </is>
      </c>
      <c r="B1806" s="1" t="n">
        <v>45176</v>
      </c>
      <c r="C1806" s="1" t="n">
        <v>45962</v>
      </c>
      <c r="D1806" t="inlineStr">
        <is>
          <t>JÖNKÖPINGS LÄN</t>
        </is>
      </c>
      <c r="E1806" t="inlineStr">
        <is>
          <t>GISLAVED</t>
        </is>
      </c>
      <c r="F1806" t="inlineStr">
        <is>
          <t>Sveaskog</t>
        </is>
      </c>
      <c r="G1806" t="n">
        <v>2.3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5335-2025</t>
        </is>
      </c>
      <c r="B1807" s="1" t="n">
        <v>45659</v>
      </c>
      <c r="C1807" s="1" t="n">
        <v>45962</v>
      </c>
      <c r="D1807" t="inlineStr">
        <is>
          <t>JÖNKÖPINGS LÄN</t>
        </is>
      </c>
      <c r="E1807" t="inlineStr">
        <is>
          <t>VAGGERYD</t>
        </is>
      </c>
      <c r="G1807" t="n">
        <v>10.2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6582-2025</t>
        </is>
      </c>
      <c r="B1808" s="1" t="n">
        <v>45699.97146990741</v>
      </c>
      <c r="C1808" s="1" t="n">
        <v>45962</v>
      </c>
      <c r="D1808" t="inlineStr">
        <is>
          <t>JÖNKÖPINGS LÄN</t>
        </is>
      </c>
      <c r="E1808" t="inlineStr">
        <is>
          <t>VETLANDA</t>
        </is>
      </c>
      <c r="G1808" t="n">
        <v>0.7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20485-2023</t>
        </is>
      </c>
      <c r="B1809" s="1" t="n">
        <v>45057</v>
      </c>
      <c r="C1809" s="1" t="n">
        <v>45962</v>
      </c>
      <c r="D1809" t="inlineStr">
        <is>
          <t>JÖNKÖPINGS LÄN</t>
        </is>
      </c>
      <c r="E1809" t="inlineStr">
        <is>
          <t>EKSJÖ</t>
        </is>
      </c>
      <c r="G1809" t="n">
        <v>1.3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20537-2023</t>
        </is>
      </c>
      <c r="B1810" s="1" t="n">
        <v>45057</v>
      </c>
      <c r="C1810" s="1" t="n">
        <v>45962</v>
      </c>
      <c r="D1810" t="inlineStr">
        <is>
          <t>JÖNKÖPINGS LÄN</t>
        </is>
      </c>
      <c r="E1810" t="inlineStr">
        <is>
          <t>VETLANDA</t>
        </is>
      </c>
      <c r="G1810" t="n">
        <v>0.5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20549-2023</t>
        </is>
      </c>
      <c r="B1811" s="1" t="n">
        <v>45057.59825231481</v>
      </c>
      <c r="C1811" s="1" t="n">
        <v>45962</v>
      </c>
      <c r="D1811" t="inlineStr">
        <is>
          <t>JÖNKÖPINGS LÄN</t>
        </is>
      </c>
      <c r="E1811" t="inlineStr">
        <is>
          <t>TRANÅS</t>
        </is>
      </c>
      <c r="G1811" t="n">
        <v>1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6455-2021</t>
        </is>
      </c>
      <c r="B1812" s="1" t="n">
        <v>44235</v>
      </c>
      <c r="C1812" s="1" t="n">
        <v>45962</v>
      </c>
      <c r="D1812" t="inlineStr">
        <is>
          <t>JÖNKÖPINGS LÄN</t>
        </is>
      </c>
      <c r="E1812" t="inlineStr">
        <is>
          <t>EKSJÖ</t>
        </is>
      </c>
      <c r="G1812" t="n">
        <v>0.5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58989-2022</t>
        </is>
      </c>
      <c r="B1813" s="1" t="n">
        <v>44903.70918981481</v>
      </c>
      <c r="C1813" s="1" t="n">
        <v>45962</v>
      </c>
      <c r="D1813" t="inlineStr">
        <is>
          <t>JÖNKÖPINGS LÄN</t>
        </is>
      </c>
      <c r="E1813" t="inlineStr">
        <is>
          <t>EKSJÖ</t>
        </is>
      </c>
      <c r="G1813" t="n">
        <v>3.2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6588-2025</t>
        </is>
      </c>
      <c r="B1814" s="1" t="n">
        <v>45700.2959375</v>
      </c>
      <c r="C1814" s="1" t="n">
        <v>45962</v>
      </c>
      <c r="D1814" t="inlineStr">
        <is>
          <t>JÖNKÖPINGS LÄN</t>
        </is>
      </c>
      <c r="E1814" t="inlineStr">
        <is>
          <t>VETLANDA</t>
        </is>
      </c>
      <c r="G1814" t="n">
        <v>3.5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2835-2025</t>
        </is>
      </c>
      <c r="B1815" s="1" t="n">
        <v>45677</v>
      </c>
      <c r="C1815" s="1" t="n">
        <v>45962</v>
      </c>
      <c r="D1815" t="inlineStr">
        <is>
          <t>JÖNKÖPINGS LÄN</t>
        </is>
      </c>
      <c r="E1815" t="inlineStr">
        <is>
          <t>EKSJÖ</t>
        </is>
      </c>
      <c r="G1815" t="n">
        <v>5.3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61291-2024</t>
        </is>
      </c>
      <c r="B1816" s="1" t="n">
        <v>45645.81938657408</v>
      </c>
      <c r="C1816" s="1" t="n">
        <v>45962</v>
      </c>
      <c r="D1816" t="inlineStr">
        <is>
          <t>JÖNKÖPINGS LÄN</t>
        </is>
      </c>
      <c r="E1816" t="inlineStr">
        <is>
          <t>VETLANDA</t>
        </is>
      </c>
      <c r="F1816" t="inlineStr">
        <is>
          <t>Sveaskog</t>
        </is>
      </c>
      <c r="G1816" t="n">
        <v>1.2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54693-2024</t>
        </is>
      </c>
      <c r="B1817" s="1" t="n">
        <v>45618.38481481482</v>
      </c>
      <c r="C1817" s="1" t="n">
        <v>45962</v>
      </c>
      <c r="D1817" t="inlineStr">
        <is>
          <t>JÖNKÖPINGS LÄN</t>
        </is>
      </c>
      <c r="E1817" t="inlineStr">
        <is>
          <t>VÄRNAMO</t>
        </is>
      </c>
      <c r="G1817" t="n">
        <v>1.6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61292-2024</t>
        </is>
      </c>
      <c r="B1818" s="1" t="n">
        <v>45645.82078703704</v>
      </c>
      <c r="C1818" s="1" t="n">
        <v>45962</v>
      </c>
      <c r="D1818" t="inlineStr">
        <is>
          <t>JÖNKÖPINGS LÄN</t>
        </is>
      </c>
      <c r="E1818" t="inlineStr">
        <is>
          <t>VETLANDA</t>
        </is>
      </c>
      <c r="F1818" t="inlineStr">
        <is>
          <t>Sveaskog</t>
        </is>
      </c>
      <c r="G1818" t="n">
        <v>1.4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35245-2023</t>
        </is>
      </c>
      <c r="B1819" s="1" t="n">
        <v>45145.88599537037</v>
      </c>
      <c r="C1819" s="1" t="n">
        <v>45962</v>
      </c>
      <c r="D1819" t="inlineStr">
        <is>
          <t>JÖNKÖPINGS LÄN</t>
        </is>
      </c>
      <c r="E1819" t="inlineStr">
        <is>
          <t>MULLSJÖ</t>
        </is>
      </c>
      <c r="G1819" t="n">
        <v>1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12576-2025</t>
        </is>
      </c>
      <c r="B1820" s="1" t="n">
        <v>45732.44554398148</v>
      </c>
      <c r="C1820" s="1" t="n">
        <v>45962</v>
      </c>
      <c r="D1820" t="inlineStr">
        <is>
          <t>JÖNKÖPINGS LÄN</t>
        </is>
      </c>
      <c r="E1820" t="inlineStr">
        <is>
          <t>NÄSSJÖ</t>
        </is>
      </c>
      <c r="G1820" t="n">
        <v>1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13813-2025</t>
        </is>
      </c>
      <c r="B1821" s="1" t="n">
        <v>45737</v>
      </c>
      <c r="C1821" s="1" t="n">
        <v>45962</v>
      </c>
      <c r="D1821" t="inlineStr">
        <is>
          <t>JÖNKÖPINGS LÄN</t>
        </is>
      </c>
      <c r="E1821" t="inlineStr">
        <is>
          <t>VETLANDA</t>
        </is>
      </c>
      <c r="G1821" t="n">
        <v>1.8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39049-2021</t>
        </is>
      </c>
      <c r="B1822" s="1" t="n">
        <v>44412</v>
      </c>
      <c r="C1822" s="1" t="n">
        <v>45962</v>
      </c>
      <c r="D1822" t="inlineStr">
        <is>
          <t>JÖNKÖPINGS LÄN</t>
        </is>
      </c>
      <c r="E1822" t="inlineStr">
        <is>
          <t>EKSJÖ</t>
        </is>
      </c>
      <c r="G1822" t="n">
        <v>2.1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10638-2023</t>
        </is>
      </c>
      <c r="B1823" s="1" t="n">
        <v>44988</v>
      </c>
      <c r="C1823" s="1" t="n">
        <v>45962</v>
      </c>
      <c r="D1823" t="inlineStr">
        <is>
          <t>JÖNKÖPINGS LÄN</t>
        </is>
      </c>
      <c r="E1823" t="inlineStr">
        <is>
          <t>VAGGERYD</t>
        </is>
      </c>
      <c r="G1823" t="n">
        <v>1.1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10645-2023</t>
        </is>
      </c>
      <c r="B1824" s="1" t="n">
        <v>44988.48039351852</v>
      </c>
      <c r="C1824" s="1" t="n">
        <v>45962</v>
      </c>
      <c r="D1824" t="inlineStr">
        <is>
          <t>JÖNKÖPINGS LÄN</t>
        </is>
      </c>
      <c r="E1824" t="inlineStr">
        <is>
          <t>NÄSSJÖ</t>
        </is>
      </c>
      <c r="G1824" t="n">
        <v>1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17030-2024</t>
        </is>
      </c>
      <c r="B1825" s="1" t="n">
        <v>45411</v>
      </c>
      <c r="C1825" s="1" t="n">
        <v>45962</v>
      </c>
      <c r="D1825" t="inlineStr">
        <is>
          <t>JÖNKÖPINGS LÄN</t>
        </is>
      </c>
      <c r="E1825" t="inlineStr">
        <is>
          <t>EKSJÖ</t>
        </is>
      </c>
      <c r="G1825" t="n">
        <v>4.1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31938-2023</t>
        </is>
      </c>
      <c r="B1826" s="1" t="n">
        <v>45107</v>
      </c>
      <c r="C1826" s="1" t="n">
        <v>45962</v>
      </c>
      <c r="D1826" t="inlineStr">
        <is>
          <t>JÖNKÖPINGS LÄN</t>
        </is>
      </c>
      <c r="E1826" t="inlineStr">
        <is>
          <t>ANEBY</t>
        </is>
      </c>
      <c r="G1826" t="n">
        <v>5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21490-2022</t>
        </is>
      </c>
      <c r="B1827" s="1" t="n">
        <v>44706</v>
      </c>
      <c r="C1827" s="1" t="n">
        <v>45962</v>
      </c>
      <c r="D1827" t="inlineStr">
        <is>
          <t>JÖNKÖPINGS LÄN</t>
        </is>
      </c>
      <c r="E1827" t="inlineStr">
        <is>
          <t>VAGGERYD</t>
        </is>
      </c>
      <c r="G1827" t="n">
        <v>2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27246-2022</t>
        </is>
      </c>
      <c r="B1828" s="1" t="n">
        <v>44741.69432870371</v>
      </c>
      <c r="C1828" s="1" t="n">
        <v>45962</v>
      </c>
      <c r="D1828" t="inlineStr">
        <is>
          <t>JÖNKÖPINGS LÄN</t>
        </is>
      </c>
      <c r="E1828" t="inlineStr">
        <is>
          <t>JÖNKÖPING</t>
        </is>
      </c>
      <c r="G1828" t="n">
        <v>3.2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65431-2020</t>
        </is>
      </c>
      <c r="B1829" s="1" t="n">
        <v>44173</v>
      </c>
      <c r="C1829" s="1" t="n">
        <v>45962</v>
      </c>
      <c r="D1829" t="inlineStr">
        <is>
          <t>JÖNKÖPINGS LÄN</t>
        </is>
      </c>
      <c r="E1829" t="inlineStr">
        <is>
          <t>GISLAVED</t>
        </is>
      </c>
      <c r="G1829" t="n">
        <v>1.2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22783-2024</t>
        </is>
      </c>
      <c r="B1830" s="1" t="n">
        <v>45448</v>
      </c>
      <c r="C1830" s="1" t="n">
        <v>45962</v>
      </c>
      <c r="D1830" t="inlineStr">
        <is>
          <t>JÖNKÖPINGS LÄN</t>
        </is>
      </c>
      <c r="E1830" t="inlineStr">
        <is>
          <t>NÄSSJÖ</t>
        </is>
      </c>
      <c r="G1830" t="n">
        <v>2.6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16465-2025</t>
        </is>
      </c>
      <c r="B1831" s="1" t="n">
        <v>45751.53894675926</v>
      </c>
      <c r="C1831" s="1" t="n">
        <v>45962</v>
      </c>
      <c r="D1831" t="inlineStr">
        <is>
          <t>JÖNKÖPINGS LÄN</t>
        </is>
      </c>
      <c r="E1831" t="inlineStr">
        <is>
          <t>MULLSJÖ</t>
        </is>
      </c>
      <c r="G1831" t="n">
        <v>1.9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31782-2024</t>
        </is>
      </c>
      <c r="B1832" s="1" t="n">
        <v>45509.48924768518</v>
      </c>
      <c r="C1832" s="1" t="n">
        <v>45962</v>
      </c>
      <c r="D1832" t="inlineStr">
        <is>
          <t>JÖNKÖPINGS LÄN</t>
        </is>
      </c>
      <c r="E1832" t="inlineStr">
        <is>
          <t>GISLAVED</t>
        </is>
      </c>
      <c r="G1832" t="n">
        <v>0.7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31790-2024</t>
        </is>
      </c>
      <c r="B1833" s="1" t="n">
        <v>45509.54403935185</v>
      </c>
      <c r="C1833" s="1" t="n">
        <v>45962</v>
      </c>
      <c r="D1833" t="inlineStr">
        <is>
          <t>JÖNKÖPINGS LÄN</t>
        </is>
      </c>
      <c r="E1833" t="inlineStr">
        <is>
          <t>VÄRNAMO</t>
        </is>
      </c>
      <c r="G1833" t="n">
        <v>5.6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17400-2024</t>
        </is>
      </c>
      <c r="B1834" s="1" t="n">
        <v>45414.78167824074</v>
      </c>
      <c r="C1834" s="1" t="n">
        <v>45962</v>
      </c>
      <c r="D1834" t="inlineStr">
        <is>
          <t>JÖNKÖPINGS LÄN</t>
        </is>
      </c>
      <c r="E1834" t="inlineStr">
        <is>
          <t>GISLAVED</t>
        </is>
      </c>
      <c r="G1834" t="n">
        <v>1.8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51772-2024</t>
        </is>
      </c>
      <c r="B1835" s="1" t="n">
        <v>45607.45059027777</v>
      </c>
      <c r="C1835" s="1" t="n">
        <v>45962</v>
      </c>
      <c r="D1835" t="inlineStr">
        <is>
          <t>JÖNKÖPINGS LÄN</t>
        </is>
      </c>
      <c r="E1835" t="inlineStr">
        <is>
          <t>VÄRNAMO</t>
        </is>
      </c>
      <c r="G1835" t="n">
        <v>1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19935-2023</t>
        </is>
      </c>
      <c r="B1836" s="1" t="n">
        <v>45054.48166666667</v>
      </c>
      <c r="C1836" s="1" t="n">
        <v>45962</v>
      </c>
      <c r="D1836" t="inlineStr">
        <is>
          <t>JÖNKÖPINGS LÄN</t>
        </is>
      </c>
      <c r="E1836" t="inlineStr">
        <is>
          <t>SÄVSJÖ</t>
        </is>
      </c>
      <c r="G1836" t="n">
        <v>0.8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49919-2023</t>
        </is>
      </c>
      <c r="B1837" s="1" t="n">
        <v>45214.82375</v>
      </c>
      <c r="C1837" s="1" t="n">
        <v>45962</v>
      </c>
      <c r="D1837" t="inlineStr">
        <is>
          <t>JÖNKÖPINGS LÄN</t>
        </is>
      </c>
      <c r="E1837" t="inlineStr">
        <is>
          <t>EKSJÖ</t>
        </is>
      </c>
      <c r="G1837" t="n">
        <v>2.2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17327-2025</t>
        </is>
      </c>
      <c r="B1838" s="1" t="n">
        <v>45756.64060185185</v>
      </c>
      <c r="C1838" s="1" t="n">
        <v>45962</v>
      </c>
      <c r="D1838" t="inlineStr">
        <is>
          <t>JÖNKÖPINGS LÄN</t>
        </is>
      </c>
      <c r="E1838" t="inlineStr">
        <is>
          <t>SÄVSJÖ</t>
        </is>
      </c>
      <c r="F1838" t="inlineStr">
        <is>
          <t>Kommuner</t>
        </is>
      </c>
      <c r="G1838" t="n">
        <v>1.6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58928-2023</t>
        </is>
      </c>
      <c r="B1839" s="1" t="n">
        <v>45252.55077546297</v>
      </c>
      <c r="C1839" s="1" t="n">
        <v>45962</v>
      </c>
      <c r="D1839" t="inlineStr">
        <is>
          <t>JÖNKÖPINGS LÄN</t>
        </is>
      </c>
      <c r="E1839" t="inlineStr">
        <is>
          <t>VAGGERYD</t>
        </is>
      </c>
      <c r="G1839" t="n">
        <v>3.1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5066-2025</t>
        </is>
      </c>
      <c r="B1840" s="1" t="n">
        <v>45691</v>
      </c>
      <c r="C1840" s="1" t="n">
        <v>45962</v>
      </c>
      <c r="D1840" t="inlineStr">
        <is>
          <t>JÖNKÖPINGS LÄN</t>
        </is>
      </c>
      <c r="E1840" t="inlineStr">
        <is>
          <t>TRANÅS</t>
        </is>
      </c>
      <c r="G1840" t="n">
        <v>0.7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22828-2021</t>
        </is>
      </c>
      <c r="B1841" s="1" t="n">
        <v>44328</v>
      </c>
      <c r="C1841" s="1" t="n">
        <v>45962</v>
      </c>
      <c r="D1841" t="inlineStr">
        <is>
          <t>JÖNKÖPINGS LÄN</t>
        </is>
      </c>
      <c r="E1841" t="inlineStr">
        <is>
          <t>GISLAVED</t>
        </is>
      </c>
      <c r="G1841" t="n">
        <v>2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15423-2024</t>
        </is>
      </c>
      <c r="B1842" s="1" t="n">
        <v>45401.36547453704</v>
      </c>
      <c r="C1842" s="1" t="n">
        <v>45962</v>
      </c>
      <c r="D1842" t="inlineStr">
        <is>
          <t>JÖNKÖPINGS LÄN</t>
        </is>
      </c>
      <c r="E1842" t="inlineStr">
        <is>
          <t>VAGGERYD</t>
        </is>
      </c>
      <c r="G1842" t="n">
        <v>6.6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59026-2023</t>
        </is>
      </c>
      <c r="B1843" s="1" t="n">
        <v>45252</v>
      </c>
      <c r="C1843" s="1" t="n">
        <v>45962</v>
      </c>
      <c r="D1843" t="inlineStr">
        <is>
          <t>JÖNKÖPINGS LÄN</t>
        </is>
      </c>
      <c r="E1843" t="inlineStr">
        <is>
          <t>GNOSJÖ</t>
        </is>
      </c>
      <c r="G1843" t="n">
        <v>2.1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31795-2024</t>
        </is>
      </c>
      <c r="B1844" s="1" t="n">
        <v>45509.55731481482</v>
      </c>
      <c r="C1844" s="1" t="n">
        <v>45962</v>
      </c>
      <c r="D1844" t="inlineStr">
        <is>
          <t>JÖNKÖPINGS LÄN</t>
        </is>
      </c>
      <c r="E1844" t="inlineStr">
        <is>
          <t>GISLAVED</t>
        </is>
      </c>
      <c r="G1844" t="n">
        <v>1.5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55254-2021</t>
        </is>
      </c>
      <c r="B1845" s="1" t="n">
        <v>44475.41114583334</v>
      </c>
      <c r="C1845" s="1" t="n">
        <v>45962</v>
      </c>
      <c r="D1845" t="inlineStr">
        <is>
          <t>JÖNKÖPINGS LÄN</t>
        </is>
      </c>
      <c r="E1845" t="inlineStr">
        <is>
          <t>SÄVSJÖ</t>
        </is>
      </c>
      <c r="G1845" t="n">
        <v>1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8351-2023</t>
        </is>
      </c>
      <c r="B1846" s="1" t="n">
        <v>44977</v>
      </c>
      <c r="C1846" s="1" t="n">
        <v>45962</v>
      </c>
      <c r="D1846" t="inlineStr">
        <is>
          <t>JÖNKÖPINGS LÄN</t>
        </is>
      </c>
      <c r="E1846" t="inlineStr">
        <is>
          <t>TRANÅS</t>
        </is>
      </c>
      <c r="G1846" t="n">
        <v>5.6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15567-2025</t>
        </is>
      </c>
      <c r="B1847" s="1" t="n">
        <v>45747.73295138889</v>
      </c>
      <c r="C1847" s="1" t="n">
        <v>45962</v>
      </c>
      <c r="D1847" t="inlineStr">
        <is>
          <t>JÖNKÖPINGS LÄN</t>
        </is>
      </c>
      <c r="E1847" t="inlineStr">
        <is>
          <t>JÖNKÖPING</t>
        </is>
      </c>
      <c r="G1847" t="n">
        <v>0.9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1363-2023</t>
        </is>
      </c>
      <c r="B1848" s="1" t="n">
        <v>44936</v>
      </c>
      <c r="C1848" s="1" t="n">
        <v>45962</v>
      </c>
      <c r="D1848" t="inlineStr">
        <is>
          <t>JÖNKÖPINGS LÄN</t>
        </is>
      </c>
      <c r="E1848" t="inlineStr">
        <is>
          <t>VETLANDA</t>
        </is>
      </c>
      <c r="G1848" t="n">
        <v>3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49389-2021</t>
        </is>
      </c>
      <c r="B1849" s="1" t="n">
        <v>44454.62340277778</v>
      </c>
      <c r="C1849" s="1" t="n">
        <v>45962</v>
      </c>
      <c r="D1849" t="inlineStr">
        <is>
          <t>JÖNKÖPINGS LÄN</t>
        </is>
      </c>
      <c r="E1849" t="inlineStr">
        <is>
          <t>NÄSSJÖ</t>
        </is>
      </c>
      <c r="G1849" t="n">
        <v>2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15834-2022</t>
        </is>
      </c>
      <c r="B1850" s="1" t="n">
        <v>44664.39613425926</v>
      </c>
      <c r="C1850" s="1" t="n">
        <v>45962</v>
      </c>
      <c r="D1850" t="inlineStr">
        <is>
          <t>JÖNKÖPINGS LÄN</t>
        </is>
      </c>
      <c r="E1850" t="inlineStr">
        <is>
          <t>SÄVSJÖ</t>
        </is>
      </c>
      <c r="G1850" t="n">
        <v>0.6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15766-2024</t>
        </is>
      </c>
      <c r="B1851" s="1" t="n">
        <v>45404.58408564814</v>
      </c>
      <c r="C1851" s="1" t="n">
        <v>45962</v>
      </c>
      <c r="D1851" t="inlineStr">
        <is>
          <t>JÖNKÖPINGS LÄN</t>
        </is>
      </c>
      <c r="E1851" t="inlineStr">
        <is>
          <t>JÖNKÖPING</t>
        </is>
      </c>
      <c r="G1851" t="n">
        <v>0.5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523-2023</t>
        </is>
      </c>
      <c r="B1852" s="1" t="n">
        <v>44930</v>
      </c>
      <c r="C1852" s="1" t="n">
        <v>45962</v>
      </c>
      <c r="D1852" t="inlineStr">
        <is>
          <t>JÖNKÖPINGS LÄN</t>
        </is>
      </c>
      <c r="E1852" t="inlineStr">
        <is>
          <t>VETLANDA</t>
        </is>
      </c>
      <c r="G1852" t="n">
        <v>2.5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8253-2023</t>
        </is>
      </c>
      <c r="B1853" s="1" t="n">
        <v>44971</v>
      </c>
      <c r="C1853" s="1" t="n">
        <v>45962</v>
      </c>
      <c r="D1853" t="inlineStr">
        <is>
          <t>JÖNKÖPINGS LÄN</t>
        </is>
      </c>
      <c r="E1853" t="inlineStr">
        <is>
          <t>VETLANDA</t>
        </is>
      </c>
      <c r="G1853" t="n">
        <v>2.4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3496-2025</t>
        </is>
      </c>
      <c r="B1854" s="1" t="n">
        <v>45680.56061342593</v>
      </c>
      <c r="C1854" s="1" t="n">
        <v>45962</v>
      </c>
      <c r="D1854" t="inlineStr">
        <is>
          <t>JÖNKÖPINGS LÄN</t>
        </is>
      </c>
      <c r="E1854" t="inlineStr">
        <is>
          <t>EKSJÖ</t>
        </is>
      </c>
      <c r="F1854" t="inlineStr">
        <is>
          <t>Sveaskog</t>
        </is>
      </c>
      <c r="G1854" t="n">
        <v>0.9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57725-2023</t>
        </is>
      </c>
      <c r="B1855" s="1" t="n">
        <v>45246</v>
      </c>
      <c r="C1855" s="1" t="n">
        <v>45962</v>
      </c>
      <c r="D1855" t="inlineStr">
        <is>
          <t>JÖNKÖPINGS LÄN</t>
        </is>
      </c>
      <c r="E1855" t="inlineStr">
        <is>
          <t>GNOSJÖ</t>
        </is>
      </c>
      <c r="G1855" t="n">
        <v>0.7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61003-2023</t>
        </is>
      </c>
      <c r="B1856" s="1" t="n">
        <v>45261</v>
      </c>
      <c r="C1856" s="1" t="n">
        <v>45962</v>
      </c>
      <c r="D1856" t="inlineStr">
        <is>
          <t>JÖNKÖPINGS LÄN</t>
        </is>
      </c>
      <c r="E1856" t="inlineStr">
        <is>
          <t>VETLANDA</t>
        </is>
      </c>
      <c r="G1856" t="n">
        <v>1.1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4668-2023</t>
        </is>
      </c>
      <c r="B1857" s="1" t="n">
        <v>44957.42422453704</v>
      </c>
      <c r="C1857" s="1" t="n">
        <v>45962</v>
      </c>
      <c r="D1857" t="inlineStr">
        <is>
          <t>JÖNKÖPINGS LÄN</t>
        </is>
      </c>
      <c r="E1857" t="inlineStr">
        <is>
          <t>TRANÅS</t>
        </is>
      </c>
      <c r="F1857" t="inlineStr">
        <is>
          <t>Allmännings- och besparingsskogar</t>
        </is>
      </c>
      <c r="G1857" t="n">
        <v>2.1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43485-2023</t>
        </is>
      </c>
      <c r="B1858" s="1" t="n">
        <v>45184</v>
      </c>
      <c r="C1858" s="1" t="n">
        <v>45962</v>
      </c>
      <c r="D1858" t="inlineStr">
        <is>
          <t>JÖNKÖPINGS LÄN</t>
        </is>
      </c>
      <c r="E1858" t="inlineStr">
        <is>
          <t>ANEBY</t>
        </is>
      </c>
      <c r="G1858" t="n">
        <v>3.4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14153-2022</t>
        </is>
      </c>
      <c r="B1859" s="1" t="n">
        <v>44651.45693287037</v>
      </c>
      <c r="C1859" s="1" t="n">
        <v>45962</v>
      </c>
      <c r="D1859" t="inlineStr">
        <is>
          <t>JÖNKÖPINGS LÄN</t>
        </is>
      </c>
      <c r="E1859" t="inlineStr">
        <is>
          <t>GISLAVED</t>
        </is>
      </c>
      <c r="F1859" t="inlineStr">
        <is>
          <t>Kyrkan</t>
        </is>
      </c>
      <c r="G1859" t="n">
        <v>0.4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19682-2023</t>
        </is>
      </c>
      <c r="B1860" s="1" t="n">
        <v>45051.40623842592</v>
      </c>
      <c r="C1860" s="1" t="n">
        <v>45962</v>
      </c>
      <c r="D1860" t="inlineStr">
        <is>
          <t>JÖNKÖPINGS LÄN</t>
        </is>
      </c>
      <c r="E1860" t="inlineStr">
        <is>
          <t>EKSJÖ</t>
        </is>
      </c>
      <c r="G1860" t="n">
        <v>1.5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61384-2023</t>
        </is>
      </c>
      <c r="B1861" s="1" t="n">
        <v>45264</v>
      </c>
      <c r="C1861" s="1" t="n">
        <v>45962</v>
      </c>
      <c r="D1861" t="inlineStr">
        <is>
          <t>JÖNKÖPINGS LÄN</t>
        </is>
      </c>
      <c r="E1861" t="inlineStr">
        <is>
          <t>EKSJÖ</t>
        </is>
      </c>
      <c r="F1861" t="inlineStr">
        <is>
          <t>Sveaskog</t>
        </is>
      </c>
      <c r="G1861" t="n">
        <v>0.8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61391-2023</t>
        </is>
      </c>
      <c r="B1862" s="1" t="n">
        <v>45264.64685185185</v>
      </c>
      <c r="C1862" s="1" t="n">
        <v>45962</v>
      </c>
      <c r="D1862" t="inlineStr">
        <is>
          <t>JÖNKÖPINGS LÄN</t>
        </is>
      </c>
      <c r="E1862" t="inlineStr">
        <is>
          <t>VETLANDA</t>
        </is>
      </c>
      <c r="G1862" t="n">
        <v>3.5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14825-2024</t>
        </is>
      </c>
      <c r="B1863" s="1" t="n">
        <v>45397</v>
      </c>
      <c r="C1863" s="1" t="n">
        <v>45962</v>
      </c>
      <c r="D1863" t="inlineStr">
        <is>
          <t>JÖNKÖPINGS LÄN</t>
        </is>
      </c>
      <c r="E1863" t="inlineStr">
        <is>
          <t>TRANÅS</t>
        </is>
      </c>
      <c r="G1863" t="n">
        <v>9.4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13691-2022</t>
        </is>
      </c>
      <c r="B1864" s="1" t="n">
        <v>44648</v>
      </c>
      <c r="C1864" s="1" t="n">
        <v>45962</v>
      </c>
      <c r="D1864" t="inlineStr">
        <is>
          <t>JÖNKÖPINGS LÄN</t>
        </is>
      </c>
      <c r="E1864" t="inlineStr">
        <is>
          <t>JÖNKÖPING</t>
        </is>
      </c>
      <c r="G1864" t="n">
        <v>1.6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33048-2023</t>
        </is>
      </c>
      <c r="B1865" s="1" t="n">
        <v>45126</v>
      </c>
      <c r="C1865" s="1" t="n">
        <v>45962</v>
      </c>
      <c r="D1865" t="inlineStr">
        <is>
          <t>JÖNKÖPINGS LÄN</t>
        </is>
      </c>
      <c r="E1865" t="inlineStr">
        <is>
          <t>ANEBY</t>
        </is>
      </c>
      <c r="G1865" t="n">
        <v>1.1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3837-2025</t>
        </is>
      </c>
      <c r="B1866" s="1" t="n">
        <v>45682.66153935185</v>
      </c>
      <c r="C1866" s="1" t="n">
        <v>45962</v>
      </c>
      <c r="D1866" t="inlineStr">
        <is>
          <t>JÖNKÖPINGS LÄN</t>
        </is>
      </c>
      <c r="E1866" t="inlineStr">
        <is>
          <t>MULLSJÖ</t>
        </is>
      </c>
      <c r="G1866" t="n">
        <v>1.2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3847-2025</t>
        </is>
      </c>
      <c r="B1867" s="1" t="n">
        <v>45683.76944444444</v>
      </c>
      <c r="C1867" s="1" t="n">
        <v>45962</v>
      </c>
      <c r="D1867" t="inlineStr">
        <is>
          <t>JÖNKÖPINGS LÄN</t>
        </is>
      </c>
      <c r="E1867" t="inlineStr">
        <is>
          <t>HABO</t>
        </is>
      </c>
      <c r="G1867" t="n">
        <v>2.8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67224-2021</t>
        </is>
      </c>
      <c r="B1868" s="1" t="n">
        <v>44523</v>
      </c>
      <c r="C1868" s="1" t="n">
        <v>45962</v>
      </c>
      <c r="D1868" t="inlineStr">
        <is>
          <t>JÖNKÖPINGS LÄN</t>
        </is>
      </c>
      <c r="E1868" t="inlineStr">
        <is>
          <t>VAGGERYD</t>
        </is>
      </c>
      <c r="G1868" t="n">
        <v>1.2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14835-2024</t>
        </is>
      </c>
      <c r="B1869" s="1" t="n">
        <v>45398.37391203704</v>
      </c>
      <c r="C1869" s="1" t="n">
        <v>45962</v>
      </c>
      <c r="D1869" t="inlineStr">
        <is>
          <t>JÖNKÖPINGS LÄN</t>
        </is>
      </c>
      <c r="E1869" t="inlineStr">
        <is>
          <t>NÄSSJÖ</t>
        </is>
      </c>
      <c r="G1869" t="n">
        <v>0.7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60607-2024</t>
        </is>
      </c>
      <c r="B1870" s="1" t="n">
        <v>45644.38033564815</v>
      </c>
      <c r="C1870" s="1" t="n">
        <v>45962</v>
      </c>
      <c r="D1870" t="inlineStr">
        <is>
          <t>JÖNKÖPINGS LÄN</t>
        </is>
      </c>
      <c r="E1870" t="inlineStr">
        <is>
          <t>VETLANDA</t>
        </is>
      </c>
      <c r="G1870" t="n">
        <v>0.4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55162-2024</t>
        </is>
      </c>
      <c r="B1871" s="1" t="n">
        <v>45621.51123842593</v>
      </c>
      <c r="C1871" s="1" t="n">
        <v>45962</v>
      </c>
      <c r="D1871" t="inlineStr">
        <is>
          <t>JÖNKÖPINGS LÄN</t>
        </is>
      </c>
      <c r="E1871" t="inlineStr">
        <is>
          <t>EKSJÖ</t>
        </is>
      </c>
      <c r="F1871" t="inlineStr">
        <is>
          <t>Sveaskog</t>
        </is>
      </c>
      <c r="G1871" t="n">
        <v>1.2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3897-2025</t>
        </is>
      </c>
      <c r="B1872" s="1" t="n">
        <v>45684.38538194444</v>
      </c>
      <c r="C1872" s="1" t="n">
        <v>45962</v>
      </c>
      <c r="D1872" t="inlineStr">
        <is>
          <t>JÖNKÖPINGS LÄN</t>
        </is>
      </c>
      <c r="E1872" t="inlineStr">
        <is>
          <t>VÄRNAMO</t>
        </is>
      </c>
      <c r="G1872" t="n">
        <v>3.5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3903-2025</t>
        </is>
      </c>
      <c r="B1873" s="1" t="n">
        <v>45684.39165509259</v>
      </c>
      <c r="C1873" s="1" t="n">
        <v>45962</v>
      </c>
      <c r="D1873" t="inlineStr">
        <is>
          <t>JÖNKÖPINGS LÄN</t>
        </is>
      </c>
      <c r="E1873" t="inlineStr">
        <is>
          <t>VÄRNAMO</t>
        </is>
      </c>
      <c r="F1873" t="inlineStr">
        <is>
          <t>Sveaskog</t>
        </is>
      </c>
      <c r="G1873" t="n">
        <v>3.1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17069-2025</t>
        </is>
      </c>
      <c r="B1874" s="1" t="n">
        <v>45754</v>
      </c>
      <c r="C1874" s="1" t="n">
        <v>45962</v>
      </c>
      <c r="D1874" t="inlineStr">
        <is>
          <t>JÖNKÖPINGS LÄN</t>
        </is>
      </c>
      <c r="E1874" t="inlineStr">
        <is>
          <t>TRANÅS</t>
        </is>
      </c>
      <c r="G1874" t="n">
        <v>2.5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17076-2025</t>
        </is>
      </c>
      <c r="B1875" s="1" t="n">
        <v>45755.62408564815</v>
      </c>
      <c r="C1875" s="1" t="n">
        <v>45962</v>
      </c>
      <c r="D1875" t="inlineStr">
        <is>
          <t>JÖNKÖPINGS LÄN</t>
        </is>
      </c>
      <c r="E1875" t="inlineStr">
        <is>
          <t>SÄVSJÖ</t>
        </is>
      </c>
      <c r="G1875" t="n">
        <v>5.8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50756-2024</t>
        </is>
      </c>
      <c r="B1876" s="1" t="n">
        <v>45602.43070601852</v>
      </c>
      <c r="C1876" s="1" t="n">
        <v>45962</v>
      </c>
      <c r="D1876" t="inlineStr">
        <is>
          <t>JÖNKÖPINGS LÄN</t>
        </is>
      </c>
      <c r="E1876" t="inlineStr">
        <is>
          <t>VETLANDA</t>
        </is>
      </c>
      <c r="G1876" t="n">
        <v>1.7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19507-2025</t>
        </is>
      </c>
      <c r="B1877" s="1" t="n">
        <v>45770.40704861111</v>
      </c>
      <c r="C1877" s="1" t="n">
        <v>45962</v>
      </c>
      <c r="D1877" t="inlineStr">
        <is>
          <t>JÖNKÖPINGS LÄN</t>
        </is>
      </c>
      <c r="E1877" t="inlineStr">
        <is>
          <t>EKSJÖ</t>
        </is>
      </c>
      <c r="F1877" t="inlineStr">
        <is>
          <t>Sveaskog</t>
        </is>
      </c>
      <c r="G1877" t="n">
        <v>3.3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63789-2023</t>
        </is>
      </c>
      <c r="B1878" s="1" t="n">
        <v>45278</v>
      </c>
      <c r="C1878" s="1" t="n">
        <v>45962</v>
      </c>
      <c r="D1878" t="inlineStr">
        <is>
          <t>JÖNKÖPINGS LÄN</t>
        </is>
      </c>
      <c r="E1878" t="inlineStr">
        <is>
          <t>VETLANDA</t>
        </is>
      </c>
      <c r="G1878" t="n">
        <v>3.9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63628-2023</t>
        </is>
      </c>
      <c r="B1879" s="1" t="n">
        <v>45275</v>
      </c>
      <c r="C1879" s="1" t="n">
        <v>45962</v>
      </c>
      <c r="D1879" t="inlineStr">
        <is>
          <t>JÖNKÖPINGS LÄN</t>
        </is>
      </c>
      <c r="E1879" t="inlineStr">
        <is>
          <t>NÄSSJÖ</t>
        </is>
      </c>
      <c r="G1879" t="n">
        <v>0.8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740-2024</t>
        </is>
      </c>
      <c r="B1880" s="1" t="n">
        <v>45300</v>
      </c>
      <c r="C1880" s="1" t="n">
        <v>45962</v>
      </c>
      <c r="D1880" t="inlineStr">
        <is>
          <t>JÖNKÖPINGS LÄN</t>
        </is>
      </c>
      <c r="E1880" t="inlineStr">
        <is>
          <t>VETLANDA</t>
        </is>
      </c>
      <c r="G1880" t="n">
        <v>1.2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800-2024</t>
        </is>
      </c>
      <c r="B1881" s="1" t="n">
        <v>45300</v>
      </c>
      <c r="C1881" s="1" t="n">
        <v>45962</v>
      </c>
      <c r="D1881" t="inlineStr">
        <is>
          <t>JÖNKÖPINGS LÄN</t>
        </is>
      </c>
      <c r="E1881" t="inlineStr">
        <is>
          <t>EKSJÖ</t>
        </is>
      </c>
      <c r="G1881" t="n">
        <v>1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908-2024</t>
        </is>
      </c>
      <c r="B1882" s="1" t="n">
        <v>45301.46082175926</v>
      </c>
      <c r="C1882" s="1" t="n">
        <v>45962</v>
      </c>
      <c r="D1882" t="inlineStr">
        <is>
          <t>JÖNKÖPINGS LÄN</t>
        </is>
      </c>
      <c r="E1882" t="inlineStr">
        <is>
          <t>SÄVSJÖ</t>
        </is>
      </c>
      <c r="G1882" t="n">
        <v>0.9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17007-2025</t>
        </is>
      </c>
      <c r="B1883" s="1" t="n">
        <v>45755.54241898148</v>
      </c>
      <c r="C1883" s="1" t="n">
        <v>45962</v>
      </c>
      <c r="D1883" t="inlineStr">
        <is>
          <t>JÖNKÖPINGS LÄN</t>
        </is>
      </c>
      <c r="E1883" t="inlineStr">
        <is>
          <t>MULLSJÖ</t>
        </is>
      </c>
      <c r="G1883" t="n">
        <v>2.3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17011-2025</t>
        </is>
      </c>
      <c r="B1884" s="1" t="n">
        <v>45755.54761574074</v>
      </c>
      <c r="C1884" s="1" t="n">
        <v>45962</v>
      </c>
      <c r="D1884" t="inlineStr">
        <is>
          <t>JÖNKÖPINGS LÄN</t>
        </is>
      </c>
      <c r="E1884" t="inlineStr">
        <is>
          <t>MULLSJÖ</t>
        </is>
      </c>
      <c r="G1884" t="n">
        <v>2.7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5724-2025</t>
        </is>
      </c>
      <c r="B1885" s="1" t="n">
        <v>45694.48425925926</v>
      </c>
      <c r="C1885" s="1" t="n">
        <v>45962</v>
      </c>
      <c r="D1885" t="inlineStr">
        <is>
          <t>JÖNKÖPINGS LÄN</t>
        </is>
      </c>
      <c r="E1885" t="inlineStr">
        <is>
          <t>SÄVSJÖ</t>
        </is>
      </c>
      <c r="G1885" t="n">
        <v>9.800000000000001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16525-2025</t>
        </is>
      </c>
      <c r="B1886" s="1" t="n">
        <v>45751.64311342593</v>
      </c>
      <c r="C1886" s="1" t="n">
        <v>45962</v>
      </c>
      <c r="D1886" t="inlineStr">
        <is>
          <t>JÖNKÖPINGS LÄN</t>
        </is>
      </c>
      <c r="E1886" t="inlineStr">
        <is>
          <t>NÄSSJÖ</t>
        </is>
      </c>
      <c r="G1886" t="n">
        <v>3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6043-2023</t>
        </is>
      </c>
      <c r="B1887" s="1" t="n">
        <v>44964</v>
      </c>
      <c r="C1887" s="1" t="n">
        <v>45962</v>
      </c>
      <c r="D1887" t="inlineStr">
        <is>
          <t>JÖNKÖPINGS LÄN</t>
        </is>
      </c>
      <c r="E1887" t="inlineStr">
        <is>
          <t>TRANÅS</t>
        </is>
      </c>
      <c r="G1887" t="n">
        <v>1.2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16560-2025</t>
        </is>
      </c>
      <c r="B1888" s="1" t="n">
        <v>45751.77451388889</v>
      </c>
      <c r="C1888" s="1" t="n">
        <v>45962</v>
      </c>
      <c r="D1888" t="inlineStr">
        <is>
          <t>JÖNKÖPINGS LÄN</t>
        </is>
      </c>
      <c r="E1888" t="inlineStr">
        <is>
          <t>VAGGERYD</t>
        </is>
      </c>
      <c r="G1888" t="n">
        <v>0.8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6919-2023</t>
        </is>
      </c>
      <c r="B1889" s="1" t="n">
        <v>44967</v>
      </c>
      <c r="C1889" s="1" t="n">
        <v>45962</v>
      </c>
      <c r="D1889" t="inlineStr">
        <is>
          <t>JÖNKÖPINGS LÄN</t>
        </is>
      </c>
      <c r="E1889" t="inlineStr">
        <is>
          <t>TRANÅS</t>
        </is>
      </c>
      <c r="G1889" t="n">
        <v>0.7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44051-2023</t>
        </is>
      </c>
      <c r="B1890" s="1" t="n">
        <v>45188.38519675926</v>
      </c>
      <c r="C1890" s="1" t="n">
        <v>45962</v>
      </c>
      <c r="D1890" t="inlineStr">
        <is>
          <t>JÖNKÖPINGS LÄN</t>
        </is>
      </c>
      <c r="E1890" t="inlineStr">
        <is>
          <t>VÄRNAMO</t>
        </is>
      </c>
      <c r="G1890" t="n">
        <v>0.5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59553-2023</t>
        </is>
      </c>
      <c r="B1891" s="1" t="n">
        <v>45254</v>
      </c>
      <c r="C1891" s="1" t="n">
        <v>45962</v>
      </c>
      <c r="D1891" t="inlineStr">
        <is>
          <t>JÖNKÖPINGS LÄN</t>
        </is>
      </c>
      <c r="E1891" t="inlineStr">
        <is>
          <t>VAGGERYD</t>
        </is>
      </c>
      <c r="F1891" t="inlineStr">
        <is>
          <t>Sveaskog</t>
        </is>
      </c>
      <c r="G1891" t="n">
        <v>4.9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28024-2022</t>
        </is>
      </c>
      <c r="B1892" s="1" t="n">
        <v>44746</v>
      </c>
      <c r="C1892" s="1" t="n">
        <v>45962</v>
      </c>
      <c r="D1892" t="inlineStr">
        <is>
          <t>JÖNKÖPINGS LÄN</t>
        </is>
      </c>
      <c r="E1892" t="inlineStr">
        <is>
          <t>EKSJÖ</t>
        </is>
      </c>
      <c r="G1892" t="n">
        <v>2.7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6077-2025</t>
        </is>
      </c>
      <c r="B1893" s="1" t="n">
        <v>45697.26537037037</v>
      </c>
      <c r="C1893" s="1" t="n">
        <v>45962</v>
      </c>
      <c r="D1893" t="inlineStr">
        <is>
          <t>JÖNKÖPINGS LÄN</t>
        </is>
      </c>
      <c r="E1893" t="inlineStr">
        <is>
          <t>JÖNKÖPING</t>
        </is>
      </c>
      <c r="G1893" t="n">
        <v>1.9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4964-2023</t>
        </is>
      </c>
      <c r="B1894" s="1" t="n">
        <v>44958.44994212963</v>
      </c>
      <c r="C1894" s="1" t="n">
        <v>45962</v>
      </c>
      <c r="D1894" t="inlineStr">
        <is>
          <t>JÖNKÖPINGS LÄN</t>
        </is>
      </c>
      <c r="E1894" t="inlineStr">
        <is>
          <t>EKSJÖ</t>
        </is>
      </c>
      <c r="G1894" t="n">
        <v>1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61721-2024</t>
        </is>
      </c>
      <c r="B1895" s="1" t="n">
        <v>45649.29796296296</v>
      </c>
      <c r="C1895" s="1" t="n">
        <v>45962</v>
      </c>
      <c r="D1895" t="inlineStr">
        <is>
          <t>JÖNKÖPINGS LÄN</t>
        </is>
      </c>
      <c r="E1895" t="inlineStr">
        <is>
          <t>VETLANDA</t>
        </is>
      </c>
      <c r="F1895" t="inlineStr">
        <is>
          <t>Kyrkan</t>
        </is>
      </c>
      <c r="G1895" t="n">
        <v>1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61724-2024</t>
        </is>
      </c>
      <c r="B1896" s="1" t="n">
        <v>45649.31149305555</v>
      </c>
      <c r="C1896" s="1" t="n">
        <v>45962</v>
      </c>
      <c r="D1896" t="inlineStr">
        <is>
          <t>JÖNKÖPINGS LÄN</t>
        </is>
      </c>
      <c r="E1896" t="inlineStr">
        <is>
          <t>GISLAVED</t>
        </is>
      </c>
      <c r="G1896" t="n">
        <v>1.6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5744-2025</t>
        </is>
      </c>
      <c r="B1897" s="1" t="n">
        <v>45694.52530092592</v>
      </c>
      <c r="C1897" s="1" t="n">
        <v>45962</v>
      </c>
      <c r="D1897" t="inlineStr">
        <is>
          <t>JÖNKÖPINGS LÄN</t>
        </is>
      </c>
      <c r="E1897" t="inlineStr">
        <is>
          <t>NÄSSJÖ</t>
        </is>
      </c>
      <c r="G1897" t="n">
        <v>1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16567-2025</t>
        </is>
      </c>
      <c r="B1898" s="1" t="n">
        <v>45752.46074074074</v>
      </c>
      <c r="C1898" s="1" t="n">
        <v>45962</v>
      </c>
      <c r="D1898" t="inlineStr">
        <is>
          <t>JÖNKÖPINGS LÄN</t>
        </is>
      </c>
      <c r="E1898" t="inlineStr">
        <is>
          <t>MULLSJÖ</t>
        </is>
      </c>
      <c r="G1898" t="n">
        <v>1.8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16568-2025</t>
        </is>
      </c>
      <c r="B1899" s="1" t="n">
        <v>45752.46453703703</v>
      </c>
      <c r="C1899" s="1" t="n">
        <v>45962</v>
      </c>
      <c r="D1899" t="inlineStr">
        <is>
          <t>JÖNKÖPINGS LÄN</t>
        </is>
      </c>
      <c r="E1899" t="inlineStr">
        <is>
          <t>MULLSJÖ</t>
        </is>
      </c>
      <c r="G1899" t="n">
        <v>2.6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16570-2025</t>
        </is>
      </c>
      <c r="B1900" s="1" t="n">
        <v>45752.47210648148</v>
      </c>
      <c r="C1900" s="1" t="n">
        <v>45962</v>
      </c>
      <c r="D1900" t="inlineStr">
        <is>
          <t>JÖNKÖPINGS LÄN</t>
        </is>
      </c>
      <c r="E1900" t="inlineStr">
        <is>
          <t>MULLSJÖ</t>
        </is>
      </c>
      <c r="G1900" t="n">
        <v>4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40291-2023</t>
        </is>
      </c>
      <c r="B1901" s="1" t="n">
        <v>45169</v>
      </c>
      <c r="C1901" s="1" t="n">
        <v>45962</v>
      </c>
      <c r="D1901" t="inlineStr">
        <is>
          <t>JÖNKÖPINGS LÄN</t>
        </is>
      </c>
      <c r="E1901" t="inlineStr">
        <is>
          <t>JÖNKÖPING</t>
        </is>
      </c>
      <c r="G1901" t="n">
        <v>1.8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20610-2021</t>
        </is>
      </c>
      <c r="B1902" s="1" t="n">
        <v>44316.37196759259</v>
      </c>
      <c r="C1902" s="1" t="n">
        <v>45962</v>
      </c>
      <c r="D1902" t="inlineStr">
        <is>
          <t>JÖNKÖPINGS LÄN</t>
        </is>
      </c>
      <c r="E1902" t="inlineStr">
        <is>
          <t>VETLANDA</t>
        </is>
      </c>
      <c r="G1902" t="n">
        <v>1.3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40564-2024</t>
        </is>
      </c>
      <c r="B1903" s="1" t="n">
        <v>45555.66824074074</v>
      </c>
      <c r="C1903" s="1" t="n">
        <v>45962</v>
      </c>
      <c r="D1903" t="inlineStr">
        <is>
          <t>JÖNKÖPINGS LÄN</t>
        </is>
      </c>
      <c r="E1903" t="inlineStr">
        <is>
          <t>TRANÅS</t>
        </is>
      </c>
      <c r="G1903" t="n">
        <v>1.8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71537-2021</t>
        </is>
      </c>
      <c r="B1904" s="1" t="n">
        <v>44540.64025462963</v>
      </c>
      <c r="C1904" s="1" t="n">
        <v>45962</v>
      </c>
      <c r="D1904" t="inlineStr">
        <is>
          <t>JÖNKÖPINGS LÄN</t>
        </is>
      </c>
      <c r="E1904" t="inlineStr">
        <is>
          <t>VAGGERYD</t>
        </is>
      </c>
      <c r="F1904" t="inlineStr">
        <is>
          <t>Sveaskog</t>
        </is>
      </c>
      <c r="G1904" t="n">
        <v>2.5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52058-2023</t>
        </is>
      </c>
      <c r="B1905" s="1" t="n">
        <v>45223.65527777778</v>
      </c>
      <c r="C1905" s="1" t="n">
        <v>45962</v>
      </c>
      <c r="D1905" t="inlineStr">
        <is>
          <t>JÖNKÖPINGS LÄN</t>
        </is>
      </c>
      <c r="E1905" t="inlineStr">
        <is>
          <t>JÖNKÖPING</t>
        </is>
      </c>
      <c r="G1905" t="n">
        <v>0.6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61702-2022</t>
        </is>
      </c>
      <c r="B1906" s="1" t="n">
        <v>44917.41598379629</v>
      </c>
      <c r="C1906" s="1" t="n">
        <v>45962</v>
      </c>
      <c r="D1906" t="inlineStr">
        <is>
          <t>JÖNKÖPINGS LÄN</t>
        </is>
      </c>
      <c r="E1906" t="inlineStr">
        <is>
          <t>TRANÅS</t>
        </is>
      </c>
      <c r="G1906" t="n">
        <v>3.8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7333-2024</t>
        </is>
      </c>
      <c r="B1907" s="1" t="n">
        <v>45345</v>
      </c>
      <c r="C1907" s="1" t="n">
        <v>45962</v>
      </c>
      <c r="D1907" t="inlineStr">
        <is>
          <t>JÖNKÖPINGS LÄN</t>
        </is>
      </c>
      <c r="E1907" t="inlineStr">
        <is>
          <t>TRANÅS</t>
        </is>
      </c>
      <c r="F1907" t="inlineStr">
        <is>
          <t>Allmännings- och besparingsskogar</t>
        </is>
      </c>
      <c r="G1907" t="n">
        <v>2.4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40575-2021</t>
        </is>
      </c>
      <c r="B1908" s="1" t="n">
        <v>44420</v>
      </c>
      <c r="C1908" s="1" t="n">
        <v>45962</v>
      </c>
      <c r="D1908" t="inlineStr">
        <is>
          <t>JÖNKÖPINGS LÄN</t>
        </is>
      </c>
      <c r="E1908" t="inlineStr">
        <is>
          <t>HABO</t>
        </is>
      </c>
      <c r="G1908" t="n">
        <v>3.2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26431-2023</t>
        </is>
      </c>
      <c r="B1909" s="1" t="n">
        <v>45092.40048611111</v>
      </c>
      <c r="C1909" s="1" t="n">
        <v>45962</v>
      </c>
      <c r="D1909" t="inlineStr">
        <is>
          <t>JÖNKÖPINGS LÄN</t>
        </is>
      </c>
      <c r="E1909" t="inlineStr">
        <is>
          <t>VETLANDA</t>
        </is>
      </c>
      <c r="G1909" t="n">
        <v>1.7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39656-2023</t>
        </is>
      </c>
      <c r="B1910" s="1" t="n">
        <v>45167</v>
      </c>
      <c r="C1910" s="1" t="n">
        <v>45962</v>
      </c>
      <c r="D1910" t="inlineStr">
        <is>
          <t>JÖNKÖPINGS LÄN</t>
        </is>
      </c>
      <c r="E1910" t="inlineStr">
        <is>
          <t>VÄRNAMO</t>
        </is>
      </c>
      <c r="G1910" t="n">
        <v>0.3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19388-2023</t>
        </is>
      </c>
      <c r="B1911" s="1" t="n">
        <v>45048</v>
      </c>
      <c r="C1911" s="1" t="n">
        <v>45962</v>
      </c>
      <c r="D1911" t="inlineStr">
        <is>
          <t>JÖNKÖPINGS LÄN</t>
        </is>
      </c>
      <c r="E1911" t="inlineStr">
        <is>
          <t>JÖNKÖPING</t>
        </is>
      </c>
      <c r="G1911" t="n">
        <v>1.5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60988-2023</t>
        </is>
      </c>
      <c r="B1912" s="1" t="n">
        <v>45261.48959490741</v>
      </c>
      <c r="C1912" s="1" t="n">
        <v>45962</v>
      </c>
      <c r="D1912" t="inlineStr">
        <is>
          <t>JÖNKÖPINGS LÄN</t>
        </is>
      </c>
      <c r="E1912" t="inlineStr">
        <is>
          <t>VÄRNAMO</t>
        </is>
      </c>
      <c r="G1912" t="n">
        <v>6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58970-2024</t>
        </is>
      </c>
      <c r="B1913" s="1" t="n">
        <v>45636.59827546297</v>
      </c>
      <c r="C1913" s="1" t="n">
        <v>45962</v>
      </c>
      <c r="D1913" t="inlineStr">
        <is>
          <t>JÖNKÖPINGS LÄN</t>
        </is>
      </c>
      <c r="E1913" t="inlineStr">
        <is>
          <t>GNOSJÖ</t>
        </is>
      </c>
      <c r="G1913" t="n">
        <v>1.5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8910-2024</t>
        </is>
      </c>
      <c r="B1914" s="1" t="n">
        <v>45357.36013888889</v>
      </c>
      <c r="C1914" s="1" t="n">
        <v>45962</v>
      </c>
      <c r="D1914" t="inlineStr">
        <is>
          <t>JÖNKÖPINGS LÄN</t>
        </is>
      </c>
      <c r="E1914" t="inlineStr">
        <is>
          <t>VÄRNAMO</t>
        </is>
      </c>
      <c r="G1914" t="n">
        <v>3.1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10586-2023</t>
        </is>
      </c>
      <c r="B1915" s="1" t="n">
        <v>44988</v>
      </c>
      <c r="C1915" s="1" t="n">
        <v>45962</v>
      </c>
      <c r="D1915" t="inlineStr">
        <is>
          <t>JÖNKÖPINGS LÄN</t>
        </is>
      </c>
      <c r="E1915" t="inlineStr">
        <is>
          <t>VAGGERYD</t>
        </is>
      </c>
      <c r="G1915" t="n">
        <v>1.5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51643-2024</t>
        </is>
      </c>
      <c r="B1916" s="1" t="n">
        <v>45605.84435185185</v>
      </c>
      <c r="C1916" s="1" t="n">
        <v>45962</v>
      </c>
      <c r="D1916" t="inlineStr">
        <is>
          <t>JÖNKÖPINGS LÄN</t>
        </is>
      </c>
      <c r="E1916" t="inlineStr">
        <is>
          <t>JÖNKÖPING</t>
        </is>
      </c>
      <c r="G1916" t="n">
        <v>0.5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23259-2023</t>
        </is>
      </c>
      <c r="B1917" s="1" t="n">
        <v>45075</v>
      </c>
      <c r="C1917" s="1" t="n">
        <v>45962</v>
      </c>
      <c r="D1917" t="inlineStr">
        <is>
          <t>JÖNKÖPINGS LÄN</t>
        </is>
      </c>
      <c r="E1917" t="inlineStr">
        <is>
          <t>GNOSJÖ</t>
        </is>
      </c>
      <c r="G1917" t="n">
        <v>2.8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62627-2020</t>
        </is>
      </c>
      <c r="B1918" s="1" t="n">
        <v>44161</v>
      </c>
      <c r="C1918" s="1" t="n">
        <v>45962</v>
      </c>
      <c r="D1918" t="inlineStr">
        <is>
          <t>JÖNKÖPINGS LÄN</t>
        </is>
      </c>
      <c r="E1918" t="inlineStr">
        <is>
          <t>GNOSJÖ</t>
        </is>
      </c>
      <c r="G1918" t="n">
        <v>0.9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66056-2020</t>
        </is>
      </c>
      <c r="B1919" s="1" t="n">
        <v>44175</v>
      </c>
      <c r="C1919" s="1" t="n">
        <v>45962</v>
      </c>
      <c r="D1919" t="inlineStr">
        <is>
          <t>JÖNKÖPINGS LÄN</t>
        </is>
      </c>
      <c r="E1919" t="inlineStr">
        <is>
          <t>JÖNKÖPING</t>
        </is>
      </c>
      <c r="G1919" t="n">
        <v>5.6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19046-2021</t>
        </is>
      </c>
      <c r="B1920" s="1" t="n">
        <v>44308.53366898148</v>
      </c>
      <c r="C1920" s="1" t="n">
        <v>45962</v>
      </c>
      <c r="D1920" t="inlineStr">
        <is>
          <t>JÖNKÖPINGS LÄN</t>
        </is>
      </c>
      <c r="E1920" t="inlineStr">
        <is>
          <t>VAGGERYD</t>
        </is>
      </c>
      <c r="G1920" t="n">
        <v>1.5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36346-2023</t>
        </is>
      </c>
      <c r="B1921" s="1" t="n">
        <v>45152</v>
      </c>
      <c r="C1921" s="1" t="n">
        <v>45962</v>
      </c>
      <c r="D1921" t="inlineStr">
        <is>
          <t>JÖNKÖPINGS LÄN</t>
        </is>
      </c>
      <c r="E1921" t="inlineStr">
        <is>
          <t>JÖNKÖPING</t>
        </is>
      </c>
      <c r="G1921" t="n">
        <v>2.7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8593-2025</t>
        </is>
      </c>
      <c r="B1922" s="1" t="n">
        <v>45709</v>
      </c>
      <c r="C1922" s="1" t="n">
        <v>45962</v>
      </c>
      <c r="D1922" t="inlineStr">
        <is>
          <t>JÖNKÖPINGS LÄN</t>
        </is>
      </c>
      <c r="E1922" t="inlineStr">
        <is>
          <t>NÄSSJÖ</t>
        </is>
      </c>
      <c r="G1922" t="n">
        <v>2.8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49451-2023</t>
        </is>
      </c>
      <c r="B1923" s="1" t="n">
        <v>45205</v>
      </c>
      <c r="C1923" s="1" t="n">
        <v>45962</v>
      </c>
      <c r="D1923" t="inlineStr">
        <is>
          <t>JÖNKÖPINGS LÄN</t>
        </is>
      </c>
      <c r="E1923" t="inlineStr">
        <is>
          <t>ANEBY</t>
        </is>
      </c>
      <c r="F1923" t="inlineStr">
        <is>
          <t>Övriga Aktiebolag</t>
        </is>
      </c>
      <c r="G1923" t="n">
        <v>3.8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51118-2023</t>
        </is>
      </c>
      <c r="B1924" s="1" t="n">
        <v>45219</v>
      </c>
      <c r="C1924" s="1" t="n">
        <v>45962</v>
      </c>
      <c r="D1924" t="inlineStr">
        <is>
          <t>JÖNKÖPINGS LÄN</t>
        </is>
      </c>
      <c r="E1924" t="inlineStr">
        <is>
          <t>MULLSJÖ</t>
        </is>
      </c>
      <c r="G1924" t="n">
        <v>1.7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1489-2025</t>
        </is>
      </c>
      <c r="B1925" s="1" t="n">
        <v>45670</v>
      </c>
      <c r="C1925" s="1" t="n">
        <v>45962</v>
      </c>
      <c r="D1925" t="inlineStr">
        <is>
          <t>JÖNKÖPINGS LÄN</t>
        </is>
      </c>
      <c r="E1925" t="inlineStr">
        <is>
          <t>NÄSSJÖ</t>
        </is>
      </c>
      <c r="G1925" t="n">
        <v>1.6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795-2024</t>
        </is>
      </c>
      <c r="B1926" s="1" t="n">
        <v>45300</v>
      </c>
      <c r="C1926" s="1" t="n">
        <v>45962</v>
      </c>
      <c r="D1926" t="inlineStr">
        <is>
          <t>JÖNKÖPINGS LÄN</t>
        </is>
      </c>
      <c r="E1926" t="inlineStr">
        <is>
          <t>EKSJÖ</t>
        </is>
      </c>
      <c r="G1926" t="n">
        <v>7.2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2379-2023</t>
        </is>
      </c>
      <c r="B1927" s="1" t="n">
        <v>44942</v>
      </c>
      <c r="C1927" s="1" t="n">
        <v>45962</v>
      </c>
      <c r="D1927" t="inlineStr">
        <is>
          <t>JÖNKÖPINGS LÄN</t>
        </is>
      </c>
      <c r="E1927" t="inlineStr">
        <is>
          <t>TRANÅS</t>
        </is>
      </c>
      <c r="F1927" t="inlineStr">
        <is>
          <t>Kommuner</t>
        </is>
      </c>
      <c r="G1927" t="n">
        <v>5.7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35843-2024</t>
        </is>
      </c>
      <c r="B1928" s="1" t="n">
        <v>45532.75570601852</v>
      </c>
      <c r="C1928" s="1" t="n">
        <v>45962</v>
      </c>
      <c r="D1928" t="inlineStr">
        <is>
          <t>JÖNKÖPINGS LÄN</t>
        </is>
      </c>
      <c r="E1928" t="inlineStr">
        <is>
          <t>SÄVSJÖ</t>
        </is>
      </c>
      <c r="G1928" t="n">
        <v>1.2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16509-2023</t>
        </is>
      </c>
      <c r="B1929" s="1" t="n">
        <v>45029.6452662037</v>
      </c>
      <c r="C1929" s="1" t="n">
        <v>45962</v>
      </c>
      <c r="D1929" t="inlineStr">
        <is>
          <t>JÖNKÖPINGS LÄN</t>
        </is>
      </c>
      <c r="E1929" t="inlineStr">
        <is>
          <t>HABO</t>
        </is>
      </c>
      <c r="G1929" t="n">
        <v>1.3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41319-2022</t>
        </is>
      </c>
      <c r="B1930" s="1" t="n">
        <v>44826</v>
      </c>
      <c r="C1930" s="1" t="n">
        <v>45962</v>
      </c>
      <c r="D1930" t="inlineStr">
        <is>
          <t>JÖNKÖPINGS LÄN</t>
        </is>
      </c>
      <c r="E1930" t="inlineStr">
        <is>
          <t>NÄSSJÖ</t>
        </is>
      </c>
      <c r="G1930" t="n">
        <v>2.7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41323-2022</t>
        </is>
      </c>
      <c r="B1931" s="1" t="n">
        <v>44826.47293981481</v>
      </c>
      <c r="C1931" s="1" t="n">
        <v>45962</v>
      </c>
      <c r="D1931" t="inlineStr">
        <is>
          <t>JÖNKÖPINGS LÄN</t>
        </is>
      </c>
      <c r="E1931" t="inlineStr">
        <is>
          <t>GNOSJÖ</t>
        </is>
      </c>
      <c r="G1931" t="n">
        <v>1.1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41324-2022</t>
        </is>
      </c>
      <c r="B1932" s="1" t="n">
        <v>44826</v>
      </c>
      <c r="C1932" s="1" t="n">
        <v>45962</v>
      </c>
      <c r="D1932" t="inlineStr">
        <is>
          <t>JÖNKÖPINGS LÄN</t>
        </is>
      </c>
      <c r="E1932" t="inlineStr">
        <is>
          <t>NÄSSJÖ</t>
        </is>
      </c>
      <c r="G1932" t="n">
        <v>0.9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60359-2023</t>
        </is>
      </c>
      <c r="B1933" s="1" t="n">
        <v>45259</v>
      </c>
      <c r="C1933" s="1" t="n">
        <v>45962</v>
      </c>
      <c r="D1933" t="inlineStr">
        <is>
          <t>JÖNKÖPINGS LÄN</t>
        </is>
      </c>
      <c r="E1933" t="inlineStr">
        <is>
          <t>TRANÅS</t>
        </is>
      </c>
      <c r="G1933" t="n">
        <v>1.9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18517-2025</t>
        </is>
      </c>
      <c r="B1934" s="1" t="n">
        <v>45763.38805555556</v>
      </c>
      <c r="C1934" s="1" t="n">
        <v>45962</v>
      </c>
      <c r="D1934" t="inlineStr">
        <is>
          <t>JÖNKÖPINGS LÄN</t>
        </is>
      </c>
      <c r="E1934" t="inlineStr">
        <is>
          <t>VETLANDA</t>
        </is>
      </c>
      <c r="G1934" t="n">
        <v>2.2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7151-2025</t>
        </is>
      </c>
      <c r="B1935" s="1" t="n">
        <v>45702.38320601852</v>
      </c>
      <c r="C1935" s="1" t="n">
        <v>45962</v>
      </c>
      <c r="D1935" t="inlineStr">
        <is>
          <t>JÖNKÖPINGS LÄN</t>
        </is>
      </c>
      <c r="E1935" t="inlineStr">
        <is>
          <t>NÄSSJÖ</t>
        </is>
      </c>
      <c r="G1935" t="n">
        <v>1.3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49432-2024</t>
        </is>
      </c>
      <c r="B1936" s="1" t="n">
        <v>45595</v>
      </c>
      <c r="C1936" s="1" t="n">
        <v>45962</v>
      </c>
      <c r="D1936" t="inlineStr">
        <is>
          <t>JÖNKÖPINGS LÄN</t>
        </is>
      </c>
      <c r="E1936" t="inlineStr">
        <is>
          <t>TRANÅS</t>
        </is>
      </c>
      <c r="G1936" t="n">
        <v>5.8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49433-2024</t>
        </is>
      </c>
      <c r="B1937" s="1" t="n">
        <v>45595.82958333333</v>
      </c>
      <c r="C1937" s="1" t="n">
        <v>45962</v>
      </c>
      <c r="D1937" t="inlineStr">
        <is>
          <t>JÖNKÖPINGS LÄN</t>
        </is>
      </c>
      <c r="E1937" t="inlineStr">
        <is>
          <t>HABO</t>
        </is>
      </c>
      <c r="G1937" t="n">
        <v>5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28340-2023</t>
        </is>
      </c>
      <c r="B1938" s="1" t="n">
        <v>45099</v>
      </c>
      <c r="C1938" s="1" t="n">
        <v>45962</v>
      </c>
      <c r="D1938" t="inlineStr">
        <is>
          <t>JÖNKÖPINGS LÄN</t>
        </is>
      </c>
      <c r="E1938" t="inlineStr">
        <is>
          <t>NÄSSJÖ</t>
        </is>
      </c>
      <c r="G1938" t="n">
        <v>3.9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42830-2024</t>
        </is>
      </c>
      <c r="B1939" s="1" t="n">
        <v>45566.61018518519</v>
      </c>
      <c r="C1939" s="1" t="n">
        <v>45962</v>
      </c>
      <c r="D1939" t="inlineStr">
        <is>
          <t>JÖNKÖPINGS LÄN</t>
        </is>
      </c>
      <c r="E1939" t="inlineStr">
        <is>
          <t>VÄRNAMO</t>
        </is>
      </c>
      <c r="G1939" t="n">
        <v>1.1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44351-2023</t>
        </is>
      </c>
      <c r="B1940" s="1" t="n">
        <v>45188</v>
      </c>
      <c r="C1940" s="1" t="n">
        <v>45962</v>
      </c>
      <c r="D1940" t="inlineStr">
        <is>
          <t>JÖNKÖPINGS LÄN</t>
        </is>
      </c>
      <c r="E1940" t="inlineStr">
        <is>
          <t>VETLANDA</t>
        </is>
      </c>
      <c r="G1940" t="n">
        <v>2.7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38758-2024</t>
        </is>
      </c>
      <c r="B1941" s="1" t="n">
        <v>45547.43793981482</v>
      </c>
      <c r="C1941" s="1" t="n">
        <v>45962</v>
      </c>
      <c r="D1941" t="inlineStr">
        <is>
          <t>JÖNKÖPINGS LÄN</t>
        </is>
      </c>
      <c r="E1941" t="inlineStr">
        <is>
          <t>JÖNKÖPING</t>
        </is>
      </c>
      <c r="F1941" t="inlineStr">
        <is>
          <t>Sveaskog</t>
        </is>
      </c>
      <c r="G1941" t="n">
        <v>2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68303-2020</t>
        </is>
      </c>
      <c r="B1942" s="1" t="n">
        <v>44185</v>
      </c>
      <c r="C1942" s="1" t="n">
        <v>45962</v>
      </c>
      <c r="D1942" t="inlineStr">
        <is>
          <t>JÖNKÖPINGS LÄN</t>
        </is>
      </c>
      <c r="E1942" t="inlineStr">
        <is>
          <t>VETLANDA</t>
        </is>
      </c>
      <c r="G1942" t="n">
        <v>2.5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68306-2020</t>
        </is>
      </c>
      <c r="B1943" s="1" t="n">
        <v>44185</v>
      </c>
      <c r="C1943" s="1" t="n">
        <v>45962</v>
      </c>
      <c r="D1943" t="inlineStr">
        <is>
          <t>JÖNKÖPINGS LÄN</t>
        </is>
      </c>
      <c r="E1943" t="inlineStr">
        <is>
          <t>VETLANDA</t>
        </is>
      </c>
      <c r="G1943" t="n">
        <v>1.1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2497-2025</t>
        </is>
      </c>
      <c r="B1944" s="1" t="n">
        <v>45674.52591435185</v>
      </c>
      <c r="C1944" s="1" t="n">
        <v>45962</v>
      </c>
      <c r="D1944" t="inlineStr">
        <is>
          <t>JÖNKÖPINGS LÄN</t>
        </is>
      </c>
      <c r="E1944" t="inlineStr">
        <is>
          <t>VETLANDA</t>
        </is>
      </c>
      <c r="G1944" t="n">
        <v>0.5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15054-2023</t>
        </is>
      </c>
      <c r="B1945" s="1" t="n">
        <v>45015.68395833333</v>
      </c>
      <c r="C1945" s="1" t="n">
        <v>45962</v>
      </c>
      <c r="D1945" t="inlineStr">
        <is>
          <t>JÖNKÖPINGS LÄN</t>
        </is>
      </c>
      <c r="E1945" t="inlineStr">
        <is>
          <t>SÄVSJÖ</t>
        </is>
      </c>
      <c r="G1945" t="n">
        <v>0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68317-2020</t>
        </is>
      </c>
      <c r="B1946" s="1" t="n">
        <v>44185</v>
      </c>
      <c r="C1946" s="1" t="n">
        <v>45962</v>
      </c>
      <c r="D1946" t="inlineStr">
        <is>
          <t>JÖNKÖPINGS LÄN</t>
        </is>
      </c>
      <c r="E1946" t="inlineStr">
        <is>
          <t>VETLANDA</t>
        </is>
      </c>
      <c r="G1946" t="n">
        <v>0.8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68477-2020</t>
        </is>
      </c>
      <c r="B1947" s="1" t="n">
        <v>44186.52743055556</v>
      </c>
      <c r="C1947" s="1" t="n">
        <v>45962</v>
      </c>
      <c r="D1947" t="inlineStr">
        <is>
          <t>JÖNKÖPINGS LÄN</t>
        </is>
      </c>
      <c r="E1947" t="inlineStr">
        <is>
          <t>VETLANDA</t>
        </is>
      </c>
      <c r="G1947" t="n">
        <v>0.5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11381-2022</t>
        </is>
      </c>
      <c r="B1948" s="1" t="n">
        <v>44630</v>
      </c>
      <c r="C1948" s="1" t="n">
        <v>45962</v>
      </c>
      <c r="D1948" t="inlineStr">
        <is>
          <t>JÖNKÖPINGS LÄN</t>
        </is>
      </c>
      <c r="E1948" t="inlineStr">
        <is>
          <t>EKSJÖ</t>
        </is>
      </c>
      <c r="G1948" t="n">
        <v>0.8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69003-2020</t>
        </is>
      </c>
      <c r="B1949" s="1" t="n">
        <v>44188.3506712963</v>
      </c>
      <c r="C1949" s="1" t="n">
        <v>45962</v>
      </c>
      <c r="D1949" t="inlineStr">
        <is>
          <t>JÖNKÖPINGS LÄN</t>
        </is>
      </c>
      <c r="E1949" t="inlineStr">
        <is>
          <t>VETLANDA</t>
        </is>
      </c>
      <c r="G1949" t="n">
        <v>3.4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9020-2021</t>
        </is>
      </c>
      <c r="B1950" s="1" t="n">
        <v>44249</v>
      </c>
      <c r="C1950" s="1" t="n">
        <v>45962</v>
      </c>
      <c r="D1950" t="inlineStr">
        <is>
          <t>JÖNKÖPINGS LÄN</t>
        </is>
      </c>
      <c r="E1950" t="inlineStr">
        <is>
          <t>VÄRNAMO</t>
        </is>
      </c>
      <c r="G1950" t="n">
        <v>2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34035-2024</t>
        </is>
      </c>
      <c r="B1951" s="1" t="n">
        <v>45523.59328703704</v>
      </c>
      <c r="C1951" s="1" t="n">
        <v>45962</v>
      </c>
      <c r="D1951" t="inlineStr">
        <is>
          <t>JÖNKÖPINGS LÄN</t>
        </is>
      </c>
      <c r="E1951" t="inlineStr">
        <is>
          <t>GISLAVED</t>
        </is>
      </c>
      <c r="G1951" t="n">
        <v>2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46956-2024</t>
        </is>
      </c>
      <c r="B1952" s="1" t="n">
        <v>45585.91030092593</v>
      </c>
      <c r="C1952" s="1" t="n">
        <v>45962</v>
      </c>
      <c r="D1952" t="inlineStr">
        <is>
          <t>JÖNKÖPINGS LÄN</t>
        </is>
      </c>
      <c r="E1952" t="inlineStr">
        <is>
          <t>GISLAVED</t>
        </is>
      </c>
      <c r="G1952" t="n">
        <v>2.5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60536-2023</t>
        </is>
      </c>
      <c r="B1953" s="1" t="n">
        <v>45259.69310185185</v>
      </c>
      <c r="C1953" s="1" t="n">
        <v>45962</v>
      </c>
      <c r="D1953" t="inlineStr">
        <is>
          <t>JÖNKÖPINGS LÄN</t>
        </is>
      </c>
      <c r="E1953" t="inlineStr">
        <is>
          <t>VETLANDA</t>
        </is>
      </c>
      <c r="G1953" t="n">
        <v>2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43132-2024</t>
        </is>
      </c>
      <c r="B1954" s="1" t="n">
        <v>45567</v>
      </c>
      <c r="C1954" s="1" t="n">
        <v>45962</v>
      </c>
      <c r="D1954" t="inlineStr">
        <is>
          <t>JÖNKÖPINGS LÄN</t>
        </is>
      </c>
      <c r="E1954" t="inlineStr">
        <is>
          <t>VÄRNAMO</t>
        </is>
      </c>
      <c r="F1954" t="inlineStr">
        <is>
          <t>Kommuner</t>
        </is>
      </c>
      <c r="G1954" t="n">
        <v>1.7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3946-2023</t>
        </is>
      </c>
      <c r="B1955" s="1" t="n">
        <v>44952.37013888889</v>
      </c>
      <c r="C1955" s="1" t="n">
        <v>45962</v>
      </c>
      <c r="D1955" t="inlineStr">
        <is>
          <t>JÖNKÖPINGS LÄN</t>
        </is>
      </c>
      <c r="E1955" t="inlineStr">
        <is>
          <t>MULLSJÖ</t>
        </is>
      </c>
      <c r="G1955" t="n">
        <v>1.1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43155-2024</t>
        </is>
      </c>
      <c r="B1956" s="1" t="n">
        <v>45567</v>
      </c>
      <c r="C1956" s="1" t="n">
        <v>45962</v>
      </c>
      <c r="D1956" t="inlineStr">
        <is>
          <t>JÖNKÖPINGS LÄN</t>
        </is>
      </c>
      <c r="E1956" t="inlineStr">
        <is>
          <t>VÄRNAMO</t>
        </is>
      </c>
      <c r="F1956" t="inlineStr">
        <is>
          <t>Kommuner</t>
        </is>
      </c>
      <c r="G1956" t="n">
        <v>2.3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22561-2024</t>
        </is>
      </c>
      <c r="B1957" s="1" t="n">
        <v>45447.55340277778</v>
      </c>
      <c r="C1957" s="1" t="n">
        <v>45962</v>
      </c>
      <c r="D1957" t="inlineStr">
        <is>
          <t>JÖNKÖPINGS LÄN</t>
        </is>
      </c>
      <c r="E1957" t="inlineStr">
        <is>
          <t>JÖNKÖPING</t>
        </is>
      </c>
      <c r="G1957" t="n">
        <v>0.7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4833-2023</t>
        </is>
      </c>
      <c r="B1958" s="1" t="n">
        <v>44957.66708333333</v>
      </c>
      <c r="C1958" s="1" t="n">
        <v>45962</v>
      </c>
      <c r="D1958" t="inlineStr">
        <is>
          <t>JÖNKÖPINGS LÄN</t>
        </is>
      </c>
      <c r="E1958" t="inlineStr">
        <is>
          <t>ANEBY</t>
        </is>
      </c>
      <c r="G1958" t="n">
        <v>1.7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36729-2022</t>
        </is>
      </c>
      <c r="B1959" s="1" t="n">
        <v>44805.40015046296</v>
      </c>
      <c r="C1959" s="1" t="n">
        <v>45962</v>
      </c>
      <c r="D1959" t="inlineStr">
        <is>
          <t>JÖNKÖPINGS LÄN</t>
        </is>
      </c>
      <c r="E1959" t="inlineStr">
        <is>
          <t>VÄRNAMO</t>
        </is>
      </c>
      <c r="G1959" t="n">
        <v>0.8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46531-2024</t>
        </is>
      </c>
      <c r="B1960" s="1" t="n">
        <v>45582.63793981481</v>
      </c>
      <c r="C1960" s="1" t="n">
        <v>45962</v>
      </c>
      <c r="D1960" t="inlineStr">
        <is>
          <t>JÖNKÖPINGS LÄN</t>
        </is>
      </c>
      <c r="E1960" t="inlineStr">
        <is>
          <t>VETLANDA</t>
        </is>
      </c>
      <c r="G1960" t="n">
        <v>2.3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3183-2022</t>
        </is>
      </c>
      <c r="B1961" s="1" t="n">
        <v>44582.62581018519</v>
      </c>
      <c r="C1961" s="1" t="n">
        <v>45962</v>
      </c>
      <c r="D1961" t="inlineStr">
        <is>
          <t>JÖNKÖPINGS LÄN</t>
        </is>
      </c>
      <c r="E1961" t="inlineStr">
        <is>
          <t>VETLANDA</t>
        </is>
      </c>
      <c r="G1961" t="n">
        <v>1.7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62053-2022</t>
        </is>
      </c>
      <c r="B1962" s="1" t="n">
        <v>44918.57599537037</v>
      </c>
      <c r="C1962" s="1" t="n">
        <v>45962</v>
      </c>
      <c r="D1962" t="inlineStr">
        <is>
          <t>JÖNKÖPINGS LÄN</t>
        </is>
      </c>
      <c r="E1962" t="inlineStr">
        <is>
          <t>GNOSJÖ</t>
        </is>
      </c>
      <c r="G1962" t="n">
        <v>0.6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11386-2023</t>
        </is>
      </c>
      <c r="B1963" s="1" t="n">
        <v>44993.46795138889</v>
      </c>
      <c r="C1963" s="1" t="n">
        <v>45962</v>
      </c>
      <c r="D1963" t="inlineStr">
        <is>
          <t>JÖNKÖPINGS LÄN</t>
        </is>
      </c>
      <c r="E1963" t="inlineStr">
        <is>
          <t>VÄRNAMO</t>
        </is>
      </c>
      <c r="F1963" t="inlineStr">
        <is>
          <t>Kommuner</t>
        </is>
      </c>
      <c r="G1963" t="n">
        <v>1.1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40333-2023</t>
        </is>
      </c>
      <c r="B1964" s="1" t="n">
        <v>45169</v>
      </c>
      <c r="C1964" s="1" t="n">
        <v>45962</v>
      </c>
      <c r="D1964" t="inlineStr">
        <is>
          <t>JÖNKÖPINGS LÄN</t>
        </is>
      </c>
      <c r="E1964" t="inlineStr">
        <is>
          <t>VAGGERYD</t>
        </is>
      </c>
      <c r="G1964" t="n">
        <v>3.9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26329-2024</t>
        </is>
      </c>
      <c r="B1965" s="1" t="n">
        <v>45469</v>
      </c>
      <c r="C1965" s="1" t="n">
        <v>45962</v>
      </c>
      <c r="D1965" t="inlineStr">
        <is>
          <t>JÖNKÖPINGS LÄN</t>
        </is>
      </c>
      <c r="E1965" t="inlineStr">
        <is>
          <t>HABO</t>
        </is>
      </c>
      <c r="F1965" t="inlineStr">
        <is>
          <t>Sveaskog</t>
        </is>
      </c>
      <c r="G1965" t="n">
        <v>4.9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5030-2022</t>
        </is>
      </c>
      <c r="B1966" s="1" t="n">
        <v>44593.65674768519</v>
      </c>
      <c r="C1966" s="1" t="n">
        <v>45962</v>
      </c>
      <c r="D1966" t="inlineStr">
        <is>
          <t>JÖNKÖPINGS LÄN</t>
        </is>
      </c>
      <c r="E1966" t="inlineStr">
        <is>
          <t>GNOSJÖ</t>
        </is>
      </c>
      <c r="G1966" t="n">
        <v>2.3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37503-2024</t>
        </is>
      </c>
      <c r="B1967" s="1" t="n">
        <v>45541.37402777778</v>
      </c>
      <c r="C1967" s="1" t="n">
        <v>45962</v>
      </c>
      <c r="D1967" t="inlineStr">
        <is>
          <t>JÖNKÖPINGS LÄN</t>
        </is>
      </c>
      <c r="E1967" t="inlineStr">
        <is>
          <t>JÖNKÖPING</t>
        </is>
      </c>
      <c r="G1967" t="n">
        <v>0.6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31463-2023</t>
        </is>
      </c>
      <c r="B1968" s="1" t="n">
        <v>45114</v>
      </c>
      <c r="C1968" s="1" t="n">
        <v>45962</v>
      </c>
      <c r="D1968" t="inlineStr">
        <is>
          <t>JÖNKÖPINGS LÄN</t>
        </is>
      </c>
      <c r="E1968" t="inlineStr">
        <is>
          <t>VETLANDA</t>
        </is>
      </c>
      <c r="G1968" t="n">
        <v>0.8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39092-2024</t>
        </is>
      </c>
      <c r="B1969" s="1" t="n">
        <v>45548</v>
      </c>
      <c r="C1969" s="1" t="n">
        <v>45962</v>
      </c>
      <c r="D1969" t="inlineStr">
        <is>
          <t>JÖNKÖPINGS LÄN</t>
        </is>
      </c>
      <c r="E1969" t="inlineStr">
        <is>
          <t>ANEBY</t>
        </is>
      </c>
      <c r="F1969" t="inlineStr">
        <is>
          <t>Övriga Aktiebolag</t>
        </is>
      </c>
      <c r="G1969" t="n">
        <v>4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39096-2024</t>
        </is>
      </c>
      <c r="B1970" s="1" t="n">
        <v>45548</v>
      </c>
      <c r="C1970" s="1" t="n">
        <v>45962</v>
      </c>
      <c r="D1970" t="inlineStr">
        <is>
          <t>JÖNKÖPINGS LÄN</t>
        </is>
      </c>
      <c r="E1970" t="inlineStr">
        <is>
          <t>ANEBY</t>
        </is>
      </c>
      <c r="F1970" t="inlineStr">
        <is>
          <t>Övriga Aktiebolag</t>
        </is>
      </c>
      <c r="G1970" t="n">
        <v>1.4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13259-2025</t>
        </is>
      </c>
      <c r="B1971" s="1" t="n">
        <v>45735.51754629629</v>
      </c>
      <c r="C1971" s="1" t="n">
        <v>45962</v>
      </c>
      <c r="D1971" t="inlineStr">
        <is>
          <t>JÖNKÖPINGS LÄN</t>
        </is>
      </c>
      <c r="E1971" t="inlineStr">
        <is>
          <t>GISLAVED</t>
        </is>
      </c>
      <c r="G1971" t="n">
        <v>0.9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13273-2025</t>
        </is>
      </c>
      <c r="B1972" s="1" t="n">
        <v>45735.54914351852</v>
      </c>
      <c r="C1972" s="1" t="n">
        <v>45962</v>
      </c>
      <c r="D1972" t="inlineStr">
        <is>
          <t>JÖNKÖPINGS LÄN</t>
        </is>
      </c>
      <c r="E1972" t="inlineStr">
        <is>
          <t>VÄRNAMO</t>
        </is>
      </c>
      <c r="G1972" t="n">
        <v>0.8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64993-2023</t>
        </is>
      </c>
      <c r="B1973" s="1" t="n">
        <v>45286.66042824074</v>
      </c>
      <c r="C1973" s="1" t="n">
        <v>45962</v>
      </c>
      <c r="D1973" t="inlineStr">
        <is>
          <t>JÖNKÖPINGS LÄN</t>
        </is>
      </c>
      <c r="E1973" t="inlineStr">
        <is>
          <t>EKSJÖ</t>
        </is>
      </c>
      <c r="G1973" t="n">
        <v>1.1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27582-2023</t>
        </is>
      </c>
      <c r="B1974" s="1" t="n">
        <v>45097</v>
      </c>
      <c r="C1974" s="1" t="n">
        <v>45962</v>
      </c>
      <c r="D1974" t="inlineStr">
        <is>
          <t>JÖNKÖPINGS LÄN</t>
        </is>
      </c>
      <c r="E1974" t="inlineStr">
        <is>
          <t>GISLAVED</t>
        </is>
      </c>
      <c r="G1974" t="n">
        <v>4.2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4997-2021</t>
        </is>
      </c>
      <c r="B1975" s="1" t="n">
        <v>44228</v>
      </c>
      <c r="C1975" s="1" t="n">
        <v>45962</v>
      </c>
      <c r="D1975" t="inlineStr">
        <is>
          <t>JÖNKÖPINGS LÄN</t>
        </is>
      </c>
      <c r="E1975" t="inlineStr">
        <is>
          <t>GISLAVED</t>
        </is>
      </c>
      <c r="G1975" t="n">
        <v>1.2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996-2023</t>
        </is>
      </c>
      <c r="B1976" s="1" t="n">
        <v>44935.41263888889</v>
      </c>
      <c r="C1976" s="1" t="n">
        <v>45962</v>
      </c>
      <c r="D1976" t="inlineStr">
        <is>
          <t>JÖNKÖPINGS LÄN</t>
        </is>
      </c>
      <c r="E1976" t="inlineStr">
        <is>
          <t>SÄVSJÖ</t>
        </is>
      </c>
      <c r="F1976" t="inlineStr">
        <is>
          <t>Sveaskog</t>
        </is>
      </c>
      <c r="G1976" t="n">
        <v>2.9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25118-2023</t>
        </is>
      </c>
      <c r="B1977" s="1" t="n">
        <v>45086.42130787037</v>
      </c>
      <c r="C1977" s="1" t="n">
        <v>45962</v>
      </c>
      <c r="D1977" t="inlineStr">
        <is>
          <t>JÖNKÖPINGS LÄN</t>
        </is>
      </c>
      <c r="E1977" t="inlineStr">
        <is>
          <t>SÄVSJÖ</t>
        </is>
      </c>
      <c r="G1977" t="n">
        <v>0.5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6409-2021</t>
        </is>
      </c>
      <c r="B1978" s="1" t="n">
        <v>44235</v>
      </c>
      <c r="C1978" s="1" t="n">
        <v>45962</v>
      </c>
      <c r="D1978" t="inlineStr">
        <is>
          <t>JÖNKÖPINGS LÄN</t>
        </is>
      </c>
      <c r="E1978" t="inlineStr">
        <is>
          <t>EKSJÖ</t>
        </is>
      </c>
      <c r="G1978" t="n">
        <v>0.6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47563-2024</t>
        </is>
      </c>
      <c r="B1979" s="1" t="n">
        <v>45586</v>
      </c>
      <c r="C1979" s="1" t="n">
        <v>45962</v>
      </c>
      <c r="D1979" t="inlineStr">
        <is>
          <t>JÖNKÖPINGS LÄN</t>
        </is>
      </c>
      <c r="E1979" t="inlineStr">
        <is>
          <t>JÖNKÖPING</t>
        </is>
      </c>
      <c r="G1979" t="n">
        <v>2.4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57441-2020</t>
        </is>
      </c>
      <c r="B1980" s="1" t="n">
        <v>44140</v>
      </c>
      <c r="C1980" s="1" t="n">
        <v>45962</v>
      </c>
      <c r="D1980" t="inlineStr">
        <is>
          <t>JÖNKÖPINGS LÄN</t>
        </is>
      </c>
      <c r="E1980" t="inlineStr">
        <is>
          <t>GNOSJÖ</t>
        </is>
      </c>
      <c r="G1980" t="n">
        <v>1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42439-2022</t>
        </is>
      </c>
      <c r="B1981" s="1" t="n">
        <v>44831.47726851852</v>
      </c>
      <c r="C1981" s="1" t="n">
        <v>45962</v>
      </c>
      <c r="D1981" t="inlineStr">
        <is>
          <t>JÖNKÖPINGS LÄN</t>
        </is>
      </c>
      <c r="E1981" t="inlineStr">
        <is>
          <t>VETLANDA</t>
        </is>
      </c>
      <c r="G1981" t="n">
        <v>1.9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42795-2023</t>
        </is>
      </c>
      <c r="B1982" s="1" t="n">
        <v>45182.28321759259</v>
      </c>
      <c r="C1982" s="1" t="n">
        <v>45962</v>
      </c>
      <c r="D1982" t="inlineStr">
        <is>
          <t>JÖNKÖPINGS LÄN</t>
        </is>
      </c>
      <c r="E1982" t="inlineStr">
        <is>
          <t>ANEBY</t>
        </is>
      </c>
      <c r="G1982" t="n">
        <v>1.8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49790-2023</t>
        </is>
      </c>
      <c r="B1983" s="1" t="n">
        <v>45212.61796296296</v>
      </c>
      <c r="C1983" s="1" t="n">
        <v>45962</v>
      </c>
      <c r="D1983" t="inlineStr">
        <is>
          <t>JÖNKÖPINGS LÄN</t>
        </is>
      </c>
      <c r="E1983" t="inlineStr">
        <is>
          <t>GISLAVED</t>
        </is>
      </c>
      <c r="G1983" t="n">
        <v>2.2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48207-2022</t>
        </is>
      </c>
      <c r="B1984" s="1" t="n">
        <v>44858.42417824074</v>
      </c>
      <c r="C1984" s="1" t="n">
        <v>45962</v>
      </c>
      <c r="D1984" t="inlineStr">
        <is>
          <t>JÖNKÖPINGS LÄN</t>
        </is>
      </c>
      <c r="E1984" t="inlineStr">
        <is>
          <t>VETLANDA</t>
        </is>
      </c>
      <c r="G1984" t="n">
        <v>1.7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49880-2023</t>
        </is>
      </c>
      <c r="B1985" s="1" t="n">
        <v>45213</v>
      </c>
      <c r="C1985" s="1" t="n">
        <v>45962</v>
      </c>
      <c r="D1985" t="inlineStr">
        <is>
          <t>JÖNKÖPINGS LÄN</t>
        </is>
      </c>
      <c r="E1985" t="inlineStr">
        <is>
          <t>NÄSSJÖ</t>
        </is>
      </c>
      <c r="G1985" t="n">
        <v>1.7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7180-2025</t>
        </is>
      </c>
      <c r="B1986" s="1" t="n">
        <v>45702.42722222222</v>
      </c>
      <c r="C1986" s="1" t="n">
        <v>45962</v>
      </c>
      <c r="D1986" t="inlineStr">
        <is>
          <t>JÖNKÖPINGS LÄN</t>
        </is>
      </c>
      <c r="E1986" t="inlineStr">
        <is>
          <t>GISLAVED</t>
        </is>
      </c>
      <c r="F1986" t="inlineStr">
        <is>
          <t>Sveaskog</t>
        </is>
      </c>
      <c r="G1986" t="n">
        <v>1.2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33927-2023</t>
        </is>
      </c>
      <c r="B1987" s="1" t="n">
        <v>45134.49408564815</v>
      </c>
      <c r="C1987" s="1" t="n">
        <v>45962</v>
      </c>
      <c r="D1987" t="inlineStr">
        <is>
          <t>JÖNKÖPINGS LÄN</t>
        </is>
      </c>
      <c r="E1987" t="inlineStr">
        <is>
          <t>VAGGERYD</t>
        </is>
      </c>
      <c r="G1987" t="n">
        <v>2.6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67489-2020</t>
        </is>
      </c>
      <c r="B1988" s="1" t="n">
        <v>44181</v>
      </c>
      <c r="C1988" s="1" t="n">
        <v>45962</v>
      </c>
      <c r="D1988" t="inlineStr">
        <is>
          <t>JÖNKÖPINGS LÄN</t>
        </is>
      </c>
      <c r="E1988" t="inlineStr">
        <is>
          <t>VETLANDA</t>
        </is>
      </c>
      <c r="G1988" t="n">
        <v>1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4293-2022</t>
        </is>
      </c>
      <c r="B1989" s="1" t="n">
        <v>44588.74134259259</v>
      </c>
      <c r="C1989" s="1" t="n">
        <v>45962</v>
      </c>
      <c r="D1989" t="inlineStr">
        <is>
          <t>JÖNKÖPINGS LÄN</t>
        </is>
      </c>
      <c r="E1989" t="inlineStr">
        <is>
          <t>GNOSJÖ</t>
        </is>
      </c>
      <c r="G1989" t="n">
        <v>2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18084-2024</t>
        </is>
      </c>
      <c r="B1990" s="1" t="n">
        <v>45420</v>
      </c>
      <c r="C1990" s="1" t="n">
        <v>45962</v>
      </c>
      <c r="D1990" t="inlineStr">
        <is>
          <t>JÖNKÖPINGS LÄN</t>
        </is>
      </c>
      <c r="E1990" t="inlineStr">
        <is>
          <t>TRANÅS</t>
        </is>
      </c>
      <c r="G1990" t="n">
        <v>1.5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7185-2025</t>
        </is>
      </c>
      <c r="B1991" s="1" t="n">
        <v>45702.42866898148</v>
      </c>
      <c r="C1991" s="1" t="n">
        <v>45962</v>
      </c>
      <c r="D1991" t="inlineStr">
        <is>
          <t>JÖNKÖPINGS LÄN</t>
        </is>
      </c>
      <c r="E1991" t="inlineStr">
        <is>
          <t>GISLAVED</t>
        </is>
      </c>
      <c r="F1991" t="inlineStr">
        <is>
          <t>Sveaskog</t>
        </is>
      </c>
      <c r="G1991" t="n">
        <v>5.4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28774-2024</t>
        </is>
      </c>
      <c r="B1992" s="1" t="n">
        <v>45478</v>
      </c>
      <c r="C1992" s="1" t="n">
        <v>45962</v>
      </c>
      <c r="D1992" t="inlineStr">
        <is>
          <t>JÖNKÖPINGS LÄN</t>
        </is>
      </c>
      <c r="E1992" t="inlineStr">
        <is>
          <t>VETLANDA</t>
        </is>
      </c>
      <c r="G1992" t="n">
        <v>0.5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58095-2024</t>
        </is>
      </c>
      <c r="B1993" s="1" t="n">
        <v>45632.3565625</v>
      </c>
      <c r="C1993" s="1" t="n">
        <v>45962</v>
      </c>
      <c r="D1993" t="inlineStr">
        <is>
          <t>JÖNKÖPINGS LÄN</t>
        </is>
      </c>
      <c r="E1993" t="inlineStr">
        <is>
          <t>EKSJÖ</t>
        </is>
      </c>
      <c r="G1993" t="n">
        <v>0.8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22767-2024</t>
        </is>
      </c>
      <c r="B1994" s="1" t="n">
        <v>45448.45487268519</v>
      </c>
      <c r="C1994" s="1" t="n">
        <v>45962</v>
      </c>
      <c r="D1994" t="inlineStr">
        <is>
          <t>JÖNKÖPINGS LÄN</t>
        </is>
      </c>
      <c r="E1994" t="inlineStr">
        <is>
          <t>VAGGERYD</t>
        </is>
      </c>
      <c r="F1994" t="inlineStr">
        <is>
          <t>Sveaskog</t>
        </is>
      </c>
      <c r="G1994" t="n">
        <v>0.9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4503-2022</t>
        </is>
      </c>
      <c r="B1995" s="1" t="n">
        <v>44589.73825231481</v>
      </c>
      <c r="C1995" s="1" t="n">
        <v>45962</v>
      </c>
      <c r="D1995" t="inlineStr">
        <is>
          <t>JÖNKÖPINGS LÄN</t>
        </is>
      </c>
      <c r="E1995" t="inlineStr">
        <is>
          <t>JÖNKÖPING</t>
        </is>
      </c>
      <c r="G1995" t="n">
        <v>1.1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32344-2024</t>
        </is>
      </c>
      <c r="B1996" s="1" t="n">
        <v>45512.52320601852</v>
      </c>
      <c r="C1996" s="1" t="n">
        <v>45962</v>
      </c>
      <c r="D1996" t="inlineStr">
        <is>
          <t>JÖNKÖPINGS LÄN</t>
        </is>
      </c>
      <c r="E1996" t="inlineStr">
        <is>
          <t>EKSJÖ</t>
        </is>
      </c>
      <c r="G1996" t="n">
        <v>2.1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20356-2023</t>
        </is>
      </c>
      <c r="B1997" s="1" t="n">
        <v>45056.50663194444</v>
      </c>
      <c r="C1997" s="1" t="n">
        <v>45962</v>
      </c>
      <c r="D1997" t="inlineStr">
        <is>
          <t>JÖNKÖPINGS LÄN</t>
        </is>
      </c>
      <c r="E1997" t="inlineStr">
        <is>
          <t>NÄSSJÖ</t>
        </is>
      </c>
      <c r="G1997" t="n">
        <v>0.6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35109-2023</t>
        </is>
      </c>
      <c r="B1998" s="1" t="n">
        <v>45145.47684027778</v>
      </c>
      <c r="C1998" s="1" t="n">
        <v>45962</v>
      </c>
      <c r="D1998" t="inlineStr">
        <is>
          <t>JÖNKÖPINGS LÄN</t>
        </is>
      </c>
      <c r="E1998" t="inlineStr">
        <is>
          <t>JÖNKÖPING</t>
        </is>
      </c>
      <c r="G1998" t="n">
        <v>0.5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16960-2023</t>
        </is>
      </c>
      <c r="B1999" s="1" t="n">
        <v>45033</v>
      </c>
      <c r="C1999" s="1" t="n">
        <v>45962</v>
      </c>
      <c r="D1999" t="inlineStr">
        <is>
          <t>JÖNKÖPINGS LÄN</t>
        </is>
      </c>
      <c r="E1999" t="inlineStr">
        <is>
          <t>ANEBY</t>
        </is>
      </c>
      <c r="G1999" t="n">
        <v>3.2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38155-2024</t>
        </is>
      </c>
      <c r="B2000" s="1" t="n">
        <v>45545.44009259259</v>
      </c>
      <c r="C2000" s="1" t="n">
        <v>45962</v>
      </c>
      <c r="D2000" t="inlineStr">
        <is>
          <t>JÖNKÖPINGS LÄN</t>
        </is>
      </c>
      <c r="E2000" t="inlineStr">
        <is>
          <t>VETLANDA</t>
        </is>
      </c>
      <c r="G2000" t="n">
        <v>1.1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48740-2023</t>
        </is>
      </c>
      <c r="B2001" s="1" t="n">
        <v>45208</v>
      </c>
      <c r="C2001" s="1" t="n">
        <v>45962</v>
      </c>
      <c r="D2001" t="inlineStr">
        <is>
          <t>JÖNKÖPINGS LÄN</t>
        </is>
      </c>
      <c r="E2001" t="inlineStr">
        <is>
          <t>EKSJÖ</t>
        </is>
      </c>
      <c r="G2001" t="n">
        <v>1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40685-2022</t>
        </is>
      </c>
      <c r="B2002" s="1" t="n">
        <v>44824</v>
      </c>
      <c r="C2002" s="1" t="n">
        <v>45962</v>
      </c>
      <c r="D2002" t="inlineStr">
        <is>
          <t>JÖNKÖPINGS LÄN</t>
        </is>
      </c>
      <c r="E2002" t="inlineStr">
        <is>
          <t>VAGGERYD</t>
        </is>
      </c>
      <c r="G2002" t="n">
        <v>5.2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51020-2023</t>
        </is>
      </c>
      <c r="B2003" s="1" t="n">
        <v>45218</v>
      </c>
      <c r="C2003" s="1" t="n">
        <v>45962</v>
      </c>
      <c r="D2003" t="inlineStr">
        <is>
          <t>JÖNKÖPINGS LÄN</t>
        </is>
      </c>
      <c r="E2003" t="inlineStr">
        <is>
          <t>EKSJÖ</t>
        </is>
      </c>
      <c r="G2003" t="n">
        <v>1.6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50889-2022</t>
        </is>
      </c>
      <c r="B2004" s="1" t="n">
        <v>44867.59962962963</v>
      </c>
      <c r="C2004" s="1" t="n">
        <v>45962</v>
      </c>
      <c r="D2004" t="inlineStr">
        <is>
          <t>JÖNKÖPINGS LÄN</t>
        </is>
      </c>
      <c r="E2004" t="inlineStr">
        <is>
          <t>GISLAVED</t>
        </is>
      </c>
      <c r="G2004" t="n">
        <v>3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58390-2023</t>
        </is>
      </c>
      <c r="B2005" s="1" t="n">
        <v>45250</v>
      </c>
      <c r="C2005" s="1" t="n">
        <v>45962</v>
      </c>
      <c r="D2005" t="inlineStr">
        <is>
          <t>JÖNKÖPINGS LÄN</t>
        </is>
      </c>
      <c r="E2005" t="inlineStr">
        <is>
          <t>GISLAVED</t>
        </is>
      </c>
      <c r="G2005" t="n">
        <v>2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58432-2023</t>
        </is>
      </c>
      <c r="B2006" s="1" t="n">
        <v>45250.815</v>
      </c>
      <c r="C2006" s="1" t="n">
        <v>45962</v>
      </c>
      <c r="D2006" t="inlineStr">
        <is>
          <t>JÖNKÖPINGS LÄN</t>
        </is>
      </c>
      <c r="E2006" t="inlineStr">
        <is>
          <t>VETLANDA</t>
        </is>
      </c>
      <c r="G2006" t="n">
        <v>0.6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16850-2025</t>
        </is>
      </c>
      <c r="B2007" s="1" t="n">
        <v>45754.70548611111</v>
      </c>
      <c r="C2007" s="1" t="n">
        <v>45962</v>
      </c>
      <c r="D2007" t="inlineStr">
        <is>
          <t>JÖNKÖPINGS LÄN</t>
        </is>
      </c>
      <c r="E2007" t="inlineStr">
        <is>
          <t>NÄSSJÖ</t>
        </is>
      </c>
      <c r="G2007" t="n">
        <v>0.7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26212-2023</t>
        </is>
      </c>
      <c r="B2008" s="1" t="n">
        <v>45091.55373842592</v>
      </c>
      <c r="C2008" s="1" t="n">
        <v>45962</v>
      </c>
      <c r="D2008" t="inlineStr">
        <is>
          <t>JÖNKÖPINGS LÄN</t>
        </is>
      </c>
      <c r="E2008" t="inlineStr">
        <is>
          <t>HABO</t>
        </is>
      </c>
      <c r="G2008" t="n">
        <v>3.9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26223-2023</t>
        </is>
      </c>
      <c r="B2009" s="1" t="n">
        <v>45091.56835648148</v>
      </c>
      <c r="C2009" s="1" t="n">
        <v>45962</v>
      </c>
      <c r="D2009" t="inlineStr">
        <is>
          <t>JÖNKÖPINGS LÄN</t>
        </is>
      </c>
      <c r="E2009" t="inlineStr">
        <is>
          <t>VETLANDA</t>
        </is>
      </c>
      <c r="G2009" t="n">
        <v>1.1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52201-2023</t>
        </is>
      </c>
      <c r="B2010" s="1" t="n">
        <v>45224.41164351852</v>
      </c>
      <c r="C2010" s="1" t="n">
        <v>45962</v>
      </c>
      <c r="D2010" t="inlineStr">
        <is>
          <t>JÖNKÖPINGS LÄN</t>
        </is>
      </c>
      <c r="E2010" t="inlineStr">
        <is>
          <t>VETLANDA</t>
        </is>
      </c>
      <c r="F2010" t="inlineStr">
        <is>
          <t>Sveaskog</t>
        </is>
      </c>
      <c r="G2010" t="n">
        <v>1.8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30489-2023</t>
        </is>
      </c>
      <c r="B2011" s="1" t="n">
        <v>45111</v>
      </c>
      <c r="C2011" s="1" t="n">
        <v>45962</v>
      </c>
      <c r="D2011" t="inlineStr">
        <is>
          <t>JÖNKÖPINGS LÄN</t>
        </is>
      </c>
      <c r="E2011" t="inlineStr">
        <is>
          <t>JÖNKÖPING</t>
        </is>
      </c>
      <c r="G2011" t="n">
        <v>7.5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17779-2025</t>
        </is>
      </c>
      <c r="B2012" s="1" t="n">
        <v>45758</v>
      </c>
      <c r="C2012" s="1" t="n">
        <v>45962</v>
      </c>
      <c r="D2012" t="inlineStr">
        <is>
          <t>JÖNKÖPINGS LÄN</t>
        </is>
      </c>
      <c r="E2012" t="inlineStr">
        <is>
          <t>SÄVSJÖ</t>
        </is>
      </c>
      <c r="F2012" t="inlineStr">
        <is>
          <t>Kyrkan</t>
        </is>
      </c>
      <c r="G2012" t="n">
        <v>5.8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61284-2024</t>
        </is>
      </c>
      <c r="B2013" s="1" t="n">
        <v>45645</v>
      </c>
      <c r="C2013" s="1" t="n">
        <v>45962</v>
      </c>
      <c r="D2013" t="inlineStr">
        <is>
          <t>JÖNKÖPINGS LÄN</t>
        </is>
      </c>
      <c r="E2013" t="inlineStr">
        <is>
          <t>VETLANDA</t>
        </is>
      </c>
      <c r="G2013" t="n">
        <v>0.7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19431-2025</t>
        </is>
      </c>
      <c r="B2014" s="1" t="n">
        <v>45769.80791666666</v>
      </c>
      <c r="C2014" s="1" t="n">
        <v>45962</v>
      </c>
      <c r="D2014" t="inlineStr">
        <is>
          <t>JÖNKÖPINGS LÄN</t>
        </is>
      </c>
      <c r="E2014" t="inlineStr">
        <is>
          <t>VETLANDA</t>
        </is>
      </c>
      <c r="F2014" t="inlineStr">
        <is>
          <t>Sveaskog</t>
        </is>
      </c>
      <c r="G2014" t="n">
        <v>1.1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39110-2023</t>
        </is>
      </c>
      <c r="B2015" s="1" t="n">
        <v>45164.86072916666</v>
      </c>
      <c r="C2015" s="1" t="n">
        <v>45962</v>
      </c>
      <c r="D2015" t="inlineStr">
        <is>
          <t>JÖNKÖPINGS LÄN</t>
        </is>
      </c>
      <c r="E2015" t="inlineStr">
        <is>
          <t>VETLANDA</t>
        </is>
      </c>
      <c r="G2015" t="n">
        <v>0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19439-2025</t>
        </is>
      </c>
      <c r="B2016" s="1" t="n">
        <v>45770.30033564815</v>
      </c>
      <c r="C2016" s="1" t="n">
        <v>45962</v>
      </c>
      <c r="D2016" t="inlineStr">
        <is>
          <t>JÖNKÖPINGS LÄN</t>
        </is>
      </c>
      <c r="E2016" t="inlineStr">
        <is>
          <t>GNOSJÖ</t>
        </is>
      </c>
      <c r="G2016" t="n">
        <v>1.7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5638-2024</t>
        </is>
      </c>
      <c r="B2017" s="1" t="n">
        <v>45334.61295138889</v>
      </c>
      <c r="C2017" s="1" t="n">
        <v>45962</v>
      </c>
      <c r="D2017" t="inlineStr">
        <is>
          <t>JÖNKÖPINGS LÄN</t>
        </is>
      </c>
      <c r="E2017" t="inlineStr">
        <is>
          <t>EKSJÖ</t>
        </is>
      </c>
      <c r="F2017" t="inlineStr">
        <is>
          <t>Sveaskog</t>
        </is>
      </c>
      <c r="G2017" t="n">
        <v>3.8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5679-2024</t>
        </is>
      </c>
      <c r="B2018" s="1" t="n">
        <v>45334.67164351852</v>
      </c>
      <c r="C2018" s="1" t="n">
        <v>45962</v>
      </c>
      <c r="D2018" t="inlineStr">
        <is>
          <t>JÖNKÖPINGS LÄN</t>
        </is>
      </c>
      <c r="E2018" t="inlineStr">
        <is>
          <t>SÄVSJÖ</t>
        </is>
      </c>
      <c r="G2018" t="n">
        <v>3.7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50190-2024</t>
        </is>
      </c>
      <c r="B2019" s="1" t="n">
        <v>45600.47958333333</v>
      </c>
      <c r="C2019" s="1" t="n">
        <v>45962</v>
      </c>
      <c r="D2019" t="inlineStr">
        <is>
          <t>JÖNKÖPINGS LÄN</t>
        </is>
      </c>
      <c r="E2019" t="inlineStr">
        <is>
          <t>JÖNKÖPING</t>
        </is>
      </c>
      <c r="G2019" t="n">
        <v>0.4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11990-2025</t>
        </is>
      </c>
      <c r="B2020" s="1" t="n">
        <v>45728</v>
      </c>
      <c r="C2020" s="1" t="n">
        <v>45962</v>
      </c>
      <c r="D2020" t="inlineStr">
        <is>
          <t>JÖNKÖPINGS LÄN</t>
        </is>
      </c>
      <c r="E2020" t="inlineStr">
        <is>
          <t>VÄRNAMO</t>
        </is>
      </c>
      <c r="G2020" t="n">
        <v>1.5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11992-2025</t>
        </is>
      </c>
      <c r="B2021" s="1" t="n">
        <v>45728</v>
      </c>
      <c r="C2021" s="1" t="n">
        <v>45962</v>
      </c>
      <c r="D2021" t="inlineStr">
        <is>
          <t>JÖNKÖPINGS LÄN</t>
        </is>
      </c>
      <c r="E2021" t="inlineStr">
        <is>
          <t>VÄRNAMO</t>
        </is>
      </c>
      <c r="G2021" t="n">
        <v>1.1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19362-2025</t>
        </is>
      </c>
      <c r="B2022" s="1" t="n">
        <v>45769</v>
      </c>
      <c r="C2022" s="1" t="n">
        <v>45962</v>
      </c>
      <c r="D2022" t="inlineStr">
        <is>
          <t>JÖNKÖPINGS LÄN</t>
        </is>
      </c>
      <c r="E2022" t="inlineStr">
        <is>
          <t>ANEBY</t>
        </is>
      </c>
      <c r="G2022" t="n">
        <v>1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20384-2024</t>
        </is>
      </c>
      <c r="B2023" s="1" t="n">
        <v>45435</v>
      </c>
      <c r="C2023" s="1" t="n">
        <v>45962</v>
      </c>
      <c r="D2023" t="inlineStr">
        <is>
          <t>JÖNKÖPINGS LÄN</t>
        </is>
      </c>
      <c r="E2023" t="inlineStr">
        <is>
          <t>JÖNKÖPING</t>
        </is>
      </c>
      <c r="F2023" t="inlineStr">
        <is>
          <t>Kyrkan</t>
        </is>
      </c>
      <c r="G2023" t="n">
        <v>0.2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9136-2024</t>
        </is>
      </c>
      <c r="B2024" s="1" t="n">
        <v>45358.36603009259</v>
      </c>
      <c r="C2024" s="1" t="n">
        <v>45962</v>
      </c>
      <c r="D2024" t="inlineStr">
        <is>
          <t>JÖNKÖPINGS LÄN</t>
        </is>
      </c>
      <c r="E2024" t="inlineStr">
        <is>
          <t>GISLAVED</t>
        </is>
      </c>
      <c r="G2024" t="n">
        <v>2.2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11052-2022</t>
        </is>
      </c>
      <c r="B2025" s="1" t="n">
        <v>44628</v>
      </c>
      <c r="C2025" s="1" t="n">
        <v>45962</v>
      </c>
      <c r="D2025" t="inlineStr">
        <is>
          <t>JÖNKÖPINGS LÄN</t>
        </is>
      </c>
      <c r="E2025" t="inlineStr">
        <is>
          <t>JÖNKÖPING</t>
        </is>
      </c>
      <c r="G2025" t="n">
        <v>0.8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9507-2024</t>
        </is>
      </c>
      <c r="B2026" s="1" t="n">
        <v>45359.61893518519</v>
      </c>
      <c r="C2026" s="1" t="n">
        <v>45962</v>
      </c>
      <c r="D2026" t="inlineStr">
        <is>
          <t>JÖNKÖPINGS LÄN</t>
        </is>
      </c>
      <c r="E2026" t="inlineStr">
        <is>
          <t>VAGGERYD</t>
        </is>
      </c>
      <c r="G2026" t="n">
        <v>1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272-2025</t>
        </is>
      </c>
      <c r="B2027" s="1" t="n">
        <v>45660.48642361111</v>
      </c>
      <c r="C2027" s="1" t="n">
        <v>45962</v>
      </c>
      <c r="D2027" t="inlineStr">
        <is>
          <t>JÖNKÖPINGS LÄN</t>
        </is>
      </c>
      <c r="E2027" t="inlineStr">
        <is>
          <t>HABO</t>
        </is>
      </c>
      <c r="G2027" t="n">
        <v>0.7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53962-2024</t>
        </is>
      </c>
      <c r="B2028" s="1" t="n">
        <v>45616.31275462963</v>
      </c>
      <c r="C2028" s="1" t="n">
        <v>45962</v>
      </c>
      <c r="D2028" t="inlineStr">
        <is>
          <t>JÖNKÖPINGS LÄN</t>
        </is>
      </c>
      <c r="E2028" t="inlineStr">
        <is>
          <t>NÄSSJÖ</t>
        </is>
      </c>
      <c r="G2028" t="n">
        <v>1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60679-2024</t>
        </is>
      </c>
      <c r="B2029" s="1" t="n">
        <v>45644.46246527778</v>
      </c>
      <c r="C2029" s="1" t="n">
        <v>45962</v>
      </c>
      <c r="D2029" t="inlineStr">
        <is>
          <t>JÖNKÖPINGS LÄN</t>
        </is>
      </c>
      <c r="E2029" t="inlineStr">
        <is>
          <t>HABO</t>
        </is>
      </c>
      <c r="G2029" t="n">
        <v>1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16091-2025</t>
        </is>
      </c>
      <c r="B2030" s="1" t="n">
        <v>45749.91086805556</v>
      </c>
      <c r="C2030" s="1" t="n">
        <v>45962</v>
      </c>
      <c r="D2030" t="inlineStr">
        <is>
          <t>JÖNKÖPINGS LÄN</t>
        </is>
      </c>
      <c r="E2030" t="inlineStr">
        <is>
          <t>VAGGERYD</t>
        </is>
      </c>
      <c r="F2030" t="inlineStr">
        <is>
          <t>Sveaskog</t>
        </is>
      </c>
      <c r="G2030" t="n">
        <v>2.8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4563-2024</t>
        </is>
      </c>
      <c r="B2031" s="1" t="n">
        <v>45327</v>
      </c>
      <c r="C2031" s="1" t="n">
        <v>45962</v>
      </c>
      <c r="D2031" t="inlineStr">
        <is>
          <t>JÖNKÖPINGS LÄN</t>
        </is>
      </c>
      <c r="E2031" t="inlineStr">
        <is>
          <t>TRANÅS</t>
        </is>
      </c>
      <c r="G2031" t="n">
        <v>6.1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4660-2024</t>
        </is>
      </c>
      <c r="B2032" s="1" t="n">
        <v>45328.46501157407</v>
      </c>
      <c r="C2032" s="1" t="n">
        <v>45962</v>
      </c>
      <c r="D2032" t="inlineStr">
        <is>
          <t>JÖNKÖPINGS LÄN</t>
        </is>
      </c>
      <c r="E2032" t="inlineStr">
        <is>
          <t>GISLAVED</t>
        </is>
      </c>
      <c r="G2032" t="n">
        <v>1.4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16097-2025</t>
        </is>
      </c>
      <c r="B2033" s="1" t="n">
        <v>45749.93467592593</v>
      </c>
      <c r="C2033" s="1" t="n">
        <v>45962</v>
      </c>
      <c r="D2033" t="inlineStr">
        <is>
          <t>JÖNKÖPINGS LÄN</t>
        </is>
      </c>
      <c r="E2033" t="inlineStr">
        <is>
          <t>VAGGERYD</t>
        </is>
      </c>
      <c r="F2033" t="inlineStr">
        <is>
          <t>Sveaskog</t>
        </is>
      </c>
      <c r="G2033" t="n">
        <v>0.6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8938-2024</t>
        </is>
      </c>
      <c r="B2034" s="1" t="n">
        <v>45357.42123842592</v>
      </c>
      <c r="C2034" s="1" t="n">
        <v>45962</v>
      </c>
      <c r="D2034" t="inlineStr">
        <is>
          <t>JÖNKÖPINGS LÄN</t>
        </is>
      </c>
      <c r="E2034" t="inlineStr">
        <is>
          <t>GISLAVED</t>
        </is>
      </c>
      <c r="G2034" t="n">
        <v>1.9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20199-2022</t>
        </is>
      </c>
      <c r="B2035" s="1" t="n">
        <v>44698</v>
      </c>
      <c r="C2035" s="1" t="n">
        <v>45962</v>
      </c>
      <c r="D2035" t="inlineStr">
        <is>
          <t>JÖNKÖPINGS LÄN</t>
        </is>
      </c>
      <c r="E2035" t="inlineStr">
        <is>
          <t>VÄRNAMO</t>
        </is>
      </c>
      <c r="G2035" t="n">
        <v>2.9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20767-2022</t>
        </is>
      </c>
      <c r="B2036" s="1" t="n">
        <v>44700</v>
      </c>
      <c r="C2036" s="1" t="n">
        <v>45962</v>
      </c>
      <c r="D2036" t="inlineStr">
        <is>
          <t>JÖNKÖPINGS LÄN</t>
        </is>
      </c>
      <c r="E2036" t="inlineStr">
        <is>
          <t>ANEBY</t>
        </is>
      </c>
      <c r="G2036" t="n">
        <v>1.1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18268-2025</t>
        </is>
      </c>
      <c r="B2037" s="1" t="n">
        <v>45762.36817129629</v>
      </c>
      <c r="C2037" s="1" t="n">
        <v>45962</v>
      </c>
      <c r="D2037" t="inlineStr">
        <is>
          <t>JÖNKÖPINGS LÄN</t>
        </is>
      </c>
      <c r="E2037" t="inlineStr">
        <is>
          <t>GNOSJÖ</t>
        </is>
      </c>
      <c r="G2037" t="n">
        <v>1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59917-2024</t>
        </is>
      </c>
      <c r="B2038" s="1" t="n">
        <v>45641.84190972222</v>
      </c>
      <c r="C2038" s="1" t="n">
        <v>45962</v>
      </c>
      <c r="D2038" t="inlineStr">
        <is>
          <t>JÖNKÖPINGS LÄN</t>
        </is>
      </c>
      <c r="E2038" t="inlineStr">
        <is>
          <t>HABO</t>
        </is>
      </c>
      <c r="G2038" t="n">
        <v>3.8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60105-2024</t>
        </is>
      </c>
      <c r="B2039" s="1" t="n">
        <v>45642</v>
      </c>
      <c r="C2039" s="1" t="n">
        <v>45962</v>
      </c>
      <c r="D2039" t="inlineStr">
        <is>
          <t>JÖNKÖPINGS LÄN</t>
        </is>
      </c>
      <c r="E2039" t="inlineStr">
        <is>
          <t>VÄRNAMO</t>
        </is>
      </c>
      <c r="G2039" t="n">
        <v>1.6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13981-2023</t>
        </is>
      </c>
      <c r="B2040" s="1" t="n">
        <v>45008.49725694444</v>
      </c>
      <c r="C2040" s="1" t="n">
        <v>45962</v>
      </c>
      <c r="D2040" t="inlineStr">
        <is>
          <t>JÖNKÖPINGS LÄN</t>
        </is>
      </c>
      <c r="E2040" t="inlineStr">
        <is>
          <t>GISLAVED</t>
        </is>
      </c>
      <c r="G2040" t="n">
        <v>0.5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49437-2023</t>
        </is>
      </c>
      <c r="B2041" s="1" t="n">
        <v>45205</v>
      </c>
      <c r="C2041" s="1" t="n">
        <v>45962</v>
      </c>
      <c r="D2041" t="inlineStr">
        <is>
          <t>JÖNKÖPINGS LÄN</t>
        </is>
      </c>
      <c r="E2041" t="inlineStr">
        <is>
          <t>ANEBY</t>
        </is>
      </c>
      <c r="F2041" t="inlineStr">
        <is>
          <t>Övriga Aktiebolag</t>
        </is>
      </c>
      <c r="G2041" t="n">
        <v>4.3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49510-2023</t>
        </is>
      </c>
      <c r="B2042" s="1" t="n">
        <v>45211.58174768519</v>
      </c>
      <c r="C2042" s="1" t="n">
        <v>45962</v>
      </c>
      <c r="D2042" t="inlineStr">
        <is>
          <t>JÖNKÖPINGS LÄN</t>
        </is>
      </c>
      <c r="E2042" t="inlineStr">
        <is>
          <t>VAGGERYD</t>
        </is>
      </c>
      <c r="F2042" t="inlineStr">
        <is>
          <t>Sveaskog</t>
        </is>
      </c>
      <c r="G2042" t="n">
        <v>0.7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9596-2024</t>
        </is>
      </c>
      <c r="B2043" s="1" t="n">
        <v>45360.80607638889</v>
      </c>
      <c r="C2043" s="1" t="n">
        <v>45962</v>
      </c>
      <c r="D2043" t="inlineStr">
        <is>
          <t>JÖNKÖPINGS LÄN</t>
        </is>
      </c>
      <c r="E2043" t="inlineStr">
        <is>
          <t>GISLAVED</t>
        </is>
      </c>
      <c r="G2043" t="n">
        <v>5.8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32329-2023</t>
        </is>
      </c>
      <c r="B2044" s="1" t="n">
        <v>45120</v>
      </c>
      <c r="C2044" s="1" t="n">
        <v>45962</v>
      </c>
      <c r="D2044" t="inlineStr">
        <is>
          <t>JÖNKÖPINGS LÄN</t>
        </is>
      </c>
      <c r="E2044" t="inlineStr">
        <is>
          <t>HABO</t>
        </is>
      </c>
      <c r="G2044" t="n">
        <v>4.8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57933-2020</t>
        </is>
      </c>
      <c r="B2045" s="1" t="n">
        <v>44141</v>
      </c>
      <c r="C2045" s="1" t="n">
        <v>45962</v>
      </c>
      <c r="D2045" t="inlineStr">
        <is>
          <t>JÖNKÖPINGS LÄN</t>
        </is>
      </c>
      <c r="E2045" t="inlineStr">
        <is>
          <t>NÄSSJÖ</t>
        </is>
      </c>
      <c r="G2045" t="n">
        <v>0.7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56563-2023</t>
        </is>
      </c>
      <c r="B2046" s="1" t="n">
        <v>45243.60005787037</v>
      </c>
      <c r="C2046" s="1" t="n">
        <v>45962</v>
      </c>
      <c r="D2046" t="inlineStr">
        <is>
          <t>JÖNKÖPINGS LÄN</t>
        </is>
      </c>
      <c r="E2046" t="inlineStr">
        <is>
          <t>EKSJÖ</t>
        </is>
      </c>
      <c r="G2046" t="n">
        <v>2.7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39532-2024</t>
        </is>
      </c>
      <c r="B2047" s="1" t="n">
        <v>45551</v>
      </c>
      <c r="C2047" s="1" t="n">
        <v>45962</v>
      </c>
      <c r="D2047" t="inlineStr">
        <is>
          <t>JÖNKÖPINGS LÄN</t>
        </is>
      </c>
      <c r="E2047" t="inlineStr">
        <is>
          <t>ANEBY</t>
        </is>
      </c>
      <c r="F2047" t="inlineStr">
        <is>
          <t>Övriga Aktiebolag</t>
        </is>
      </c>
      <c r="G2047" t="n">
        <v>4.1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28751-2022</t>
        </is>
      </c>
      <c r="B2048" s="1" t="n">
        <v>44749.2853125</v>
      </c>
      <c r="C2048" s="1" t="n">
        <v>45962</v>
      </c>
      <c r="D2048" t="inlineStr">
        <is>
          <t>JÖNKÖPINGS LÄN</t>
        </is>
      </c>
      <c r="E2048" t="inlineStr">
        <is>
          <t>GISLAVED</t>
        </is>
      </c>
      <c r="G2048" t="n">
        <v>0.3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28813-2022</t>
        </is>
      </c>
      <c r="B2049" s="1" t="n">
        <v>44749</v>
      </c>
      <c r="C2049" s="1" t="n">
        <v>45962</v>
      </c>
      <c r="D2049" t="inlineStr">
        <is>
          <t>JÖNKÖPINGS LÄN</t>
        </is>
      </c>
      <c r="E2049" t="inlineStr">
        <is>
          <t>HABO</t>
        </is>
      </c>
      <c r="G2049" t="n">
        <v>4.5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28816-2022</t>
        </is>
      </c>
      <c r="B2050" s="1" t="n">
        <v>44749</v>
      </c>
      <c r="C2050" s="1" t="n">
        <v>45962</v>
      </c>
      <c r="D2050" t="inlineStr">
        <is>
          <t>JÖNKÖPINGS LÄN</t>
        </is>
      </c>
      <c r="E2050" t="inlineStr">
        <is>
          <t>HABO</t>
        </is>
      </c>
      <c r="G2050" t="n">
        <v>5.2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15993-2022</t>
        </is>
      </c>
      <c r="B2051" s="1" t="n">
        <v>44665</v>
      </c>
      <c r="C2051" s="1" t="n">
        <v>45962</v>
      </c>
      <c r="D2051" t="inlineStr">
        <is>
          <t>JÖNKÖPINGS LÄN</t>
        </is>
      </c>
      <c r="E2051" t="inlineStr">
        <is>
          <t>NÄSSJÖ</t>
        </is>
      </c>
      <c r="G2051" t="n">
        <v>2.7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17127-2025</t>
        </is>
      </c>
      <c r="B2052" s="1" t="n">
        <v>45755.71290509259</v>
      </c>
      <c r="C2052" s="1" t="n">
        <v>45962</v>
      </c>
      <c r="D2052" t="inlineStr">
        <is>
          <t>JÖNKÖPINGS LÄN</t>
        </is>
      </c>
      <c r="E2052" t="inlineStr">
        <is>
          <t>SÄVSJÖ</t>
        </is>
      </c>
      <c r="G2052" t="n">
        <v>1.1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6201-2024</t>
        </is>
      </c>
      <c r="B2053" s="1" t="n">
        <v>45337.58814814815</v>
      </c>
      <c r="C2053" s="1" t="n">
        <v>45962</v>
      </c>
      <c r="D2053" t="inlineStr">
        <is>
          <t>JÖNKÖPINGS LÄN</t>
        </is>
      </c>
      <c r="E2053" t="inlineStr">
        <is>
          <t>GISLAVED</t>
        </is>
      </c>
      <c r="G2053" t="n">
        <v>1.6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45406-2023</t>
        </is>
      </c>
      <c r="B2054" s="1" t="n">
        <v>45194</v>
      </c>
      <c r="C2054" s="1" t="n">
        <v>45962</v>
      </c>
      <c r="D2054" t="inlineStr">
        <is>
          <t>JÖNKÖPINGS LÄN</t>
        </is>
      </c>
      <c r="E2054" t="inlineStr">
        <is>
          <t>JÖNKÖPING</t>
        </is>
      </c>
      <c r="G2054" t="n">
        <v>0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32581-2021</t>
        </is>
      </c>
      <c r="B2055" s="1" t="n">
        <v>44371</v>
      </c>
      <c r="C2055" s="1" t="n">
        <v>45962</v>
      </c>
      <c r="D2055" t="inlineStr">
        <is>
          <t>JÖNKÖPINGS LÄN</t>
        </is>
      </c>
      <c r="E2055" t="inlineStr">
        <is>
          <t>VETLANDA</t>
        </is>
      </c>
      <c r="G2055" t="n">
        <v>1.2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41226-2021</t>
        </is>
      </c>
      <c r="B2056" s="1" t="n">
        <v>44424</v>
      </c>
      <c r="C2056" s="1" t="n">
        <v>45962</v>
      </c>
      <c r="D2056" t="inlineStr">
        <is>
          <t>JÖNKÖPINGS LÄN</t>
        </is>
      </c>
      <c r="E2056" t="inlineStr">
        <is>
          <t>HABO</t>
        </is>
      </c>
      <c r="G2056" t="n">
        <v>0.5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46901-2023</t>
        </is>
      </c>
      <c r="B2057" s="1" t="n">
        <v>45201</v>
      </c>
      <c r="C2057" s="1" t="n">
        <v>45962</v>
      </c>
      <c r="D2057" t="inlineStr">
        <is>
          <t>JÖNKÖPINGS LÄN</t>
        </is>
      </c>
      <c r="E2057" t="inlineStr">
        <is>
          <t>MULLSJÖ</t>
        </is>
      </c>
      <c r="G2057" t="n">
        <v>1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30152-2023</t>
        </is>
      </c>
      <c r="B2058" s="1" t="n">
        <v>45110.55721064815</v>
      </c>
      <c r="C2058" s="1" t="n">
        <v>45962</v>
      </c>
      <c r="D2058" t="inlineStr">
        <is>
          <t>JÖNKÖPINGS LÄN</t>
        </is>
      </c>
      <c r="E2058" t="inlineStr">
        <is>
          <t>TRANÅS</t>
        </is>
      </c>
      <c r="G2058" t="n">
        <v>1.9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10017-2023</t>
        </is>
      </c>
      <c r="B2059" s="1" t="n">
        <v>44985</v>
      </c>
      <c r="C2059" s="1" t="n">
        <v>45962</v>
      </c>
      <c r="D2059" t="inlineStr">
        <is>
          <t>JÖNKÖPINGS LÄN</t>
        </is>
      </c>
      <c r="E2059" t="inlineStr">
        <is>
          <t>ANEBY</t>
        </is>
      </c>
      <c r="G2059" t="n">
        <v>0.6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25140-2023</t>
        </is>
      </c>
      <c r="B2060" s="1" t="n">
        <v>45086.45991898148</v>
      </c>
      <c r="C2060" s="1" t="n">
        <v>45962</v>
      </c>
      <c r="D2060" t="inlineStr">
        <is>
          <t>JÖNKÖPINGS LÄN</t>
        </is>
      </c>
      <c r="E2060" t="inlineStr">
        <is>
          <t>EKSJÖ</t>
        </is>
      </c>
      <c r="G2060" t="n">
        <v>1.2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49665-2023</t>
        </is>
      </c>
      <c r="B2061" s="1" t="n">
        <v>45212</v>
      </c>
      <c r="C2061" s="1" t="n">
        <v>45962</v>
      </c>
      <c r="D2061" t="inlineStr">
        <is>
          <t>JÖNKÖPINGS LÄN</t>
        </is>
      </c>
      <c r="E2061" t="inlineStr">
        <is>
          <t>NÄSSJÖ</t>
        </is>
      </c>
      <c r="G2061" t="n">
        <v>0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8600-2023</t>
        </is>
      </c>
      <c r="B2062" s="1" t="n">
        <v>44977</v>
      </c>
      <c r="C2062" s="1" t="n">
        <v>45962</v>
      </c>
      <c r="D2062" t="inlineStr">
        <is>
          <t>JÖNKÖPINGS LÄN</t>
        </is>
      </c>
      <c r="E2062" t="inlineStr">
        <is>
          <t>SÄVSJÖ</t>
        </is>
      </c>
      <c r="G2062" t="n">
        <v>1.2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37708-2023</t>
        </is>
      </c>
      <c r="B2063" s="1" t="n">
        <v>45159</v>
      </c>
      <c r="C2063" s="1" t="n">
        <v>45962</v>
      </c>
      <c r="D2063" t="inlineStr">
        <is>
          <t>JÖNKÖPINGS LÄN</t>
        </is>
      </c>
      <c r="E2063" t="inlineStr">
        <is>
          <t>ANEBY</t>
        </is>
      </c>
      <c r="G2063" t="n">
        <v>2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6229-2025</t>
        </is>
      </c>
      <c r="B2064" s="1" t="n">
        <v>45698.54895833333</v>
      </c>
      <c r="C2064" s="1" t="n">
        <v>45962</v>
      </c>
      <c r="D2064" t="inlineStr">
        <is>
          <t>JÖNKÖPINGS LÄN</t>
        </is>
      </c>
      <c r="E2064" t="inlineStr">
        <is>
          <t>HABO</t>
        </is>
      </c>
      <c r="G2064" t="n">
        <v>2.5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32235-2023</t>
        </is>
      </c>
      <c r="B2065" s="1" t="n">
        <v>45119.95571759259</v>
      </c>
      <c r="C2065" s="1" t="n">
        <v>45962</v>
      </c>
      <c r="D2065" t="inlineStr">
        <is>
          <t>JÖNKÖPINGS LÄN</t>
        </is>
      </c>
      <c r="E2065" t="inlineStr">
        <is>
          <t>HABO</t>
        </is>
      </c>
      <c r="G2065" t="n">
        <v>7.1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32236-2023</t>
        </is>
      </c>
      <c r="B2066" s="1" t="n">
        <v>45119.95995370371</v>
      </c>
      <c r="C2066" s="1" t="n">
        <v>45962</v>
      </c>
      <c r="D2066" t="inlineStr">
        <is>
          <t>JÖNKÖPINGS LÄN</t>
        </is>
      </c>
      <c r="E2066" t="inlineStr">
        <is>
          <t>HABO</t>
        </is>
      </c>
      <c r="G2066" t="n">
        <v>1.3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2157-2022</t>
        </is>
      </c>
      <c r="B2067" s="1" t="n">
        <v>44578.43416666667</v>
      </c>
      <c r="C2067" s="1" t="n">
        <v>45962</v>
      </c>
      <c r="D2067" t="inlineStr">
        <is>
          <t>JÖNKÖPINGS LÄN</t>
        </is>
      </c>
      <c r="E2067" t="inlineStr">
        <is>
          <t>GISLAVED</t>
        </is>
      </c>
      <c r="G2067" t="n">
        <v>2.1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58452-2021</t>
        </is>
      </c>
      <c r="B2068" s="1" t="n">
        <v>44488</v>
      </c>
      <c r="C2068" s="1" t="n">
        <v>45962</v>
      </c>
      <c r="D2068" t="inlineStr">
        <is>
          <t>JÖNKÖPINGS LÄN</t>
        </is>
      </c>
      <c r="E2068" t="inlineStr">
        <is>
          <t>HABO</t>
        </is>
      </c>
      <c r="G2068" t="n">
        <v>2.1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58458-2021</t>
        </is>
      </c>
      <c r="B2069" s="1" t="n">
        <v>44488</v>
      </c>
      <c r="C2069" s="1" t="n">
        <v>45962</v>
      </c>
      <c r="D2069" t="inlineStr">
        <is>
          <t>JÖNKÖPINGS LÄN</t>
        </is>
      </c>
      <c r="E2069" t="inlineStr">
        <is>
          <t>HABO</t>
        </is>
      </c>
      <c r="G2069" t="n">
        <v>1.5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9962-2024</t>
        </is>
      </c>
      <c r="B2070" s="1" t="n">
        <v>45363.64902777778</v>
      </c>
      <c r="C2070" s="1" t="n">
        <v>45962</v>
      </c>
      <c r="D2070" t="inlineStr">
        <is>
          <t>JÖNKÖPINGS LÄN</t>
        </is>
      </c>
      <c r="E2070" t="inlineStr">
        <is>
          <t>NÄSSJÖ</t>
        </is>
      </c>
      <c r="F2070" t="inlineStr">
        <is>
          <t>Kommuner</t>
        </is>
      </c>
      <c r="G2070" t="n">
        <v>2.9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9229-2024</t>
        </is>
      </c>
      <c r="B2071" s="1" t="n">
        <v>45357</v>
      </c>
      <c r="C2071" s="1" t="n">
        <v>45962</v>
      </c>
      <c r="D2071" t="inlineStr">
        <is>
          <t>JÖNKÖPINGS LÄN</t>
        </is>
      </c>
      <c r="E2071" t="inlineStr">
        <is>
          <t>VAGGERYD</t>
        </is>
      </c>
      <c r="G2071" t="n">
        <v>0.6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47860-2023</t>
        </is>
      </c>
      <c r="B2072" s="1" t="n">
        <v>45204</v>
      </c>
      <c r="C2072" s="1" t="n">
        <v>45962</v>
      </c>
      <c r="D2072" t="inlineStr">
        <is>
          <t>JÖNKÖPINGS LÄN</t>
        </is>
      </c>
      <c r="E2072" t="inlineStr">
        <is>
          <t>MULLSJÖ</t>
        </is>
      </c>
      <c r="G2072" t="n">
        <v>1.6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34067-2022</t>
        </is>
      </c>
      <c r="B2073" s="1" t="n">
        <v>44791</v>
      </c>
      <c r="C2073" s="1" t="n">
        <v>45962</v>
      </c>
      <c r="D2073" t="inlineStr">
        <is>
          <t>JÖNKÖPINGS LÄN</t>
        </is>
      </c>
      <c r="E2073" t="inlineStr">
        <is>
          <t>GISLAVED</t>
        </is>
      </c>
      <c r="G2073" t="n">
        <v>4.7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14018-2023</t>
        </is>
      </c>
      <c r="B2074" s="1" t="n">
        <v>45008.58983796297</v>
      </c>
      <c r="C2074" s="1" t="n">
        <v>45962</v>
      </c>
      <c r="D2074" t="inlineStr">
        <is>
          <t>JÖNKÖPINGS LÄN</t>
        </is>
      </c>
      <c r="E2074" t="inlineStr">
        <is>
          <t>NÄSSJÖ</t>
        </is>
      </c>
      <c r="G2074" t="n">
        <v>0.9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64524-2020</t>
        </is>
      </c>
      <c r="B2075" s="1" t="n">
        <v>44169</v>
      </c>
      <c r="C2075" s="1" t="n">
        <v>45962</v>
      </c>
      <c r="D2075" t="inlineStr">
        <is>
          <t>JÖNKÖPINGS LÄN</t>
        </is>
      </c>
      <c r="E2075" t="inlineStr">
        <is>
          <t>VETLANDA</t>
        </is>
      </c>
      <c r="G2075" t="n">
        <v>1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59057-2023</t>
        </is>
      </c>
      <c r="B2076" s="1" t="n">
        <v>45252.79550925926</v>
      </c>
      <c r="C2076" s="1" t="n">
        <v>45962</v>
      </c>
      <c r="D2076" t="inlineStr">
        <is>
          <t>JÖNKÖPINGS LÄN</t>
        </is>
      </c>
      <c r="E2076" t="inlineStr">
        <is>
          <t>SÄVSJÖ</t>
        </is>
      </c>
      <c r="G2076" t="n">
        <v>1.8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35948-2022</t>
        </is>
      </c>
      <c r="B2077" s="1" t="n">
        <v>44802</v>
      </c>
      <c r="C2077" s="1" t="n">
        <v>45962</v>
      </c>
      <c r="D2077" t="inlineStr">
        <is>
          <t>JÖNKÖPINGS LÄN</t>
        </is>
      </c>
      <c r="E2077" t="inlineStr">
        <is>
          <t>GISLAVED</t>
        </is>
      </c>
      <c r="G2077" t="n">
        <v>4.5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52236-2021</t>
        </is>
      </c>
      <c r="B2078" s="1" t="n">
        <v>44463.60155092592</v>
      </c>
      <c r="C2078" s="1" t="n">
        <v>45962</v>
      </c>
      <c r="D2078" t="inlineStr">
        <is>
          <t>JÖNKÖPINGS LÄN</t>
        </is>
      </c>
      <c r="E2078" t="inlineStr">
        <is>
          <t>NÄSSJÖ</t>
        </is>
      </c>
      <c r="G2078" t="n">
        <v>2.2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6970-2023</t>
        </is>
      </c>
      <c r="B2079" s="1" t="n">
        <v>44967.6228125</v>
      </c>
      <c r="C2079" s="1" t="n">
        <v>45962</v>
      </c>
      <c r="D2079" t="inlineStr">
        <is>
          <t>JÖNKÖPINGS LÄN</t>
        </is>
      </c>
      <c r="E2079" t="inlineStr">
        <is>
          <t>JÖNKÖPING</t>
        </is>
      </c>
      <c r="G2079" t="n">
        <v>2.3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45213-2023</t>
        </is>
      </c>
      <c r="B2080" s="1" t="n">
        <v>45191</v>
      </c>
      <c r="C2080" s="1" t="n">
        <v>45962</v>
      </c>
      <c r="D2080" t="inlineStr">
        <is>
          <t>JÖNKÖPINGS LÄN</t>
        </is>
      </c>
      <c r="E2080" t="inlineStr">
        <is>
          <t>GISLAVED</t>
        </is>
      </c>
      <c r="G2080" t="n">
        <v>1.1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7357-2025</t>
        </is>
      </c>
      <c r="B2081" s="1" t="n">
        <v>45704</v>
      </c>
      <c r="C2081" s="1" t="n">
        <v>45962</v>
      </c>
      <c r="D2081" t="inlineStr">
        <is>
          <t>JÖNKÖPINGS LÄN</t>
        </is>
      </c>
      <c r="E2081" t="inlineStr">
        <is>
          <t>NÄSSJÖ</t>
        </is>
      </c>
      <c r="G2081" t="n">
        <v>0.4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18604-2025</t>
        </is>
      </c>
      <c r="B2082" s="1" t="n">
        <v>45763.49306712963</v>
      </c>
      <c r="C2082" s="1" t="n">
        <v>45962</v>
      </c>
      <c r="D2082" t="inlineStr">
        <is>
          <t>JÖNKÖPINGS LÄN</t>
        </is>
      </c>
      <c r="E2082" t="inlineStr">
        <is>
          <t>JÖNKÖPING</t>
        </is>
      </c>
      <c r="G2082" t="n">
        <v>1.5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61290-2024</t>
        </is>
      </c>
      <c r="B2083" s="1" t="n">
        <v>45645.81774305556</v>
      </c>
      <c r="C2083" s="1" t="n">
        <v>45962</v>
      </c>
      <c r="D2083" t="inlineStr">
        <is>
          <t>JÖNKÖPINGS LÄN</t>
        </is>
      </c>
      <c r="E2083" t="inlineStr">
        <is>
          <t>VETLANDA</t>
        </is>
      </c>
      <c r="F2083" t="inlineStr">
        <is>
          <t>Sveaskog</t>
        </is>
      </c>
      <c r="G2083" t="n">
        <v>1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60382-2024</t>
        </is>
      </c>
      <c r="B2084" s="1" t="n">
        <v>45643.47644675926</v>
      </c>
      <c r="C2084" s="1" t="n">
        <v>45962</v>
      </c>
      <c r="D2084" t="inlineStr">
        <is>
          <t>JÖNKÖPINGS LÄN</t>
        </is>
      </c>
      <c r="E2084" t="inlineStr">
        <is>
          <t>JÖNKÖPING</t>
        </is>
      </c>
      <c r="G2084" t="n">
        <v>2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61482-2024</t>
        </is>
      </c>
      <c r="B2085" s="1" t="n">
        <v>45646</v>
      </c>
      <c r="C2085" s="1" t="n">
        <v>45962</v>
      </c>
      <c r="D2085" t="inlineStr">
        <is>
          <t>JÖNKÖPINGS LÄN</t>
        </is>
      </c>
      <c r="E2085" t="inlineStr">
        <is>
          <t>SÄVSJÖ</t>
        </is>
      </c>
      <c r="G2085" t="n">
        <v>6.1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30030-2023</t>
        </is>
      </c>
      <c r="B2086" s="1" t="n">
        <v>45110</v>
      </c>
      <c r="C2086" s="1" t="n">
        <v>45962</v>
      </c>
      <c r="D2086" t="inlineStr">
        <is>
          <t>JÖNKÖPINGS LÄN</t>
        </is>
      </c>
      <c r="E2086" t="inlineStr">
        <is>
          <t>GISLAVED</t>
        </is>
      </c>
      <c r="G2086" t="n">
        <v>1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10536-2025</t>
        </is>
      </c>
      <c r="B2087" s="1" t="n">
        <v>45721</v>
      </c>
      <c r="C2087" s="1" t="n">
        <v>45962</v>
      </c>
      <c r="D2087" t="inlineStr">
        <is>
          <t>JÖNKÖPINGS LÄN</t>
        </is>
      </c>
      <c r="E2087" t="inlineStr">
        <is>
          <t>NÄSSJÖ</t>
        </is>
      </c>
      <c r="G2087" t="n">
        <v>4.6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2461-2023</t>
        </is>
      </c>
      <c r="B2088" s="1" t="n">
        <v>44943.4652199074</v>
      </c>
      <c r="C2088" s="1" t="n">
        <v>45962</v>
      </c>
      <c r="D2088" t="inlineStr">
        <is>
          <t>JÖNKÖPINGS LÄN</t>
        </is>
      </c>
      <c r="E2088" t="inlineStr">
        <is>
          <t>JÖNKÖPING</t>
        </is>
      </c>
      <c r="G2088" t="n">
        <v>2.9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2464-2023</t>
        </is>
      </c>
      <c r="B2089" s="1" t="n">
        <v>44943.46980324074</v>
      </c>
      <c r="C2089" s="1" t="n">
        <v>45962</v>
      </c>
      <c r="D2089" t="inlineStr">
        <is>
          <t>JÖNKÖPINGS LÄN</t>
        </is>
      </c>
      <c r="E2089" t="inlineStr">
        <is>
          <t>JÖNKÖPING</t>
        </is>
      </c>
      <c r="G2089" t="n">
        <v>1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46676-2021</t>
        </is>
      </c>
      <c r="B2090" s="1" t="n">
        <v>44445</v>
      </c>
      <c r="C2090" s="1" t="n">
        <v>45962</v>
      </c>
      <c r="D2090" t="inlineStr">
        <is>
          <t>JÖNKÖPINGS LÄN</t>
        </is>
      </c>
      <c r="E2090" t="inlineStr">
        <is>
          <t>VÄRNAMO</t>
        </is>
      </c>
      <c r="G2090" t="n">
        <v>1.5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50495-2022</t>
        </is>
      </c>
      <c r="B2091" s="1" t="n">
        <v>44861</v>
      </c>
      <c r="C2091" s="1" t="n">
        <v>45962</v>
      </c>
      <c r="D2091" t="inlineStr">
        <is>
          <t>JÖNKÖPINGS LÄN</t>
        </is>
      </c>
      <c r="E2091" t="inlineStr">
        <is>
          <t>EKSJÖ</t>
        </is>
      </c>
      <c r="G2091" t="n">
        <v>0.7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3865-2023</t>
        </is>
      </c>
      <c r="B2092" s="1" t="n">
        <v>44951.76560185185</v>
      </c>
      <c r="C2092" s="1" t="n">
        <v>45962</v>
      </c>
      <c r="D2092" t="inlineStr">
        <is>
          <t>JÖNKÖPINGS LÄN</t>
        </is>
      </c>
      <c r="E2092" t="inlineStr">
        <is>
          <t>SÄVSJÖ</t>
        </is>
      </c>
      <c r="G2092" t="n">
        <v>0.5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39362-2023</t>
        </is>
      </c>
      <c r="B2093" s="1" t="n">
        <v>45166.62247685185</v>
      </c>
      <c r="C2093" s="1" t="n">
        <v>45962</v>
      </c>
      <c r="D2093" t="inlineStr">
        <is>
          <t>JÖNKÖPINGS LÄN</t>
        </is>
      </c>
      <c r="E2093" t="inlineStr">
        <is>
          <t>SÄVSJÖ</t>
        </is>
      </c>
      <c r="G2093" t="n">
        <v>0.7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9069-2024</t>
        </is>
      </c>
      <c r="B2094" s="1" t="n">
        <v>45357</v>
      </c>
      <c r="C2094" s="1" t="n">
        <v>45962</v>
      </c>
      <c r="D2094" t="inlineStr">
        <is>
          <t>JÖNKÖPINGS LÄN</t>
        </is>
      </c>
      <c r="E2094" t="inlineStr">
        <is>
          <t>ANEBY</t>
        </is>
      </c>
      <c r="G2094" t="n">
        <v>2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9071-2024</t>
        </is>
      </c>
      <c r="B2095" s="1" t="n">
        <v>45357</v>
      </c>
      <c r="C2095" s="1" t="n">
        <v>45962</v>
      </c>
      <c r="D2095" t="inlineStr">
        <is>
          <t>JÖNKÖPINGS LÄN</t>
        </is>
      </c>
      <c r="E2095" t="inlineStr">
        <is>
          <t>ANEBY</t>
        </is>
      </c>
      <c r="G2095" t="n">
        <v>1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3298-2023</t>
        </is>
      </c>
      <c r="B2096" s="1" t="n">
        <v>44949.38921296296</v>
      </c>
      <c r="C2096" s="1" t="n">
        <v>45962</v>
      </c>
      <c r="D2096" t="inlineStr">
        <is>
          <t>JÖNKÖPINGS LÄN</t>
        </is>
      </c>
      <c r="E2096" t="inlineStr">
        <is>
          <t>EKSJÖ</t>
        </is>
      </c>
      <c r="G2096" t="n">
        <v>2.6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1704-2024</t>
        </is>
      </c>
      <c r="B2097" s="1" t="n">
        <v>45307.38616898148</v>
      </c>
      <c r="C2097" s="1" t="n">
        <v>45962</v>
      </c>
      <c r="D2097" t="inlineStr">
        <is>
          <t>JÖNKÖPINGS LÄN</t>
        </is>
      </c>
      <c r="E2097" t="inlineStr">
        <is>
          <t>VETLANDA</t>
        </is>
      </c>
      <c r="G2097" t="n">
        <v>1.5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37962-2024</t>
        </is>
      </c>
      <c r="B2098" s="1" t="n">
        <v>45544.5402662037</v>
      </c>
      <c r="C2098" s="1" t="n">
        <v>45962</v>
      </c>
      <c r="D2098" t="inlineStr">
        <is>
          <t>JÖNKÖPINGS LÄN</t>
        </is>
      </c>
      <c r="E2098" t="inlineStr">
        <is>
          <t>GNOSJÖ</t>
        </is>
      </c>
      <c r="G2098" t="n">
        <v>0.9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37963-2024</t>
        </is>
      </c>
      <c r="B2099" s="1" t="n">
        <v>45544.54657407408</v>
      </c>
      <c r="C2099" s="1" t="n">
        <v>45962</v>
      </c>
      <c r="D2099" t="inlineStr">
        <is>
          <t>JÖNKÖPINGS LÄN</t>
        </is>
      </c>
      <c r="E2099" t="inlineStr">
        <is>
          <t>GNOSJÖ</t>
        </is>
      </c>
      <c r="G2099" t="n">
        <v>5.3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34738-2021</t>
        </is>
      </c>
      <c r="B2100" s="1" t="n">
        <v>44382.66885416667</v>
      </c>
      <c r="C2100" s="1" t="n">
        <v>45962</v>
      </c>
      <c r="D2100" t="inlineStr">
        <is>
          <t>JÖNKÖPINGS LÄN</t>
        </is>
      </c>
      <c r="E2100" t="inlineStr">
        <is>
          <t>HABO</t>
        </is>
      </c>
      <c r="G2100" t="n">
        <v>1.2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47427-2024</t>
        </is>
      </c>
      <c r="B2101" s="1" t="n">
        <v>45587.49814814814</v>
      </c>
      <c r="C2101" s="1" t="n">
        <v>45962</v>
      </c>
      <c r="D2101" t="inlineStr">
        <is>
          <t>JÖNKÖPINGS LÄN</t>
        </is>
      </c>
      <c r="E2101" t="inlineStr">
        <is>
          <t>JÖNKÖPING</t>
        </is>
      </c>
      <c r="G2101" t="n">
        <v>1.8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49725-2021</t>
        </is>
      </c>
      <c r="B2102" s="1" t="n">
        <v>44455.52289351852</v>
      </c>
      <c r="C2102" s="1" t="n">
        <v>45962</v>
      </c>
      <c r="D2102" t="inlineStr">
        <is>
          <t>JÖNKÖPINGS LÄN</t>
        </is>
      </c>
      <c r="E2102" t="inlineStr">
        <is>
          <t>GNOSJÖ</t>
        </is>
      </c>
      <c r="G2102" t="n">
        <v>1.8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60135-2024</t>
        </is>
      </c>
      <c r="B2103" s="1" t="n">
        <v>45642.60125</v>
      </c>
      <c r="C2103" s="1" t="n">
        <v>45962</v>
      </c>
      <c r="D2103" t="inlineStr">
        <is>
          <t>JÖNKÖPINGS LÄN</t>
        </is>
      </c>
      <c r="E2103" t="inlineStr">
        <is>
          <t>JÖNKÖPING</t>
        </is>
      </c>
      <c r="G2103" t="n">
        <v>1.8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16855-2025</t>
        </is>
      </c>
      <c r="B2104" s="1" t="n">
        <v>45754.76953703703</v>
      </c>
      <c r="C2104" s="1" t="n">
        <v>45962</v>
      </c>
      <c r="D2104" t="inlineStr">
        <is>
          <t>JÖNKÖPINGS LÄN</t>
        </is>
      </c>
      <c r="E2104" t="inlineStr">
        <is>
          <t>SÄVSJÖ</t>
        </is>
      </c>
      <c r="G2104" t="n">
        <v>3.9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54477-2022</t>
        </is>
      </c>
      <c r="B2105" s="1" t="n">
        <v>44882</v>
      </c>
      <c r="C2105" s="1" t="n">
        <v>45962</v>
      </c>
      <c r="D2105" t="inlineStr">
        <is>
          <t>JÖNKÖPINGS LÄN</t>
        </is>
      </c>
      <c r="E2105" t="inlineStr">
        <is>
          <t>VÄRNAMO</t>
        </is>
      </c>
      <c r="G2105" t="n">
        <v>1.1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46577-2022</t>
        </is>
      </c>
      <c r="B2106" s="1" t="n">
        <v>44848</v>
      </c>
      <c r="C2106" s="1" t="n">
        <v>45962</v>
      </c>
      <c r="D2106" t="inlineStr">
        <is>
          <t>JÖNKÖPINGS LÄN</t>
        </is>
      </c>
      <c r="E2106" t="inlineStr">
        <is>
          <t>EKSJÖ</t>
        </is>
      </c>
      <c r="G2106" t="n">
        <v>2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46580-2022</t>
        </is>
      </c>
      <c r="B2107" s="1" t="n">
        <v>44848.67672453704</v>
      </c>
      <c r="C2107" s="1" t="n">
        <v>45962</v>
      </c>
      <c r="D2107" t="inlineStr">
        <is>
          <t>JÖNKÖPINGS LÄN</t>
        </is>
      </c>
      <c r="E2107" t="inlineStr">
        <is>
          <t>NÄSSJÖ</t>
        </is>
      </c>
      <c r="G2107" t="n">
        <v>2.2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46582-2022</t>
        </is>
      </c>
      <c r="B2108" s="1" t="n">
        <v>44848.67853009259</v>
      </c>
      <c r="C2108" s="1" t="n">
        <v>45962</v>
      </c>
      <c r="D2108" t="inlineStr">
        <is>
          <t>JÖNKÖPINGS LÄN</t>
        </is>
      </c>
      <c r="E2108" t="inlineStr">
        <is>
          <t>NÄSSJÖ</t>
        </is>
      </c>
      <c r="G2108" t="n">
        <v>4.3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51160-2021</t>
        </is>
      </c>
      <c r="B2109" s="1" t="n">
        <v>44461</v>
      </c>
      <c r="C2109" s="1" t="n">
        <v>45962</v>
      </c>
      <c r="D2109" t="inlineStr">
        <is>
          <t>JÖNKÖPINGS LÄN</t>
        </is>
      </c>
      <c r="E2109" t="inlineStr">
        <is>
          <t>ANEBY</t>
        </is>
      </c>
      <c r="G2109" t="n">
        <v>0.5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55696-2024</t>
        </is>
      </c>
      <c r="B2110" s="1" t="n">
        <v>45622.68585648148</v>
      </c>
      <c r="C2110" s="1" t="n">
        <v>45962</v>
      </c>
      <c r="D2110" t="inlineStr">
        <is>
          <t>JÖNKÖPINGS LÄN</t>
        </is>
      </c>
      <c r="E2110" t="inlineStr">
        <is>
          <t>NÄSSJÖ</t>
        </is>
      </c>
      <c r="G2110" t="n">
        <v>2.1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50019-2024</t>
        </is>
      </c>
      <c r="B2111" s="1" t="n">
        <v>45599.49332175926</v>
      </c>
      <c r="C2111" s="1" t="n">
        <v>45962</v>
      </c>
      <c r="D2111" t="inlineStr">
        <is>
          <t>JÖNKÖPINGS LÄN</t>
        </is>
      </c>
      <c r="E2111" t="inlineStr">
        <is>
          <t>GISLAVED</t>
        </is>
      </c>
      <c r="G2111" t="n">
        <v>13.7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26208-2022</t>
        </is>
      </c>
      <c r="B2112" s="1" t="n">
        <v>44734</v>
      </c>
      <c r="C2112" s="1" t="n">
        <v>45962</v>
      </c>
      <c r="D2112" t="inlineStr">
        <is>
          <t>JÖNKÖPINGS LÄN</t>
        </is>
      </c>
      <c r="E2112" t="inlineStr">
        <is>
          <t>JÖNKÖPING</t>
        </is>
      </c>
      <c r="F2112" t="inlineStr">
        <is>
          <t>Kyrkan</t>
        </is>
      </c>
      <c r="G2112" t="n">
        <v>0.5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25513-2023</t>
        </is>
      </c>
      <c r="B2113" s="1" t="n">
        <v>45089</v>
      </c>
      <c r="C2113" s="1" t="n">
        <v>45962</v>
      </c>
      <c r="D2113" t="inlineStr">
        <is>
          <t>JÖNKÖPINGS LÄN</t>
        </is>
      </c>
      <c r="E2113" t="inlineStr">
        <is>
          <t>ANEBY</t>
        </is>
      </c>
      <c r="G2113" t="n">
        <v>1.6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10207-2025</t>
        </is>
      </c>
      <c r="B2114" s="1" t="n">
        <v>45719</v>
      </c>
      <c r="C2114" s="1" t="n">
        <v>45962</v>
      </c>
      <c r="D2114" t="inlineStr">
        <is>
          <t>JÖNKÖPINGS LÄN</t>
        </is>
      </c>
      <c r="E2114" t="inlineStr">
        <is>
          <t>MULLSJÖ</t>
        </is>
      </c>
      <c r="G2114" t="n">
        <v>1.3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35756-2024</t>
        </is>
      </c>
      <c r="B2115" s="1" t="n">
        <v>45532.56739583334</v>
      </c>
      <c r="C2115" s="1" t="n">
        <v>45962</v>
      </c>
      <c r="D2115" t="inlineStr">
        <is>
          <t>JÖNKÖPINGS LÄN</t>
        </is>
      </c>
      <c r="E2115" t="inlineStr">
        <is>
          <t>VETLANDA</t>
        </is>
      </c>
      <c r="G2115" t="n">
        <v>0.7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10436-2025</t>
        </is>
      </c>
      <c r="B2116" s="1" t="n">
        <v>45720.67452546296</v>
      </c>
      <c r="C2116" s="1" t="n">
        <v>45962</v>
      </c>
      <c r="D2116" t="inlineStr">
        <is>
          <t>JÖNKÖPINGS LÄN</t>
        </is>
      </c>
      <c r="E2116" t="inlineStr">
        <is>
          <t>NÄSSJÖ</t>
        </is>
      </c>
      <c r="G2116" t="n">
        <v>0.2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32871-2021</t>
        </is>
      </c>
      <c r="B2117" s="1" t="n">
        <v>44375</v>
      </c>
      <c r="C2117" s="1" t="n">
        <v>45962</v>
      </c>
      <c r="D2117" t="inlineStr">
        <is>
          <t>JÖNKÖPINGS LÄN</t>
        </is>
      </c>
      <c r="E2117" t="inlineStr">
        <is>
          <t>TRANÅS</t>
        </is>
      </c>
      <c r="G2117" t="n">
        <v>0.4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16016-2023</t>
        </is>
      </c>
      <c r="B2118" s="1" t="n">
        <v>45026</v>
      </c>
      <c r="C2118" s="1" t="n">
        <v>45962</v>
      </c>
      <c r="D2118" t="inlineStr">
        <is>
          <t>JÖNKÖPINGS LÄN</t>
        </is>
      </c>
      <c r="E2118" t="inlineStr">
        <is>
          <t>GISLAVED</t>
        </is>
      </c>
      <c r="G2118" t="n">
        <v>1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8439-2021</t>
        </is>
      </c>
      <c r="B2119" s="1" t="n">
        <v>44245</v>
      </c>
      <c r="C2119" s="1" t="n">
        <v>45962</v>
      </c>
      <c r="D2119" t="inlineStr">
        <is>
          <t>JÖNKÖPINGS LÄN</t>
        </is>
      </c>
      <c r="E2119" t="inlineStr">
        <is>
          <t>SÄVSJÖ</t>
        </is>
      </c>
      <c r="G2119" t="n">
        <v>1.2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8470-2021</t>
        </is>
      </c>
      <c r="B2120" s="1" t="n">
        <v>44245</v>
      </c>
      <c r="C2120" s="1" t="n">
        <v>45962</v>
      </c>
      <c r="D2120" t="inlineStr">
        <is>
          <t>JÖNKÖPINGS LÄN</t>
        </is>
      </c>
      <c r="E2120" t="inlineStr">
        <is>
          <t>GISLAVED</t>
        </is>
      </c>
      <c r="G2120" t="n">
        <v>2.3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13915-2023</t>
        </is>
      </c>
      <c r="B2121" s="1" t="n">
        <v>45008</v>
      </c>
      <c r="C2121" s="1" t="n">
        <v>45962</v>
      </c>
      <c r="D2121" t="inlineStr">
        <is>
          <t>JÖNKÖPINGS LÄN</t>
        </is>
      </c>
      <c r="E2121" t="inlineStr">
        <is>
          <t>GISLAVED</t>
        </is>
      </c>
      <c r="G2121" t="n">
        <v>3.8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22536-2023</t>
        </is>
      </c>
      <c r="B2122" s="1" t="n">
        <v>45071.42814814814</v>
      </c>
      <c r="C2122" s="1" t="n">
        <v>45962</v>
      </c>
      <c r="D2122" t="inlineStr">
        <is>
          <t>JÖNKÖPINGS LÄN</t>
        </is>
      </c>
      <c r="E2122" t="inlineStr">
        <is>
          <t>VETLANDA</t>
        </is>
      </c>
      <c r="G2122" t="n">
        <v>0.7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2202-2024</t>
        </is>
      </c>
      <c r="B2123" s="1" t="n">
        <v>45309</v>
      </c>
      <c r="C2123" s="1" t="n">
        <v>45962</v>
      </c>
      <c r="D2123" t="inlineStr">
        <is>
          <t>JÖNKÖPINGS LÄN</t>
        </is>
      </c>
      <c r="E2123" t="inlineStr">
        <is>
          <t>VETLANDA</t>
        </is>
      </c>
      <c r="G2123" t="n">
        <v>0.1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2203-2024</t>
        </is>
      </c>
      <c r="B2124" s="1" t="n">
        <v>45309</v>
      </c>
      <c r="C2124" s="1" t="n">
        <v>45962</v>
      </c>
      <c r="D2124" t="inlineStr">
        <is>
          <t>JÖNKÖPINGS LÄN</t>
        </is>
      </c>
      <c r="E2124" t="inlineStr">
        <is>
          <t>VETLANDA</t>
        </is>
      </c>
      <c r="G2124" t="n">
        <v>0.1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2218-2024</t>
        </is>
      </c>
      <c r="B2125" s="1" t="n">
        <v>45309</v>
      </c>
      <c r="C2125" s="1" t="n">
        <v>45962</v>
      </c>
      <c r="D2125" t="inlineStr">
        <is>
          <t>JÖNKÖPINGS LÄN</t>
        </is>
      </c>
      <c r="E2125" t="inlineStr">
        <is>
          <t>NÄSSJÖ</t>
        </is>
      </c>
      <c r="G2125" t="n">
        <v>1.7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42880-2023</t>
        </is>
      </c>
      <c r="B2126" s="1" t="n">
        <v>45182.45072916667</v>
      </c>
      <c r="C2126" s="1" t="n">
        <v>45962</v>
      </c>
      <c r="D2126" t="inlineStr">
        <is>
          <t>JÖNKÖPINGS LÄN</t>
        </is>
      </c>
      <c r="E2126" t="inlineStr">
        <is>
          <t>VETLANDA</t>
        </is>
      </c>
      <c r="F2126" t="inlineStr">
        <is>
          <t>Sveaskog</t>
        </is>
      </c>
      <c r="G2126" t="n">
        <v>0.9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586-2023</t>
        </is>
      </c>
      <c r="B2127" s="1" t="n">
        <v>44925</v>
      </c>
      <c r="C2127" s="1" t="n">
        <v>45962</v>
      </c>
      <c r="D2127" t="inlineStr">
        <is>
          <t>JÖNKÖPINGS LÄN</t>
        </is>
      </c>
      <c r="E2127" t="inlineStr">
        <is>
          <t>EKSJÖ</t>
        </is>
      </c>
      <c r="G2127" t="n">
        <v>4.5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51136-2023</t>
        </is>
      </c>
      <c r="B2128" s="1" t="n">
        <v>45219</v>
      </c>
      <c r="C2128" s="1" t="n">
        <v>45962</v>
      </c>
      <c r="D2128" t="inlineStr">
        <is>
          <t>JÖNKÖPINGS LÄN</t>
        </is>
      </c>
      <c r="E2128" t="inlineStr">
        <is>
          <t>NÄSSJÖ</t>
        </is>
      </c>
      <c r="G2128" t="n">
        <v>0.9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30617-2023</t>
        </is>
      </c>
      <c r="B2129" s="1" t="n">
        <v>45112.41413194445</v>
      </c>
      <c r="C2129" s="1" t="n">
        <v>45962</v>
      </c>
      <c r="D2129" t="inlineStr">
        <is>
          <t>JÖNKÖPINGS LÄN</t>
        </is>
      </c>
      <c r="E2129" t="inlineStr">
        <is>
          <t>VÄRNAMO</t>
        </is>
      </c>
      <c r="G2129" t="n">
        <v>2.8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18514-2025</t>
        </is>
      </c>
      <c r="B2130" s="1" t="n">
        <v>45763.38681712963</v>
      </c>
      <c r="C2130" s="1" t="n">
        <v>45962</v>
      </c>
      <c r="D2130" t="inlineStr">
        <is>
          <t>JÖNKÖPINGS LÄN</t>
        </is>
      </c>
      <c r="E2130" t="inlineStr">
        <is>
          <t>VETLANDA</t>
        </is>
      </c>
      <c r="G2130" t="n">
        <v>1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54424-2024</t>
        </is>
      </c>
      <c r="B2131" s="1" t="n">
        <v>45617.48947916667</v>
      </c>
      <c r="C2131" s="1" t="n">
        <v>45962</v>
      </c>
      <c r="D2131" t="inlineStr">
        <is>
          <t>JÖNKÖPINGS LÄN</t>
        </is>
      </c>
      <c r="E2131" t="inlineStr">
        <is>
          <t>JÖNKÖPING</t>
        </is>
      </c>
      <c r="G2131" t="n">
        <v>6.2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12720-2025</t>
        </is>
      </c>
      <c r="B2132" s="1" t="n">
        <v>45733</v>
      </c>
      <c r="C2132" s="1" t="n">
        <v>45962</v>
      </c>
      <c r="D2132" t="inlineStr">
        <is>
          <t>JÖNKÖPINGS LÄN</t>
        </is>
      </c>
      <c r="E2132" t="inlineStr">
        <is>
          <t>NÄSSJÖ</t>
        </is>
      </c>
      <c r="G2132" t="n">
        <v>3.1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9305-2022</t>
        </is>
      </c>
      <c r="B2133" s="1" t="n">
        <v>44616.4834375</v>
      </c>
      <c r="C2133" s="1" t="n">
        <v>45962</v>
      </c>
      <c r="D2133" t="inlineStr">
        <is>
          <t>JÖNKÖPINGS LÄN</t>
        </is>
      </c>
      <c r="E2133" t="inlineStr">
        <is>
          <t>VÄRNAMO</t>
        </is>
      </c>
      <c r="G2133" t="n">
        <v>1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497-2025</t>
        </is>
      </c>
      <c r="B2134" s="1" t="n">
        <v>45664.46604166667</v>
      </c>
      <c r="C2134" s="1" t="n">
        <v>45962</v>
      </c>
      <c r="D2134" t="inlineStr">
        <is>
          <t>JÖNKÖPINGS LÄN</t>
        </is>
      </c>
      <c r="E2134" t="inlineStr">
        <is>
          <t>VETLANDA</t>
        </is>
      </c>
      <c r="G2134" t="n">
        <v>6.4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499-2025</t>
        </is>
      </c>
      <c r="B2135" s="1" t="n">
        <v>45664.46695601852</v>
      </c>
      <c r="C2135" s="1" t="n">
        <v>45962</v>
      </c>
      <c r="D2135" t="inlineStr">
        <is>
          <t>JÖNKÖPINGS LÄN</t>
        </is>
      </c>
      <c r="E2135" t="inlineStr">
        <is>
          <t>VÄRNAMO</t>
        </is>
      </c>
      <c r="G2135" t="n">
        <v>2.2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36690-2024</t>
        </is>
      </c>
      <c r="B2136" s="1" t="n">
        <v>45537.66780092593</v>
      </c>
      <c r="C2136" s="1" t="n">
        <v>45962</v>
      </c>
      <c r="D2136" t="inlineStr">
        <is>
          <t>JÖNKÖPINGS LÄN</t>
        </is>
      </c>
      <c r="E2136" t="inlineStr">
        <is>
          <t>ANEBY</t>
        </is>
      </c>
      <c r="G2136" t="n">
        <v>0.9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60243-2024</t>
        </is>
      </c>
      <c r="B2137" s="1" t="n">
        <v>45642.8053125</v>
      </c>
      <c r="C2137" s="1" t="n">
        <v>45962</v>
      </c>
      <c r="D2137" t="inlineStr">
        <is>
          <t>JÖNKÖPINGS LÄN</t>
        </is>
      </c>
      <c r="E2137" t="inlineStr">
        <is>
          <t>JÖNKÖPING</t>
        </is>
      </c>
      <c r="F2137" t="inlineStr">
        <is>
          <t>Sveaskog</t>
        </is>
      </c>
      <c r="G2137" t="n">
        <v>8.800000000000001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60284-2024</t>
        </is>
      </c>
      <c r="B2138" s="1" t="n">
        <v>45642.92393518519</v>
      </c>
      <c r="C2138" s="1" t="n">
        <v>45962</v>
      </c>
      <c r="D2138" t="inlineStr">
        <is>
          <t>JÖNKÖPINGS LÄN</t>
        </is>
      </c>
      <c r="E2138" t="inlineStr">
        <is>
          <t>JÖNKÖPING</t>
        </is>
      </c>
      <c r="G2138" t="n">
        <v>1.7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13912-2024</t>
        </is>
      </c>
      <c r="B2139" s="1" t="n">
        <v>45391.76744212963</v>
      </c>
      <c r="C2139" s="1" t="n">
        <v>45962</v>
      </c>
      <c r="D2139" t="inlineStr">
        <is>
          <t>JÖNKÖPINGS LÄN</t>
        </is>
      </c>
      <c r="E2139" t="inlineStr">
        <is>
          <t>NÄSSJÖ</t>
        </is>
      </c>
      <c r="G2139" t="n">
        <v>1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13914-2024</t>
        </is>
      </c>
      <c r="B2140" s="1" t="n">
        <v>45391.76984953704</v>
      </c>
      <c r="C2140" s="1" t="n">
        <v>45962</v>
      </c>
      <c r="D2140" t="inlineStr">
        <is>
          <t>JÖNKÖPINGS LÄN</t>
        </is>
      </c>
      <c r="E2140" t="inlineStr">
        <is>
          <t>NÄSSJÖ</t>
        </is>
      </c>
      <c r="G2140" t="n">
        <v>3.2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36503-2024</t>
        </is>
      </c>
      <c r="B2141" s="1" t="n">
        <v>45537.41435185185</v>
      </c>
      <c r="C2141" s="1" t="n">
        <v>45962</v>
      </c>
      <c r="D2141" t="inlineStr">
        <is>
          <t>JÖNKÖPINGS LÄN</t>
        </is>
      </c>
      <c r="E2141" t="inlineStr">
        <is>
          <t>EKSJÖ</t>
        </is>
      </c>
      <c r="G2141" t="n">
        <v>1.9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27264-2023</t>
        </is>
      </c>
      <c r="B2142" s="1" t="n">
        <v>45096</v>
      </c>
      <c r="C2142" s="1" t="n">
        <v>45962</v>
      </c>
      <c r="D2142" t="inlineStr">
        <is>
          <t>JÖNKÖPINGS LÄN</t>
        </is>
      </c>
      <c r="E2142" t="inlineStr">
        <is>
          <t>GNOSJÖ</t>
        </is>
      </c>
      <c r="G2142" t="n">
        <v>1.4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73309-2021</t>
        </is>
      </c>
      <c r="B2143" s="1" t="n">
        <v>44551</v>
      </c>
      <c r="C2143" s="1" t="n">
        <v>45962</v>
      </c>
      <c r="D2143" t="inlineStr">
        <is>
          <t>JÖNKÖPINGS LÄN</t>
        </is>
      </c>
      <c r="E2143" t="inlineStr">
        <is>
          <t>VAGGERYD</t>
        </is>
      </c>
      <c r="G2143" t="n">
        <v>0.6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31788-2023</t>
        </is>
      </c>
      <c r="B2144" s="1" t="n">
        <v>45118.42115740741</v>
      </c>
      <c r="C2144" s="1" t="n">
        <v>45962</v>
      </c>
      <c r="D2144" t="inlineStr">
        <is>
          <t>JÖNKÖPINGS LÄN</t>
        </is>
      </c>
      <c r="E2144" t="inlineStr">
        <is>
          <t>SÄVSJÖ</t>
        </is>
      </c>
      <c r="G2144" t="n">
        <v>1.2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39013-2023</t>
        </is>
      </c>
      <c r="B2145" s="1" t="n">
        <v>45163.7199537037</v>
      </c>
      <c r="C2145" s="1" t="n">
        <v>45962</v>
      </c>
      <c r="D2145" t="inlineStr">
        <is>
          <t>JÖNKÖPINGS LÄN</t>
        </is>
      </c>
      <c r="E2145" t="inlineStr">
        <is>
          <t>GISLAVED</t>
        </is>
      </c>
      <c r="F2145" t="inlineStr">
        <is>
          <t>Sveaskog</t>
        </is>
      </c>
      <c r="G2145" t="n">
        <v>3.2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40442-2022</t>
        </is>
      </c>
      <c r="B2146" s="1" t="n">
        <v>44823</v>
      </c>
      <c r="C2146" s="1" t="n">
        <v>45962</v>
      </c>
      <c r="D2146" t="inlineStr">
        <is>
          <t>JÖNKÖPINGS LÄN</t>
        </is>
      </c>
      <c r="E2146" t="inlineStr">
        <is>
          <t>TRANÅS</t>
        </is>
      </c>
      <c r="G2146" t="n">
        <v>0.7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4151-2025</t>
        </is>
      </c>
      <c r="B2147" s="1" t="n">
        <v>45685</v>
      </c>
      <c r="C2147" s="1" t="n">
        <v>45962</v>
      </c>
      <c r="D2147" t="inlineStr">
        <is>
          <t>JÖNKÖPINGS LÄN</t>
        </is>
      </c>
      <c r="E2147" t="inlineStr">
        <is>
          <t>SÄVSJÖ</t>
        </is>
      </c>
      <c r="G2147" t="n">
        <v>1.5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1208-2025</t>
        </is>
      </c>
      <c r="B2148" s="1" t="n">
        <v>45667</v>
      </c>
      <c r="C2148" s="1" t="n">
        <v>45962</v>
      </c>
      <c r="D2148" t="inlineStr">
        <is>
          <t>JÖNKÖPINGS LÄN</t>
        </is>
      </c>
      <c r="E2148" t="inlineStr">
        <is>
          <t>VÄRNAMO</t>
        </is>
      </c>
      <c r="G2148" t="n">
        <v>6.1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45787-2023</t>
        </is>
      </c>
      <c r="B2149" s="1" t="n">
        <v>45195</v>
      </c>
      <c r="C2149" s="1" t="n">
        <v>45962</v>
      </c>
      <c r="D2149" t="inlineStr">
        <is>
          <t>JÖNKÖPINGS LÄN</t>
        </is>
      </c>
      <c r="E2149" t="inlineStr">
        <is>
          <t>TRANÅS</t>
        </is>
      </c>
      <c r="G2149" t="n">
        <v>9.300000000000001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1958-2025</t>
        </is>
      </c>
      <c r="B2150" s="1" t="n">
        <v>45672.35665509259</v>
      </c>
      <c r="C2150" s="1" t="n">
        <v>45962</v>
      </c>
      <c r="D2150" t="inlineStr">
        <is>
          <t>JÖNKÖPINGS LÄN</t>
        </is>
      </c>
      <c r="E2150" t="inlineStr">
        <is>
          <t>VETLANDA</t>
        </is>
      </c>
      <c r="G2150" t="n">
        <v>1.2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22111-2022</t>
        </is>
      </c>
      <c r="B2151" s="1" t="n">
        <v>44711.95481481482</v>
      </c>
      <c r="C2151" s="1" t="n">
        <v>45962</v>
      </c>
      <c r="D2151" t="inlineStr">
        <is>
          <t>JÖNKÖPINGS LÄN</t>
        </is>
      </c>
      <c r="E2151" t="inlineStr">
        <is>
          <t>GISLAVED</t>
        </is>
      </c>
      <c r="G2151" t="n">
        <v>0.4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15400-2025</t>
        </is>
      </c>
      <c r="B2152" s="1" t="n">
        <v>45747.44326388889</v>
      </c>
      <c r="C2152" s="1" t="n">
        <v>45962</v>
      </c>
      <c r="D2152" t="inlineStr">
        <is>
          <t>JÖNKÖPINGS LÄN</t>
        </is>
      </c>
      <c r="E2152" t="inlineStr">
        <is>
          <t>SÄVSJÖ</t>
        </is>
      </c>
      <c r="G2152" t="n">
        <v>1.1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47733-2023</t>
        </is>
      </c>
      <c r="B2153" s="1" t="n">
        <v>45198</v>
      </c>
      <c r="C2153" s="1" t="n">
        <v>45962</v>
      </c>
      <c r="D2153" t="inlineStr">
        <is>
          <t>JÖNKÖPINGS LÄN</t>
        </is>
      </c>
      <c r="E2153" t="inlineStr">
        <is>
          <t>VÄRNAMO</t>
        </is>
      </c>
      <c r="F2153" t="inlineStr">
        <is>
          <t>Kyrkan</t>
        </is>
      </c>
      <c r="G2153" t="n">
        <v>2.8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15315-2025</t>
        </is>
      </c>
      <c r="B2154" s="1" t="n">
        <v>45747.30204861111</v>
      </c>
      <c r="C2154" s="1" t="n">
        <v>45962</v>
      </c>
      <c r="D2154" t="inlineStr">
        <is>
          <t>JÖNKÖPINGS LÄN</t>
        </is>
      </c>
      <c r="E2154" t="inlineStr">
        <is>
          <t>JÖNKÖPING</t>
        </is>
      </c>
      <c r="G2154" t="n">
        <v>1.9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7285-2023</t>
        </is>
      </c>
      <c r="B2155" s="1" t="n">
        <v>44970</v>
      </c>
      <c r="C2155" s="1" t="n">
        <v>45962</v>
      </c>
      <c r="D2155" t="inlineStr">
        <is>
          <t>JÖNKÖPINGS LÄN</t>
        </is>
      </c>
      <c r="E2155" t="inlineStr">
        <is>
          <t>SÄVSJÖ</t>
        </is>
      </c>
      <c r="G2155" t="n">
        <v>1.3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27613-2023</t>
        </is>
      </c>
      <c r="B2156" s="1" t="n">
        <v>45097</v>
      </c>
      <c r="C2156" s="1" t="n">
        <v>45962</v>
      </c>
      <c r="D2156" t="inlineStr">
        <is>
          <t>JÖNKÖPINGS LÄN</t>
        </is>
      </c>
      <c r="E2156" t="inlineStr">
        <is>
          <t>ANEBY</t>
        </is>
      </c>
      <c r="G2156" t="n">
        <v>3.6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69203-2021</t>
        </is>
      </c>
      <c r="B2157" s="1" t="n">
        <v>44530</v>
      </c>
      <c r="C2157" s="1" t="n">
        <v>45962</v>
      </c>
      <c r="D2157" t="inlineStr">
        <is>
          <t>JÖNKÖPINGS LÄN</t>
        </is>
      </c>
      <c r="E2157" t="inlineStr">
        <is>
          <t>VETLANDA</t>
        </is>
      </c>
      <c r="G2157" t="n">
        <v>2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9292-2025</t>
        </is>
      </c>
      <c r="B2158" s="1" t="n">
        <v>45714.65763888889</v>
      </c>
      <c r="C2158" s="1" t="n">
        <v>45962</v>
      </c>
      <c r="D2158" t="inlineStr">
        <is>
          <t>JÖNKÖPINGS LÄN</t>
        </is>
      </c>
      <c r="E2158" t="inlineStr">
        <is>
          <t>EKSJÖ</t>
        </is>
      </c>
      <c r="F2158" t="inlineStr">
        <is>
          <t>Sveaskog</t>
        </is>
      </c>
      <c r="G2158" t="n">
        <v>2.2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54530-2023</t>
        </is>
      </c>
      <c r="B2159" s="1" t="n">
        <v>45233.59581018519</v>
      </c>
      <c r="C2159" s="1" t="n">
        <v>45962</v>
      </c>
      <c r="D2159" t="inlineStr">
        <is>
          <t>JÖNKÖPINGS LÄN</t>
        </is>
      </c>
      <c r="E2159" t="inlineStr">
        <is>
          <t>VAGGERYD</t>
        </is>
      </c>
      <c r="G2159" t="n">
        <v>3.4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7938-2024</t>
        </is>
      </c>
      <c r="B2160" s="1" t="n">
        <v>45350.51460648148</v>
      </c>
      <c r="C2160" s="1" t="n">
        <v>45962</v>
      </c>
      <c r="D2160" t="inlineStr">
        <is>
          <t>JÖNKÖPINGS LÄN</t>
        </is>
      </c>
      <c r="E2160" t="inlineStr">
        <is>
          <t>VETLANDA</t>
        </is>
      </c>
      <c r="G2160" t="n">
        <v>0.6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9300-2025</t>
        </is>
      </c>
      <c r="B2161" s="1" t="n">
        <v>45714.67034722222</v>
      </c>
      <c r="C2161" s="1" t="n">
        <v>45962</v>
      </c>
      <c r="D2161" t="inlineStr">
        <is>
          <t>JÖNKÖPINGS LÄN</t>
        </is>
      </c>
      <c r="E2161" t="inlineStr">
        <is>
          <t>EKSJÖ</t>
        </is>
      </c>
      <c r="F2161" t="inlineStr">
        <is>
          <t>Sveaskog</t>
        </is>
      </c>
      <c r="G2161" t="n">
        <v>0.9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35703-2024</t>
        </is>
      </c>
      <c r="B2162" s="1" t="n">
        <v>45532.46113425926</v>
      </c>
      <c r="C2162" s="1" t="n">
        <v>45962</v>
      </c>
      <c r="D2162" t="inlineStr">
        <is>
          <t>JÖNKÖPINGS LÄN</t>
        </is>
      </c>
      <c r="E2162" t="inlineStr">
        <is>
          <t>VAGGERYD</t>
        </is>
      </c>
      <c r="G2162" t="n">
        <v>5.4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12821-2024</t>
        </is>
      </c>
      <c r="B2163" s="1" t="n">
        <v>45384</v>
      </c>
      <c r="C2163" s="1" t="n">
        <v>45962</v>
      </c>
      <c r="D2163" t="inlineStr">
        <is>
          <t>JÖNKÖPINGS LÄN</t>
        </is>
      </c>
      <c r="E2163" t="inlineStr">
        <is>
          <t>EKSJÖ</t>
        </is>
      </c>
      <c r="G2163" t="n">
        <v>0.3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60893-2024</t>
        </is>
      </c>
      <c r="B2164" s="1" t="n">
        <v>45645.24053240741</v>
      </c>
      <c r="C2164" s="1" t="n">
        <v>45962</v>
      </c>
      <c r="D2164" t="inlineStr">
        <is>
          <t>JÖNKÖPINGS LÄN</t>
        </is>
      </c>
      <c r="E2164" t="inlineStr">
        <is>
          <t>NÄSSJÖ</t>
        </is>
      </c>
      <c r="G2164" t="n">
        <v>2.4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6789-2025</t>
        </is>
      </c>
      <c r="B2165" s="1" t="n">
        <v>45700.6591087963</v>
      </c>
      <c r="C2165" s="1" t="n">
        <v>45962</v>
      </c>
      <c r="D2165" t="inlineStr">
        <is>
          <t>JÖNKÖPINGS LÄN</t>
        </is>
      </c>
      <c r="E2165" t="inlineStr">
        <is>
          <t>GNOSJÖ</t>
        </is>
      </c>
      <c r="G2165" t="n">
        <v>1.4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23128-2024</t>
        </is>
      </c>
      <c r="B2166" s="1" t="n">
        <v>45450.61440972222</v>
      </c>
      <c r="C2166" s="1" t="n">
        <v>45962</v>
      </c>
      <c r="D2166" t="inlineStr">
        <is>
          <t>JÖNKÖPINGS LÄN</t>
        </is>
      </c>
      <c r="E2166" t="inlineStr">
        <is>
          <t>MULLSJÖ</t>
        </is>
      </c>
      <c r="G2166" t="n">
        <v>1.5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57983-2024</t>
        </is>
      </c>
      <c r="B2167" s="1" t="n">
        <v>45631.61699074074</v>
      </c>
      <c r="C2167" s="1" t="n">
        <v>45962</v>
      </c>
      <c r="D2167" t="inlineStr">
        <is>
          <t>JÖNKÖPINGS LÄN</t>
        </is>
      </c>
      <c r="E2167" t="inlineStr">
        <is>
          <t>TRANÅS</t>
        </is>
      </c>
      <c r="G2167" t="n">
        <v>0.5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16150-2023</t>
        </is>
      </c>
      <c r="B2168" s="1" t="n">
        <v>45027.65725694445</v>
      </c>
      <c r="C2168" s="1" t="n">
        <v>45962</v>
      </c>
      <c r="D2168" t="inlineStr">
        <is>
          <t>JÖNKÖPINGS LÄN</t>
        </is>
      </c>
      <c r="E2168" t="inlineStr">
        <is>
          <t>TRANÅS</t>
        </is>
      </c>
      <c r="F2168" t="inlineStr">
        <is>
          <t>Allmännings- och besparingsskogar</t>
        </is>
      </c>
      <c r="G2168" t="n">
        <v>12.3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13061-2025</t>
        </is>
      </c>
      <c r="B2169" s="1" t="n">
        <v>45734.59972222222</v>
      </c>
      <c r="C2169" s="1" t="n">
        <v>45962</v>
      </c>
      <c r="D2169" t="inlineStr">
        <is>
          <t>JÖNKÖPINGS LÄN</t>
        </is>
      </c>
      <c r="E2169" t="inlineStr">
        <is>
          <t>JÖNKÖPING</t>
        </is>
      </c>
      <c r="G2169" t="n">
        <v>0.7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33727-2024</t>
        </is>
      </c>
      <c r="B2170" s="1" t="n">
        <v>45520</v>
      </c>
      <c r="C2170" s="1" t="n">
        <v>45962</v>
      </c>
      <c r="D2170" t="inlineStr">
        <is>
          <t>JÖNKÖPINGS LÄN</t>
        </is>
      </c>
      <c r="E2170" t="inlineStr">
        <is>
          <t>VÄRNAMO</t>
        </is>
      </c>
      <c r="G2170" t="n">
        <v>2.1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9038-2025</t>
        </is>
      </c>
      <c r="B2171" s="1" t="n">
        <v>45713.62260416667</v>
      </c>
      <c r="C2171" s="1" t="n">
        <v>45962</v>
      </c>
      <c r="D2171" t="inlineStr">
        <is>
          <t>JÖNKÖPINGS LÄN</t>
        </is>
      </c>
      <c r="E2171" t="inlineStr">
        <is>
          <t>VÄRNAMO</t>
        </is>
      </c>
      <c r="F2171" t="inlineStr">
        <is>
          <t>Sveaskog</t>
        </is>
      </c>
      <c r="G2171" t="n">
        <v>3.8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557-2024</t>
        </is>
      </c>
      <c r="B2172" s="1" t="n">
        <v>45299</v>
      </c>
      <c r="C2172" s="1" t="n">
        <v>45962</v>
      </c>
      <c r="D2172" t="inlineStr">
        <is>
          <t>JÖNKÖPINGS LÄN</t>
        </is>
      </c>
      <c r="E2172" t="inlineStr">
        <is>
          <t>NÄSSJÖ</t>
        </is>
      </c>
      <c r="G2172" t="n">
        <v>1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52991-2024</t>
        </is>
      </c>
      <c r="B2173" s="1" t="n">
        <v>45611.37390046296</v>
      </c>
      <c r="C2173" s="1" t="n">
        <v>45962</v>
      </c>
      <c r="D2173" t="inlineStr">
        <is>
          <t>JÖNKÖPINGS LÄN</t>
        </is>
      </c>
      <c r="E2173" t="inlineStr">
        <is>
          <t>GISLAVED</t>
        </is>
      </c>
      <c r="G2173" t="n">
        <v>1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9364-2025</t>
        </is>
      </c>
      <c r="B2174" s="1" t="n">
        <v>45715.31364583333</v>
      </c>
      <c r="C2174" s="1" t="n">
        <v>45962</v>
      </c>
      <c r="D2174" t="inlineStr">
        <is>
          <t>JÖNKÖPINGS LÄN</t>
        </is>
      </c>
      <c r="E2174" t="inlineStr">
        <is>
          <t>EKSJÖ</t>
        </is>
      </c>
      <c r="F2174" t="inlineStr">
        <is>
          <t>Sveaskog</t>
        </is>
      </c>
      <c r="G2174" t="n">
        <v>5.1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54223-2024</t>
        </is>
      </c>
      <c r="B2175" s="1" t="n">
        <v>45616.66825231481</v>
      </c>
      <c r="C2175" s="1" t="n">
        <v>45962</v>
      </c>
      <c r="D2175" t="inlineStr">
        <is>
          <t>JÖNKÖPINGS LÄN</t>
        </is>
      </c>
      <c r="E2175" t="inlineStr">
        <is>
          <t>GISLAVED</t>
        </is>
      </c>
      <c r="G2175" t="n">
        <v>0.9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37753-2024</t>
        </is>
      </c>
      <c r="B2176" s="1" t="n">
        <v>45541</v>
      </c>
      <c r="C2176" s="1" t="n">
        <v>45962</v>
      </c>
      <c r="D2176" t="inlineStr">
        <is>
          <t>JÖNKÖPINGS LÄN</t>
        </is>
      </c>
      <c r="E2176" t="inlineStr">
        <is>
          <t>TRANÅS</t>
        </is>
      </c>
      <c r="G2176" t="n">
        <v>0.6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9400-2025</t>
        </is>
      </c>
      <c r="B2177" s="1" t="n">
        <v>45715.38047453704</v>
      </c>
      <c r="C2177" s="1" t="n">
        <v>45962</v>
      </c>
      <c r="D2177" t="inlineStr">
        <is>
          <t>JÖNKÖPINGS LÄN</t>
        </is>
      </c>
      <c r="E2177" t="inlineStr">
        <is>
          <t>EKSJÖ</t>
        </is>
      </c>
      <c r="F2177" t="inlineStr">
        <is>
          <t>Sveaskog</t>
        </is>
      </c>
      <c r="G2177" t="n">
        <v>4.6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9404-2025</t>
        </is>
      </c>
      <c r="B2178" s="1" t="n">
        <v>45715.38317129629</v>
      </c>
      <c r="C2178" s="1" t="n">
        <v>45962</v>
      </c>
      <c r="D2178" t="inlineStr">
        <is>
          <t>JÖNKÖPINGS LÄN</t>
        </is>
      </c>
      <c r="E2178" t="inlineStr">
        <is>
          <t>EKSJÖ</t>
        </is>
      </c>
      <c r="F2178" t="inlineStr">
        <is>
          <t>Sveaskog</t>
        </is>
      </c>
      <c r="G2178" t="n">
        <v>1.5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37797-2024</t>
        </is>
      </c>
      <c r="B2179" s="1" t="n">
        <v>45543.54533564814</v>
      </c>
      <c r="C2179" s="1" t="n">
        <v>45962</v>
      </c>
      <c r="D2179" t="inlineStr">
        <is>
          <t>JÖNKÖPINGS LÄN</t>
        </is>
      </c>
      <c r="E2179" t="inlineStr">
        <is>
          <t>MULLSJÖ</t>
        </is>
      </c>
      <c r="G2179" t="n">
        <v>6.8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37798-2024</t>
        </is>
      </c>
      <c r="B2180" s="1" t="n">
        <v>45543.54836805556</v>
      </c>
      <c r="C2180" s="1" t="n">
        <v>45962</v>
      </c>
      <c r="D2180" t="inlineStr">
        <is>
          <t>JÖNKÖPINGS LÄN</t>
        </is>
      </c>
      <c r="E2180" t="inlineStr">
        <is>
          <t>MULLSJÖ</t>
        </is>
      </c>
      <c r="G2180" t="n">
        <v>2.7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40166-2021</t>
        </is>
      </c>
      <c r="B2181" s="1" t="n">
        <v>44418.66804398148</v>
      </c>
      <c r="C2181" s="1" t="n">
        <v>45962</v>
      </c>
      <c r="D2181" t="inlineStr">
        <is>
          <t>JÖNKÖPINGS LÄN</t>
        </is>
      </c>
      <c r="E2181" t="inlineStr">
        <is>
          <t>NÄSSJÖ</t>
        </is>
      </c>
      <c r="G2181" t="n">
        <v>0.8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61201-2023</t>
        </is>
      </c>
      <c r="B2182" s="1" t="n">
        <v>45264.37290509259</v>
      </c>
      <c r="C2182" s="1" t="n">
        <v>45962</v>
      </c>
      <c r="D2182" t="inlineStr">
        <is>
          <t>JÖNKÖPINGS LÄN</t>
        </is>
      </c>
      <c r="E2182" t="inlineStr">
        <is>
          <t>VETLANDA</t>
        </is>
      </c>
      <c r="G2182" t="n">
        <v>2.4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51590-2021</t>
        </is>
      </c>
      <c r="B2183" s="1" t="n">
        <v>44462</v>
      </c>
      <c r="C2183" s="1" t="n">
        <v>45962</v>
      </c>
      <c r="D2183" t="inlineStr">
        <is>
          <t>JÖNKÖPINGS LÄN</t>
        </is>
      </c>
      <c r="E2183" t="inlineStr">
        <is>
          <t>VETLANDA</t>
        </is>
      </c>
      <c r="G2183" t="n">
        <v>1.2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51938-2024</t>
        </is>
      </c>
      <c r="B2184" s="1" t="n">
        <v>45607</v>
      </c>
      <c r="C2184" s="1" t="n">
        <v>45962</v>
      </c>
      <c r="D2184" t="inlineStr">
        <is>
          <t>JÖNKÖPINGS LÄN</t>
        </is>
      </c>
      <c r="E2184" t="inlineStr">
        <is>
          <t>SÄVSJÖ</t>
        </is>
      </c>
      <c r="G2184" t="n">
        <v>5.4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47204-2022</t>
        </is>
      </c>
      <c r="B2185" s="1" t="n">
        <v>44851</v>
      </c>
      <c r="C2185" s="1" t="n">
        <v>45962</v>
      </c>
      <c r="D2185" t="inlineStr">
        <is>
          <t>JÖNKÖPINGS LÄN</t>
        </is>
      </c>
      <c r="E2185" t="inlineStr">
        <is>
          <t>EKSJÖ</t>
        </is>
      </c>
      <c r="G2185" t="n">
        <v>0.9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750-2025</t>
        </is>
      </c>
      <c r="B2186" s="1" t="n">
        <v>45665.44402777778</v>
      </c>
      <c r="C2186" s="1" t="n">
        <v>45962</v>
      </c>
      <c r="D2186" t="inlineStr">
        <is>
          <t>JÖNKÖPINGS LÄN</t>
        </is>
      </c>
      <c r="E2186" t="inlineStr">
        <is>
          <t>ANEBY</t>
        </is>
      </c>
      <c r="F2186" t="inlineStr">
        <is>
          <t>Sveaskog</t>
        </is>
      </c>
      <c r="G2186" t="n">
        <v>1.5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16459-2025</t>
        </is>
      </c>
      <c r="B2187" s="1" t="n">
        <v>45751.53125</v>
      </c>
      <c r="C2187" s="1" t="n">
        <v>45962</v>
      </c>
      <c r="D2187" t="inlineStr">
        <is>
          <t>JÖNKÖPINGS LÄN</t>
        </is>
      </c>
      <c r="E2187" t="inlineStr">
        <is>
          <t>HABO</t>
        </is>
      </c>
      <c r="G2187" t="n">
        <v>0.9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17948-2024</t>
        </is>
      </c>
      <c r="B2188" s="1" t="n">
        <v>45419.63797453704</v>
      </c>
      <c r="C2188" s="1" t="n">
        <v>45962</v>
      </c>
      <c r="D2188" t="inlineStr">
        <is>
          <t>JÖNKÖPINGS LÄN</t>
        </is>
      </c>
      <c r="E2188" t="inlineStr">
        <is>
          <t>NÄSSJÖ</t>
        </is>
      </c>
      <c r="G2188" t="n">
        <v>1.4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29089-2023</t>
        </is>
      </c>
      <c r="B2189" s="1" t="n">
        <v>45105.33157407407</v>
      </c>
      <c r="C2189" s="1" t="n">
        <v>45962</v>
      </c>
      <c r="D2189" t="inlineStr">
        <is>
          <t>JÖNKÖPINGS LÄN</t>
        </is>
      </c>
      <c r="E2189" t="inlineStr">
        <is>
          <t>VÄRNAMO</t>
        </is>
      </c>
      <c r="G2189" t="n">
        <v>1.3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29090-2023</t>
        </is>
      </c>
      <c r="B2190" s="1" t="n">
        <v>45105.33609953704</v>
      </c>
      <c r="C2190" s="1" t="n">
        <v>45962</v>
      </c>
      <c r="D2190" t="inlineStr">
        <is>
          <t>JÖNKÖPINGS LÄN</t>
        </is>
      </c>
      <c r="E2190" t="inlineStr">
        <is>
          <t>VÄRNAMO</t>
        </is>
      </c>
      <c r="G2190" t="n">
        <v>0.5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11075-2022</t>
        </is>
      </c>
      <c r="B2191" s="1" t="n">
        <v>44628.6541087963</v>
      </c>
      <c r="C2191" s="1" t="n">
        <v>45962</v>
      </c>
      <c r="D2191" t="inlineStr">
        <is>
          <t>JÖNKÖPINGS LÄN</t>
        </is>
      </c>
      <c r="E2191" t="inlineStr">
        <is>
          <t>HABO</t>
        </is>
      </c>
      <c r="G2191" t="n">
        <v>2.5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12454-2025</t>
        </is>
      </c>
      <c r="B2192" s="1" t="n">
        <v>45730.51931712963</v>
      </c>
      <c r="C2192" s="1" t="n">
        <v>45962</v>
      </c>
      <c r="D2192" t="inlineStr">
        <is>
          <t>JÖNKÖPINGS LÄN</t>
        </is>
      </c>
      <c r="E2192" t="inlineStr">
        <is>
          <t>GISLAVED</t>
        </is>
      </c>
      <c r="G2192" t="n">
        <v>2.6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28896-2023</t>
        </is>
      </c>
      <c r="B2193" s="1" t="n">
        <v>45104.49902777778</v>
      </c>
      <c r="C2193" s="1" t="n">
        <v>45962</v>
      </c>
      <c r="D2193" t="inlineStr">
        <is>
          <t>JÖNKÖPINGS LÄN</t>
        </is>
      </c>
      <c r="E2193" t="inlineStr">
        <is>
          <t>VAGGERYD</t>
        </is>
      </c>
      <c r="F2193" t="inlineStr">
        <is>
          <t>Sveaskog</t>
        </is>
      </c>
      <c r="G2193" t="n">
        <v>1.3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28791-2024</t>
        </is>
      </c>
      <c r="B2194" s="1" t="n">
        <v>45478.613125</v>
      </c>
      <c r="C2194" s="1" t="n">
        <v>45962</v>
      </c>
      <c r="D2194" t="inlineStr">
        <is>
          <t>JÖNKÖPINGS LÄN</t>
        </is>
      </c>
      <c r="E2194" t="inlineStr">
        <is>
          <t>MULLSJÖ</t>
        </is>
      </c>
      <c r="G2194" t="n">
        <v>1.4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12548-2024</t>
        </is>
      </c>
      <c r="B2195" s="1" t="n">
        <v>45379.65076388889</v>
      </c>
      <c r="C2195" s="1" t="n">
        <v>45962</v>
      </c>
      <c r="D2195" t="inlineStr">
        <is>
          <t>JÖNKÖPINGS LÄN</t>
        </is>
      </c>
      <c r="E2195" t="inlineStr">
        <is>
          <t>ANEBY</t>
        </is>
      </c>
      <c r="G2195" t="n">
        <v>0.4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16611-2025</t>
        </is>
      </c>
      <c r="B2196" s="1" t="n">
        <v>45753.92043981481</v>
      </c>
      <c r="C2196" s="1" t="n">
        <v>45962</v>
      </c>
      <c r="D2196" t="inlineStr">
        <is>
          <t>JÖNKÖPINGS LÄN</t>
        </is>
      </c>
      <c r="E2196" t="inlineStr">
        <is>
          <t>VAGGERYD</t>
        </is>
      </c>
      <c r="F2196" t="inlineStr">
        <is>
          <t>Sveaskog</t>
        </is>
      </c>
      <c r="G2196" t="n">
        <v>4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16612-2025</t>
        </is>
      </c>
      <c r="B2197" s="1" t="n">
        <v>45753.92484953703</v>
      </c>
      <c r="C2197" s="1" t="n">
        <v>45962</v>
      </c>
      <c r="D2197" t="inlineStr">
        <is>
          <t>JÖNKÖPINGS LÄN</t>
        </is>
      </c>
      <c r="E2197" t="inlineStr">
        <is>
          <t>VAGGERYD</t>
        </is>
      </c>
      <c r="F2197" t="inlineStr">
        <is>
          <t>Sveaskog</t>
        </is>
      </c>
      <c r="G2197" t="n">
        <v>0.9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28135-2023</t>
        </is>
      </c>
      <c r="B2198" s="1" t="n">
        <v>45099</v>
      </c>
      <c r="C2198" s="1" t="n">
        <v>45962</v>
      </c>
      <c r="D2198" t="inlineStr">
        <is>
          <t>JÖNKÖPINGS LÄN</t>
        </is>
      </c>
      <c r="E2198" t="inlineStr">
        <is>
          <t>HABO</t>
        </is>
      </c>
      <c r="G2198" t="n">
        <v>2.4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19787-2023</t>
        </is>
      </c>
      <c r="B2199" s="1" t="n">
        <v>45051</v>
      </c>
      <c r="C2199" s="1" t="n">
        <v>45962</v>
      </c>
      <c r="D2199" t="inlineStr">
        <is>
          <t>JÖNKÖPINGS LÄN</t>
        </is>
      </c>
      <c r="E2199" t="inlineStr">
        <is>
          <t>VAGGERYD</t>
        </is>
      </c>
      <c r="G2199" t="n">
        <v>1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34069-2023</t>
        </is>
      </c>
      <c r="B2200" s="1" t="n">
        <v>45135.48232638889</v>
      </c>
      <c r="C2200" s="1" t="n">
        <v>45962</v>
      </c>
      <c r="D2200" t="inlineStr">
        <is>
          <t>JÖNKÖPINGS LÄN</t>
        </is>
      </c>
      <c r="E2200" t="inlineStr">
        <is>
          <t>VETLANDA</t>
        </is>
      </c>
      <c r="G2200" t="n">
        <v>5.3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32750-2023</t>
        </is>
      </c>
      <c r="B2201" s="1" t="n">
        <v>45122.73332175926</v>
      </c>
      <c r="C2201" s="1" t="n">
        <v>45962</v>
      </c>
      <c r="D2201" t="inlineStr">
        <is>
          <t>JÖNKÖPINGS LÄN</t>
        </is>
      </c>
      <c r="E2201" t="inlineStr">
        <is>
          <t>ANEBY</t>
        </is>
      </c>
      <c r="G2201" t="n">
        <v>2.8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51541-2024</t>
        </is>
      </c>
      <c r="B2202" s="1" t="n">
        <v>45604.58878472223</v>
      </c>
      <c r="C2202" s="1" t="n">
        <v>45962</v>
      </c>
      <c r="D2202" t="inlineStr">
        <is>
          <t>JÖNKÖPINGS LÄN</t>
        </is>
      </c>
      <c r="E2202" t="inlineStr">
        <is>
          <t>VAGGERYD</t>
        </is>
      </c>
      <c r="F2202" t="inlineStr">
        <is>
          <t>Sveaskog</t>
        </is>
      </c>
      <c r="G2202" t="n">
        <v>2.2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34493-2024</t>
        </is>
      </c>
      <c r="B2203" s="1" t="n">
        <v>45525.62247685185</v>
      </c>
      <c r="C2203" s="1" t="n">
        <v>45962</v>
      </c>
      <c r="D2203" t="inlineStr">
        <is>
          <t>JÖNKÖPINGS LÄN</t>
        </is>
      </c>
      <c r="E2203" t="inlineStr">
        <is>
          <t>VETLANDA</t>
        </is>
      </c>
      <c r="G2203" t="n">
        <v>1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58247-2021</t>
        </is>
      </c>
      <c r="B2204" s="1" t="n">
        <v>44487</v>
      </c>
      <c r="C2204" s="1" t="n">
        <v>45962</v>
      </c>
      <c r="D2204" t="inlineStr">
        <is>
          <t>JÖNKÖPINGS LÄN</t>
        </is>
      </c>
      <c r="E2204" t="inlineStr">
        <is>
          <t>GNOSJÖ</t>
        </is>
      </c>
      <c r="G2204" t="n">
        <v>8.9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58249-2021</t>
        </is>
      </c>
      <c r="B2205" s="1" t="n">
        <v>44487</v>
      </c>
      <c r="C2205" s="1" t="n">
        <v>45962</v>
      </c>
      <c r="D2205" t="inlineStr">
        <is>
          <t>JÖNKÖPINGS LÄN</t>
        </is>
      </c>
      <c r="E2205" t="inlineStr">
        <is>
          <t>GNOSJÖ</t>
        </is>
      </c>
      <c r="G2205" t="n">
        <v>3.3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51612-2024</t>
        </is>
      </c>
      <c r="B2206" s="1" t="n">
        <v>45604</v>
      </c>
      <c r="C2206" s="1" t="n">
        <v>45962</v>
      </c>
      <c r="D2206" t="inlineStr">
        <is>
          <t>JÖNKÖPINGS LÄN</t>
        </is>
      </c>
      <c r="E2206" t="inlineStr">
        <is>
          <t>VÄRNAMO</t>
        </is>
      </c>
      <c r="G2206" t="n">
        <v>0.6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6383-2023</t>
        </is>
      </c>
      <c r="B2207" s="1" t="n">
        <v>44965.63684027778</v>
      </c>
      <c r="C2207" s="1" t="n">
        <v>45962</v>
      </c>
      <c r="D2207" t="inlineStr">
        <is>
          <t>JÖNKÖPINGS LÄN</t>
        </is>
      </c>
      <c r="E2207" t="inlineStr">
        <is>
          <t>VETLANDA</t>
        </is>
      </c>
      <c r="G2207" t="n">
        <v>0.6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19332-2025</t>
        </is>
      </c>
      <c r="B2208" s="1" t="n">
        <v>45769.58644675926</v>
      </c>
      <c r="C2208" s="1" t="n">
        <v>45962</v>
      </c>
      <c r="D2208" t="inlineStr">
        <is>
          <t>JÖNKÖPINGS LÄN</t>
        </is>
      </c>
      <c r="E2208" t="inlineStr">
        <is>
          <t>TRANÅS</t>
        </is>
      </c>
      <c r="G2208" t="n">
        <v>1.3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19335-2025</t>
        </is>
      </c>
      <c r="B2209" s="1" t="n">
        <v>45769</v>
      </c>
      <c r="C2209" s="1" t="n">
        <v>45962</v>
      </c>
      <c r="D2209" t="inlineStr">
        <is>
          <t>JÖNKÖPINGS LÄN</t>
        </is>
      </c>
      <c r="E2209" t="inlineStr">
        <is>
          <t>ANEBY</t>
        </is>
      </c>
      <c r="G2209" t="n">
        <v>7.1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35949-2024</t>
        </is>
      </c>
      <c r="B2210" s="1" t="n">
        <v>45533.46368055556</v>
      </c>
      <c r="C2210" s="1" t="n">
        <v>45962</v>
      </c>
      <c r="D2210" t="inlineStr">
        <is>
          <t>JÖNKÖPINGS LÄN</t>
        </is>
      </c>
      <c r="E2210" t="inlineStr">
        <is>
          <t>JÖNKÖPING</t>
        </is>
      </c>
      <c r="G2210" t="n">
        <v>2.6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31041-2023</t>
        </is>
      </c>
      <c r="B2211" s="1" t="n">
        <v>45113.59415509259</v>
      </c>
      <c r="C2211" s="1" t="n">
        <v>45962</v>
      </c>
      <c r="D2211" t="inlineStr">
        <is>
          <t>JÖNKÖPINGS LÄN</t>
        </is>
      </c>
      <c r="E2211" t="inlineStr">
        <is>
          <t>NÄSSJÖ</t>
        </is>
      </c>
      <c r="G2211" t="n">
        <v>0.9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33533-2023</t>
        </is>
      </c>
      <c r="B2212" s="1" t="n">
        <v>45118</v>
      </c>
      <c r="C2212" s="1" t="n">
        <v>45962</v>
      </c>
      <c r="D2212" t="inlineStr">
        <is>
          <t>JÖNKÖPINGS LÄN</t>
        </is>
      </c>
      <c r="E2212" t="inlineStr">
        <is>
          <t>NÄSSJÖ</t>
        </is>
      </c>
      <c r="G2212" t="n">
        <v>3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4941-2024</t>
        </is>
      </c>
      <c r="B2213" s="1" t="n">
        <v>45329</v>
      </c>
      <c r="C2213" s="1" t="n">
        <v>45962</v>
      </c>
      <c r="D2213" t="inlineStr">
        <is>
          <t>JÖNKÖPINGS LÄN</t>
        </is>
      </c>
      <c r="E2213" t="inlineStr">
        <is>
          <t>VETLANDA</t>
        </is>
      </c>
      <c r="G2213" t="n">
        <v>2.1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52674-2024</t>
        </is>
      </c>
      <c r="B2214" s="1" t="n">
        <v>45610.38314814815</v>
      </c>
      <c r="C2214" s="1" t="n">
        <v>45962</v>
      </c>
      <c r="D2214" t="inlineStr">
        <is>
          <t>JÖNKÖPINGS LÄN</t>
        </is>
      </c>
      <c r="E2214" t="inlineStr">
        <is>
          <t>VETLANDA</t>
        </is>
      </c>
      <c r="G2214" t="n">
        <v>2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55688-2022</t>
        </is>
      </c>
      <c r="B2215" s="1" t="n">
        <v>44888.51291666667</v>
      </c>
      <c r="C2215" s="1" t="n">
        <v>45962</v>
      </c>
      <c r="D2215" t="inlineStr">
        <is>
          <t>JÖNKÖPINGS LÄN</t>
        </is>
      </c>
      <c r="E2215" t="inlineStr">
        <is>
          <t>ANEBY</t>
        </is>
      </c>
      <c r="G2215" t="n">
        <v>1.9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8056-2025</t>
        </is>
      </c>
      <c r="B2216" s="1" t="n">
        <v>45707.62037037037</v>
      </c>
      <c r="C2216" s="1" t="n">
        <v>45962</v>
      </c>
      <c r="D2216" t="inlineStr">
        <is>
          <t>JÖNKÖPINGS LÄN</t>
        </is>
      </c>
      <c r="E2216" t="inlineStr">
        <is>
          <t>EKSJÖ</t>
        </is>
      </c>
      <c r="G2216" t="n">
        <v>1.1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7372-2024</t>
        </is>
      </c>
      <c r="B2217" s="1" t="n">
        <v>45345.50402777778</v>
      </c>
      <c r="C2217" s="1" t="n">
        <v>45962</v>
      </c>
      <c r="D2217" t="inlineStr">
        <is>
          <t>JÖNKÖPINGS LÄN</t>
        </is>
      </c>
      <c r="E2217" t="inlineStr">
        <is>
          <t>EKSJÖ</t>
        </is>
      </c>
      <c r="G2217" t="n">
        <v>1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19370-2024</t>
        </is>
      </c>
      <c r="B2218" s="1" t="n">
        <v>45429.34811342593</v>
      </c>
      <c r="C2218" s="1" t="n">
        <v>45962</v>
      </c>
      <c r="D2218" t="inlineStr">
        <is>
          <t>JÖNKÖPINGS LÄN</t>
        </is>
      </c>
      <c r="E2218" t="inlineStr">
        <is>
          <t>HABO</t>
        </is>
      </c>
      <c r="G2218" t="n">
        <v>1.9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25487-2022</t>
        </is>
      </c>
      <c r="B2219" s="1" t="n">
        <v>44732.56100694444</v>
      </c>
      <c r="C2219" s="1" t="n">
        <v>45962</v>
      </c>
      <c r="D2219" t="inlineStr">
        <is>
          <t>JÖNKÖPINGS LÄN</t>
        </is>
      </c>
      <c r="E2219" t="inlineStr">
        <is>
          <t>GNOSJÖ</t>
        </is>
      </c>
      <c r="G2219" t="n">
        <v>7.1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8531-2023</t>
        </is>
      </c>
      <c r="B2220" s="1" t="n">
        <v>44972</v>
      </c>
      <c r="C2220" s="1" t="n">
        <v>45962</v>
      </c>
      <c r="D2220" t="inlineStr">
        <is>
          <t>JÖNKÖPINGS LÄN</t>
        </is>
      </c>
      <c r="E2220" t="inlineStr">
        <is>
          <t>NÄSSJÖ</t>
        </is>
      </c>
      <c r="G2220" t="n">
        <v>2.1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56890-2022</t>
        </is>
      </c>
      <c r="B2221" s="1" t="n">
        <v>44894</v>
      </c>
      <c r="C2221" s="1" t="n">
        <v>45962</v>
      </c>
      <c r="D2221" t="inlineStr">
        <is>
          <t>JÖNKÖPINGS LÄN</t>
        </is>
      </c>
      <c r="E2221" t="inlineStr">
        <is>
          <t>GISLAVED</t>
        </is>
      </c>
      <c r="G2221" t="n">
        <v>1.1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603-2023</t>
        </is>
      </c>
      <c r="B2222" s="1" t="n">
        <v>44926</v>
      </c>
      <c r="C2222" s="1" t="n">
        <v>45962</v>
      </c>
      <c r="D2222" t="inlineStr">
        <is>
          <t>JÖNKÖPINGS LÄN</t>
        </is>
      </c>
      <c r="E2222" t="inlineStr">
        <is>
          <t>VETLANDA</t>
        </is>
      </c>
      <c r="G2222" t="n">
        <v>7.2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606-2023</t>
        </is>
      </c>
      <c r="B2223" s="1" t="n">
        <v>44926</v>
      </c>
      <c r="C2223" s="1" t="n">
        <v>45962</v>
      </c>
      <c r="D2223" t="inlineStr">
        <is>
          <t>JÖNKÖPINGS LÄN</t>
        </is>
      </c>
      <c r="E2223" t="inlineStr">
        <is>
          <t>VETLANDA</t>
        </is>
      </c>
      <c r="G2223" t="n">
        <v>3.4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21687-2022</t>
        </is>
      </c>
      <c r="B2224" s="1" t="n">
        <v>44707</v>
      </c>
      <c r="C2224" s="1" t="n">
        <v>45962</v>
      </c>
      <c r="D2224" t="inlineStr">
        <is>
          <t>JÖNKÖPINGS LÄN</t>
        </is>
      </c>
      <c r="E2224" t="inlineStr">
        <is>
          <t>MULLSJÖ</t>
        </is>
      </c>
      <c r="G2224" t="n">
        <v>2.2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10742-2025</t>
        </is>
      </c>
      <c r="B2225" s="1" t="n">
        <v>45722.41454861111</v>
      </c>
      <c r="C2225" s="1" t="n">
        <v>45962</v>
      </c>
      <c r="D2225" t="inlineStr">
        <is>
          <t>JÖNKÖPINGS LÄN</t>
        </is>
      </c>
      <c r="E2225" t="inlineStr">
        <is>
          <t>MULLSJÖ</t>
        </is>
      </c>
      <c r="G2225" t="n">
        <v>1.4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42038-2023</t>
        </is>
      </c>
      <c r="B2226" s="1" t="n">
        <v>45177</v>
      </c>
      <c r="C2226" s="1" t="n">
        <v>45962</v>
      </c>
      <c r="D2226" t="inlineStr">
        <is>
          <t>JÖNKÖPINGS LÄN</t>
        </is>
      </c>
      <c r="E2226" t="inlineStr">
        <is>
          <t>JÖNKÖPING</t>
        </is>
      </c>
      <c r="G2226" t="n">
        <v>1.1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42048-2023</t>
        </is>
      </c>
      <c r="B2227" s="1" t="n">
        <v>45174</v>
      </c>
      <c r="C2227" s="1" t="n">
        <v>45962</v>
      </c>
      <c r="D2227" t="inlineStr">
        <is>
          <t>JÖNKÖPINGS LÄN</t>
        </is>
      </c>
      <c r="E2227" t="inlineStr">
        <is>
          <t>GISLAVED</t>
        </is>
      </c>
      <c r="G2227" t="n">
        <v>2.7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51463-2022</t>
        </is>
      </c>
      <c r="B2228" s="1" t="n">
        <v>44869</v>
      </c>
      <c r="C2228" s="1" t="n">
        <v>45962</v>
      </c>
      <c r="D2228" t="inlineStr">
        <is>
          <t>JÖNKÖPINGS LÄN</t>
        </is>
      </c>
      <c r="E2228" t="inlineStr">
        <is>
          <t>VÄRNAMO</t>
        </is>
      </c>
      <c r="G2228" t="n">
        <v>0.5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39668-2023</t>
        </is>
      </c>
      <c r="B2229" s="1" t="n">
        <v>45167</v>
      </c>
      <c r="C2229" s="1" t="n">
        <v>45962</v>
      </c>
      <c r="D2229" t="inlineStr">
        <is>
          <t>JÖNKÖPINGS LÄN</t>
        </is>
      </c>
      <c r="E2229" t="inlineStr">
        <is>
          <t>GNOSJÖ</t>
        </is>
      </c>
      <c r="G2229" t="n">
        <v>0.3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59058-2024</t>
        </is>
      </c>
      <c r="B2230" s="1" t="n">
        <v>45636</v>
      </c>
      <c r="C2230" s="1" t="n">
        <v>45962</v>
      </c>
      <c r="D2230" t="inlineStr">
        <is>
          <t>JÖNKÖPINGS LÄN</t>
        </is>
      </c>
      <c r="E2230" t="inlineStr">
        <is>
          <t>HABO</t>
        </is>
      </c>
      <c r="G2230" t="n">
        <v>0.4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18600-2023</t>
        </is>
      </c>
      <c r="B2231" s="1" t="n">
        <v>45043</v>
      </c>
      <c r="C2231" s="1" t="n">
        <v>45962</v>
      </c>
      <c r="D2231" t="inlineStr">
        <is>
          <t>JÖNKÖPINGS LÄN</t>
        </is>
      </c>
      <c r="E2231" t="inlineStr">
        <is>
          <t>VÄRNAMO</t>
        </is>
      </c>
      <c r="G2231" t="n">
        <v>1.4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18606-2023</t>
        </is>
      </c>
      <c r="B2232" s="1" t="n">
        <v>45043.43777777778</v>
      </c>
      <c r="C2232" s="1" t="n">
        <v>45962</v>
      </c>
      <c r="D2232" t="inlineStr">
        <is>
          <t>JÖNKÖPINGS LÄN</t>
        </is>
      </c>
      <c r="E2232" t="inlineStr">
        <is>
          <t>JÖNKÖPING</t>
        </is>
      </c>
      <c r="G2232" t="n">
        <v>2.2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38854-2021</t>
        </is>
      </c>
      <c r="B2233" s="1" t="n">
        <v>44411</v>
      </c>
      <c r="C2233" s="1" t="n">
        <v>45962</v>
      </c>
      <c r="D2233" t="inlineStr">
        <is>
          <t>JÖNKÖPINGS LÄN</t>
        </is>
      </c>
      <c r="E2233" t="inlineStr">
        <is>
          <t>JÖNKÖPING</t>
        </is>
      </c>
      <c r="G2233" t="n">
        <v>10.1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52671-2022</t>
        </is>
      </c>
      <c r="B2234" s="1" t="n">
        <v>44874</v>
      </c>
      <c r="C2234" s="1" t="n">
        <v>45962</v>
      </c>
      <c r="D2234" t="inlineStr">
        <is>
          <t>JÖNKÖPINGS LÄN</t>
        </is>
      </c>
      <c r="E2234" t="inlineStr">
        <is>
          <t>NÄSSJÖ</t>
        </is>
      </c>
      <c r="G2234" t="n">
        <v>2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2838-2024</t>
        </is>
      </c>
      <c r="B2235" s="1" t="n">
        <v>45315</v>
      </c>
      <c r="C2235" s="1" t="n">
        <v>45962</v>
      </c>
      <c r="D2235" t="inlineStr">
        <is>
          <t>JÖNKÖPINGS LÄN</t>
        </is>
      </c>
      <c r="E2235" t="inlineStr">
        <is>
          <t>EKSJÖ</t>
        </is>
      </c>
      <c r="G2235" t="n">
        <v>6.8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47065-2022</t>
        </is>
      </c>
      <c r="B2236" s="1" t="n">
        <v>44851</v>
      </c>
      <c r="C2236" s="1" t="n">
        <v>45962</v>
      </c>
      <c r="D2236" t="inlineStr">
        <is>
          <t>JÖNKÖPINGS LÄN</t>
        </is>
      </c>
      <c r="E2236" t="inlineStr">
        <is>
          <t>VETLANDA</t>
        </is>
      </c>
      <c r="G2236" t="n">
        <v>9.5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14536-2024</t>
        </is>
      </c>
      <c r="B2237" s="1" t="n">
        <v>45394.65023148148</v>
      </c>
      <c r="C2237" s="1" t="n">
        <v>45962</v>
      </c>
      <c r="D2237" t="inlineStr">
        <is>
          <t>JÖNKÖPINGS LÄN</t>
        </is>
      </c>
      <c r="E2237" t="inlineStr">
        <is>
          <t>VÄRNAMO</t>
        </is>
      </c>
      <c r="G2237" t="n">
        <v>5.4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6546-2025</t>
        </is>
      </c>
      <c r="B2238" s="1" t="n">
        <v>45699.70453703704</v>
      </c>
      <c r="C2238" s="1" t="n">
        <v>45962</v>
      </c>
      <c r="D2238" t="inlineStr">
        <is>
          <t>JÖNKÖPINGS LÄN</t>
        </is>
      </c>
      <c r="E2238" t="inlineStr">
        <is>
          <t>GISLAVED</t>
        </is>
      </c>
      <c r="G2238" t="n">
        <v>2.8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1856-2024</t>
        </is>
      </c>
      <c r="B2239" s="1" t="n">
        <v>45307.72520833334</v>
      </c>
      <c r="C2239" s="1" t="n">
        <v>45962</v>
      </c>
      <c r="D2239" t="inlineStr">
        <is>
          <t>JÖNKÖPINGS LÄN</t>
        </is>
      </c>
      <c r="E2239" t="inlineStr">
        <is>
          <t>JÖNKÖPING</t>
        </is>
      </c>
      <c r="G2239" t="n">
        <v>0.6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6226-2025</t>
        </is>
      </c>
      <c r="B2240" s="1" t="n">
        <v>45698.54723379629</v>
      </c>
      <c r="C2240" s="1" t="n">
        <v>45962</v>
      </c>
      <c r="D2240" t="inlineStr">
        <is>
          <t>JÖNKÖPINGS LÄN</t>
        </is>
      </c>
      <c r="E2240" t="inlineStr">
        <is>
          <t>HABO</t>
        </is>
      </c>
      <c r="G2240" t="n">
        <v>6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241-2023</t>
        </is>
      </c>
      <c r="B2241" s="1" t="n">
        <v>44928</v>
      </c>
      <c r="C2241" s="1" t="n">
        <v>45962</v>
      </c>
      <c r="D2241" t="inlineStr">
        <is>
          <t>JÖNKÖPINGS LÄN</t>
        </is>
      </c>
      <c r="E2241" t="inlineStr">
        <is>
          <t>NÄSSJÖ</t>
        </is>
      </c>
      <c r="G2241" t="n">
        <v>0.4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15400-2024</t>
        </is>
      </c>
      <c r="B2242" s="1" t="n">
        <v>45401.33418981481</v>
      </c>
      <c r="C2242" s="1" t="n">
        <v>45962</v>
      </c>
      <c r="D2242" t="inlineStr">
        <is>
          <t>JÖNKÖPINGS LÄN</t>
        </is>
      </c>
      <c r="E2242" t="inlineStr">
        <is>
          <t>VETLANDA</t>
        </is>
      </c>
      <c r="G2242" t="n">
        <v>0.3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33638-2022</t>
        </is>
      </c>
      <c r="B2243" s="1" t="n">
        <v>44789.58445601852</v>
      </c>
      <c r="C2243" s="1" t="n">
        <v>45962</v>
      </c>
      <c r="D2243" t="inlineStr">
        <is>
          <t>JÖNKÖPINGS LÄN</t>
        </is>
      </c>
      <c r="E2243" t="inlineStr">
        <is>
          <t>VAGGERYD</t>
        </is>
      </c>
      <c r="G2243" t="n">
        <v>4.7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57583-2020</t>
        </is>
      </c>
      <c r="B2244" s="1" t="n">
        <v>44140</v>
      </c>
      <c r="C2244" s="1" t="n">
        <v>45962</v>
      </c>
      <c r="D2244" t="inlineStr">
        <is>
          <t>JÖNKÖPINGS LÄN</t>
        </is>
      </c>
      <c r="E2244" t="inlineStr">
        <is>
          <t>VETLANDA</t>
        </is>
      </c>
      <c r="G2244" t="n">
        <v>0.5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19792-2023</t>
        </is>
      </c>
      <c r="B2245" s="1" t="n">
        <v>45051</v>
      </c>
      <c r="C2245" s="1" t="n">
        <v>45962</v>
      </c>
      <c r="D2245" t="inlineStr">
        <is>
          <t>JÖNKÖPINGS LÄN</t>
        </is>
      </c>
      <c r="E2245" t="inlineStr">
        <is>
          <t>VAGGERYD</t>
        </is>
      </c>
      <c r="G2245" t="n">
        <v>0.8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14396-2023</t>
        </is>
      </c>
      <c r="B2246" s="1" t="n">
        <v>45012.47341435185</v>
      </c>
      <c r="C2246" s="1" t="n">
        <v>45962</v>
      </c>
      <c r="D2246" t="inlineStr">
        <is>
          <t>JÖNKÖPINGS LÄN</t>
        </is>
      </c>
      <c r="E2246" t="inlineStr">
        <is>
          <t>VAGGERYD</t>
        </is>
      </c>
      <c r="G2246" t="n">
        <v>1.2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1248-2024</t>
        </is>
      </c>
      <c r="B2247" s="1" t="n">
        <v>45302.73747685185</v>
      </c>
      <c r="C2247" s="1" t="n">
        <v>45962</v>
      </c>
      <c r="D2247" t="inlineStr">
        <is>
          <t>JÖNKÖPINGS LÄN</t>
        </is>
      </c>
      <c r="E2247" t="inlineStr">
        <is>
          <t>NÄSSJÖ</t>
        </is>
      </c>
      <c r="G2247" t="n">
        <v>1.5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63087-2023</t>
        </is>
      </c>
      <c r="B2248" s="1" t="n">
        <v>45273.37284722222</v>
      </c>
      <c r="C2248" s="1" t="n">
        <v>45962</v>
      </c>
      <c r="D2248" t="inlineStr">
        <is>
          <t>JÖNKÖPINGS LÄN</t>
        </is>
      </c>
      <c r="E2248" t="inlineStr">
        <is>
          <t>NÄSSJÖ</t>
        </is>
      </c>
      <c r="G2248" t="n">
        <v>0.6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56804-2024</t>
        </is>
      </c>
      <c r="B2249" s="1" t="n">
        <v>45628.47392361111</v>
      </c>
      <c r="C2249" s="1" t="n">
        <v>45962</v>
      </c>
      <c r="D2249" t="inlineStr">
        <is>
          <t>JÖNKÖPINGS LÄN</t>
        </is>
      </c>
      <c r="E2249" t="inlineStr">
        <is>
          <t>EKSJÖ</t>
        </is>
      </c>
      <c r="G2249" t="n">
        <v>1.9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19852-2021</t>
        </is>
      </c>
      <c r="B2250" s="1" t="n">
        <v>44309</v>
      </c>
      <c r="C2250" s="1" t="n">
        <v>45962</v>
      </c>
      <c r="D2250" t="inlineStr">
        <is>
          <t>JÖNKÖPINGS LÄN</t>
        </is>
      </c>
      <c r="E2250" t="inlineStr">
        <is>
          <t>VETLANDA</t>
        </is>
      </c>
      <c r="F2250" t="inlineStr">
        <is>
          <t>Kyrkan</t>
        </is>
      </c>
      <c r="G2250" t="n">
        <v>4.9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5379-2025</t>
        </is>
      </c>
      <c r="B2251" s="1" t="n">
        <v>45692.60449074074</v>
      </c>
      <c r="C2251" s="1" t="n">
        <v>45962</v>
      </c>
      <c r="D2251" t="inlineStr">
        <is>
          <t>JÖNKÖPINGS LÄN</t>
        </is>
      </c>
      <c r="E2251" t="inlineStr">
        <is>
          <t>VETLANDA</t>
        </is>
      </c>
      <c r="G2251" t="n">
        <v>1.7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7838-2024</t>
        </is>
      </c>
      <c r="B2252" s="1" t="n">
        <v>45349</v>
      </c>
      <c r="C2252" s="1" t="n">
        <v>45962</v>
      </c>
      <c r="D2252" t="inlineStr">
        <is>
          <t>JÖNKÖPINGS LÄN</t>
        </is>
      </c>
      <c r="E2252" t="inlineStr">
        <is>
          <t>GISLAVED</t>
        </is>
      </c>
      <c r="G2252" t="n">
        <v>0.4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9217-2022</t>
        </is>
      </c>
      <c r="B2253" s="1" t="n">
        <v>44616.31997685185</v>
      </c>
      <c r="C2253" s="1" t="n">
        <v>45962</v>
      </c>
      <c r="D2253" t="inlineStr">
        <is>
          <t>JÖNKÖPINGS LÄN</t>
        </is>
      </c>
      <c r="E2253" t="inlineStr">
        <is>
          <t>VAGGERYD</t>
        </is>
      </c>
      <c r="F2253" t="inlineStr">
        <is>
          <t>Sveaskog</t>
        </is>
      </c>
      <c r="G2253" t="n">
        <v>1.5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46095-2022</t>
        </is>
      </c>
      <c r="B2254" s="1" t="n">
        <v>44847.3783912037</v>
      </c>
      <c r="C2254" s="1" t="n">
        <v>45962</v>
      </c>
      <c r="D2254" t="inlineStr">
        <is>
          <t>JÖNKÖPINGS LÄN</t>
        </is>
      </c>
      <c r="E2254" t="inlineStr">
        <is>
          <t>ANEBY</t>
        </is>
      </c>
      <c r="G2254" t="n">
        <v>2.9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55379-2023</t>
        </is>
      </c>
      <c r="B2255" s="1" t="n">
        <v>45238.35519675926</v>
      </c>
      <c r="C2255" s="1" t="n">
        <v>45962</v>
      </c>
      <c r="D2255" t="inlineStr">
        <is>
          <t>JÖNKÖPINGS LÄN</t>
        </is>
      </c>
      <c r="E2255" t="inlineStr">
        <is>
          <t>VÄRNAMO</t>
        </is>
      </c>
      <c r="F2255" t="inlineStr">
        <is>
          <t>Sveaskog</t>
        </is>
      </c>
      <c r="G2255" t="n">
        <v>1.7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63269-2023</t>
        </is>
      </c>
      <c r="B2256" s="1" t="n">
        <v>45273.7587037037</v>
      </c>
      <c r="C2256" s="1" t="n">
        <v>45962</v>
      </c>
      <c r="D2256" t="inlineStr">
        <is>
          <t>JÖNKÖPINGS LÄN</t>
        </is>
      </c>
      <c r="E2256" t="inlineStr">
        <is>
          <t>GISLAVED</t>
        </is>
      </c>
      <c r="G2256" t="n">
        <v>4.4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40960-2023</t>
        </is>
      </c>
      <c r="B2257" s="1" t="n">
        <v>45169</v>
      </c>
      <c r="C2257" s="1" t="n">
        <v>45962</v>
      </c>
      <c r="D2257" t="inlineStr">
        <is>
          <t>JÖNKÖPINGS LÄN</t>
        </is>
      </c>
      <c r="E2257" t="inlineStr">
        <is>
          <t>MULLSJÖ</t>
        </is>
      </c>
      <c r="G2257" t="n">
        <v>1.9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41016-2023</t>
        </is>
      </c>
      <c r="B2258" s="1" t="n">
        <v>45173</v>
      </c>
      <c r="C2258" s="1" t="n">
        <v>45962</v>
      </c>
      <c r="D2258" t="inlineStr">
        <is>
          <t>JÖNKÖPINGS LÄN</t>
        </is>
      </c>
      <c r="E2258" t="inlineStr">
        <is>
          <t>EKSJÖ</t>
        </is>
      </c>
      <c r="G2258" t="n">
        <v>1.4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12667-2021</t>
        </is>
      </c>
      <c r="B2259" s="1" t="n">
        <v>44270.51327546296</v>
      </c>
      <c r="C2259" s="1" t="n">
        <v>45962</v>
      </c>
      <c r="D2259" t="inlineStr">
        <is>
          <t>JÖNKÖPINGS LÄN</t>
        </is>
      </c>
      <c r="E2259" t="inlineStr">
        <is>
          <t>VÄRNAMO</t>
        </is>
      </c>
      <c r="G2259" t="n">
        <v>6.7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31091-2023</t>
        </is>
      </c>
      <c r="B2260" s="1" t="n">
        <v>45113.6524074074</v>
      </c>
      <c r="C2260" s="1" t="n">
        <v>45962</v>
      </c>
      <c r="D2260" t="inlineStr">
        <is>
          <t>JÖNKÖPINGS LÄN</t>
        </is>
      </c>
      <c r="E2260" t="inlineStr">
        <is>
          <t>VÄRNAMO</t>
        </is>
      </c>
      <c r="G2260" t="n">
        <v>0.9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11382-2024</t>
        </is>
      </c>
      <c r="B2261" s="1" t="n">
        <v>45372</v>
      </c>
      <c r="C2261" s="1" t="n">
        <v>45962</v>
      </c>
      <c r="D2261" t="inlineStr">
        <is>
          <t>JÖNKÖPINGS LÄN</t>
        </is>
      </c>
      <c r="E2261" t="inlineStr">
        <is>
          <t>VÄRNAMO</t>
        </is>
      </c>
      <c r="G2261" t="n">
        <v>3.4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6763-2025</t>
        </is>
      </c>
      <c r="B2262" s="1" t="n">
        <v>45700.62923611111</v>
      </c>
      <c r="C2262" s="1" t="n">
        <v>45962</v>
      </c>
      <c r="D2262" t="inlineStr">
        <is>
          <t>JÖNKÖPINGS LÄN</t>
        </is>
      </c>
      <c r="E2262" t="inlineStr">
        <is>
          <t>GNOSJÖ</t>
        </is>
      </c>
      <c r="G2262" t="n">
        <v>1.6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54686-2023</t>
        </is>
      </c>
      <c r="B2263" s="1" t="n">
        <v>45235.92984953704</v>
      </c>
      <c r="C2263" s="1" t="n">
        <v>45962</v>
      </c>
      <c r="D2263" t="inlineStr">
        <is>
          <t>JÖNKÖPINGS LÄN</t>
        </is>
      </c>
      <c r="E2263" t="inlineStr">
        <is>
          <t>GISLAVED</t>
        </is>
      </c>
      <c r="G2263" t="n">
        <v>2.7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7846-2025</t>
        </is>
      </c>
      <c r="B2264" s="1" t="n">
        <v>45706.66388888889</v>
      </c>
      <c r="C2264" s="1" t="n">
        <v>45962</v>
      </c>
      <c r="D2264" t="inlineStr">
        <is>
          <t>JÖNKÖPINGS LÄN</t>
        </is>
      </c>
      <c r="E2264" t="inlineStr">
        <is>
          <t>JÖNKÖPING</t>
        </is>
      </c>
      <c r="F2264" t="inlineStr">
        <is>
          <t>Sveaskog</t>
        </is>
      </c>
      <c r="G2264" t="n">
        <v>1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50629-2022</t>
        </is>
      </c>
      <c r="B2265" s="1" t="n">
        <v>44866</v>
      </c>
      <c r="C2265" s="1" t="n">
        <v>45962</v>
      </c>
      <c r="D2265" t="inlineStr">
        <is>
          <t>JÖNKÖPINGS LÄN</t>
        </is>
      </c>
      <c r="E2265" t="inlineStr">
        <is>
          <t>SÄVSJÖ</t>
        </is>
      </c>
      <c r="G2265" t="n">
        <v>5.6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64057-2023</t>
        </is>
      </c>
      <c r="B2266" s="1" t="n">
        <v>45279.35089120371</v>
      </c>
      <c r="C2266" s="1" t="n">
        <v>45962</v>
      </c>
      <c r="D2266" t="inlineStr">
        <is>
          <t>JÖNKÖPINGS LÄN</t>
        </is>
      </c>
      <c r="E2266" t="inlineStr">
        <is>
          <t>NÄSSJÖ</t>
        </is>
      </c>
      <c r="G2266" t="n">
        <v>1.3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15248-2024</t>
        </is>
      </c>
      <c r="B2267" s="1" t="n">
        <v>45400.518125</v>
      </c>
      <c r="C2267" s="1" t="n">
        <v>45962</v>
      </c>
      <c r="D2267" t="inlineStr">
        <is>
          <t>JÖNKÖPINGS LÄN</t>
        </is>
      </c>
      <c r="E2267" t="inlineStr">
        <is>
          <t>VÄRNAMO</t>
        </is>
      </c>
      <c r="G2267" t="n">
        <v>0.5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15252-2024</t>
        </is>
      </c>
      <c r="B2268" s="1" t="n">
        <v>45400.54119212963</v>
      </c>
      <c r="C2268" s="1" t="n">
        <v>45962</v>
      </c>
      <c r="D2268" t="inlineStr">
        <is>
          <t>JÖNKÖPINGS LÄN</t>
        </is>
      </c>
      <c r="E2268" t="inlineStr">
        <is>
          <t>HABO</t>
        </is>
      </c>
      <c r="G2268" t="n">
        <v>0.2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44151-2023</t>
        </is>
      </c>
      <c r="B2269" s="1" t="n">
        <v>45188.47842592592</v>
      </c>
      <c r="C2269" s="1" t="n">
        <v>45962</v>
      </c>
      <c r="D2269" t="inlineStr">
        <is>
          <t>JÖNKÖPINGS LÄN</t>
        </is>
      </c>
      <c r="E2269" t="inlineStr">
        <is>
          <t>NÄSSJÖ</t>
        </is>
      </c>
      <c r="G2269" t="n">
        <v>0.7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44158-2023</t>
        </is>
      </c>
      <c r="B2270" s="1" t="n">
        <v>45188.48688657407</v>
      </c>
      <c r="C2270" s="1" t="n">
        <v>45962</v>
      </c>
      <c r="D2270" t="inlineStr">
        <is>
          <t>JÖNKÖPINGS LÄN</t>
        </is>
      </c>
      <c r="E2270" t="inlineStr">
        <is>
          <t>HABO</t>
        </is>
      </c>
      <c r="G2270" t="n">
        <v>2.1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49681-2021</t>
        </is>
      </c>
      <c r="B2271" s="1" t="n">
        <v>44455</v>
      </c>
      <c r="C2271" s="1" t="n">
        <v>45962</v>
      </c>
      <c r="D2271" t="inlineStr">
        <is>
          <t>JÖNKÖPINGS LÄN</t>
        </is>
      </c>
      <c r="E2271" t="inlineStr">
        <is>
          <t>GISLAVED</t>
        </is>
      </c>
      <c r="G2271" t="n">
        <v>2.7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56471-2021</t>
        </is>
      </c>
      <c r="B2272" s="1" t="n">
        <v>44480.55214120371</v>
      </c>
      <c r="C2272" s="1" t="n">
        <v>45962</v>
      </c>
      <c r="D2272" t="inlineStr">
        <is>
          <t>JÖNKÖPINGS LÄN</t>
        </is>
      </c>
      <c r="E2272" t="inlineStr">
        <is>
          <t>EKSJÖ</t>
        </is>
      </c>
      <c r="G2272" t="n">
        <v>0.7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51474-2023</t>
        </is>
      </c>
      <c r="B2273" s="1" t="n">
        <v>45221</v>
      </c>
      <c r="C2273" s="1" t="n">
        <v>45962</v>
      </c>
      <c r="D2273" t="inlineStr">
        <is>
          <t>JÖNKÖPINGS LÄN</t>
        </is>
      </c>
      <c r="E2273" t="inlineStr">
        <is>
          <t>VÄRNAMO</t>
        </is>
      </c>
      <c r="G2273" t="n">
        <v>0.5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11959-2025</t>
        </is>
      </c>
      <c r="B2274" s="1" t="n">
        <v>45728.57207175926</v>
      </c>
      <c r="C2274" s="1" t="n">
        <v>45962</v>
      </c>
      <c r="D2274" t="inlineStr">
        <is>
          <t>JÖNKÖPINGS LÄN</t>
        </is>
      </c>
      <c r="E2274" t="inlineStr">
        <is>
          <t>EKSJÖ</t>
        </is>
      </c>
      <c r="F2274" t="inlineStr">
        <is>
          <t>Sveaskog</t>
        </is>
      </c>
      <c r="G2274" t="n">
        <v>8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53308-2023</t>
        </is>
      </c>
      <c r="B2275" s="1" t="n">
        <v>45222</v>
      </c>
      <c r="C2275" s="1" t="n">
        <v>45962</v>
      </c>
      <c r="D2275" t="inlineStr">
        <is>
          <t>JÖNKÖPINGS LÄN</t>
        </is>
      </c>
      <c r="E2275" t="inlineStr">
        <is>
          <t>VETLANDA</t>
        </is>
      </c>
      <c r="G2275" t="n">
        <v>13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14112-2024</t>
        </is>
      </c>
      <c r="B2276" s="1" t="n">
        <v>45392.63664351852</v>
      </c>
      <c r="C2276" s="1" t="n">
        <v>45962</v>
      </c>
      <c r="D2276" t="inlineStr">
        <is>
          <t>JÖNKÖPINGS LÄN</t>
        </is>
      </c>
      <c r="E2276" t="inlineStr">
        <is>
          <t>JÖNKÖPING</t>
        </is>
      </c>
      <c r="G2276" t="n">
        <v>0.6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14113-2024</t>
        </is>
      </c>
      <c r="B2277" s="1" t="n">
        <v>45392.63688657407</v>
      </c>
      <c r="C2277" s="1" t="n">
        <v>45962</v>
      </c>
      <c r="D2277" t="inlineStr">
        <is>
          <t>JÖNKÖPINGS LÄN</t>
        </is>
      </c>
      <c r="E2277" t="inlineStr">
        <is>
          <t>VETLANDA</t>
        </is>
      </c>
      <c r="G2277" t="n">
        <v>1.2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71048-2021</t>
        </is>
      </c>
      <c r="B2278" s="1" t="n">
        <v>44538</v>
      </c>
      <c r="C2278" s="1" t="n">
        <v>45962</v>
      </c>
      <c r="D2278" t="inlineStr">
        <is>
          <t>JÖNKÖPINGS LÄN</t>
        </is>
      </c>
      <c r="E2278" t="inlineStr">
        <is>
          <t>MULLSJÖ</t>
        </is>
      </c>
      <c r="G2278" t="n">
        <v>3.7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34899-2023</t>
        </is>
      </c>
      <c r="B2279" s="1" t="n">
        <v>45142.41402777778</v>
      </c>
      <c r="C2279" s="1" t="n">
        <v>45962</v>
      </c>
      <c r="D2279" t="inlineStr">
        <is>
          <t>JÖNKÖPINGS LÄN</t>
        </is>
      </c>
      <c r="E2279" t="inlineStr">
        <is>
          <t>VÄRNAMO</t>
        </is>
      </c>
      <c r="G2279" t="n">
        <v>4.5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37081-2021</t>
        </is>
      </c>
      <c r="B2280" s="1" t="n">
        <v>44395.50489583334</v>
      </c>
      <c r="C2280" s="1" t="n">
        <v>45962</v>
      </c>
      <c r="D2280" t="inlineStr">
        <is>
          <t>JÖNKÖPINGS LÄN</t>
        </is>
      </c>
      <c r="E2280" t="inlineStr">
        <is>
          <t>TRANÅS</t>
        </is>
      </c>
      <c r="G2280" t="n">
        <v>1.6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59349-2024</t>
        </is>
      </c>
      <c r="B2281" s="1" t="n">
        <v>45638.2815162037</v>
      </c>
      <c r="C2281" s="1" t="n">
        <v>45962</v>
      </c>
      <c r="D2281" t="inlineStr">
        <is>
          <t>JÖNKÖPINGS LÄN</t>
        </is>
      </c>
      <c r="E2281" t="inlineStr">
        <is>
          <t>MULLSJÖ</t>
        </is>
      </c>
      <c r="G2281" t="n">
        <v>1.2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9156-2024</t>
        </is>
      </c>
      <c r="B2282" s="1" t="n">
        <v>45358.39027777778</v>
      </c>
      <c r="C2282" s="1" t="n">
        <v>45962</v>
      </c>
      <c r="D2282" t="inlineStr">
        <is>
          <t>JÖNKÖPINGS LÄN</t>
        </is>
      </c>
      <c r="E2282" t="inlineStr">
        <is>
          <t>VÄRNAMO</t>
        </is>
      </c>
      <c r="G2282" t="n">
        <v>1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6208-2024</t>
        </is>
      </c>
      <c r="B2283" s="1" t="n">
        <v>45337</v>
      </c>
      <c r="C2283" s="1" t="n">
        <v>45962</v>
      </c>
      <c r="D2283" t="inlineStr">
        <is>
          <t>JÖNKÖPINGS LÄN</t>
        </is>
      </c>
      <c r="E2283" t="inlineStr">
        <is>
          <t>VETLANDA</t>
        </is>
      </c>
      <c r="G2283" t="n">
        <v>5.1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7262-2024</t>
        </is>
      </c>
      <c r="B2284" s="1" t="n">
        <v>45344</v>
      </c>
      <c r="C2284" s="1" t="n">
        <v>45962</v>
      </c>
      <c r="D2284" t="inlineStr">
        <is>
          <t>JÖNKÖPINGS LÄN</t>
        </is>
      </c>
      <c r="E2284" t="inlineStr">
        <is>
          <t>EKSJÖ</t>
        </is>
      </c>
      <c r="G2284" t="n">
        <v>0.8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30522-2024</t>
        </is>
      </c>
      <c r="B2285" s="1" t="n">
        <v>45492.52554398148</v>
      </c>
      <c r="C2285" s="1" t="n">
        <v>45962</v>
      </c>
      <c r="D2285" t="inlineStr">
        <is>
          <t>JÖNKÖPINGS LÄN</t>
        </is>
      </c>
      <c r="E2285" t="inlineStr">
        <is>
          <t>VETLANDA</t>
        </is>
      </c>
      <c r="G2285" t="n">
        <v>1.4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4033-2024</t>
        </is>
      </c>
      <c r="B2286" s="1" t="n">
        <v>45323.41452546296</v>
      </c>
      <c r="C2286" s="1" t="n">
        <v>45962</v>
      </c>
      <c r="D2286" t="inlineStr">
        <is>
          <t>JÖNKÖPINGS LÄN</t>
        </is>
      </c>
      <c r="E2286" t="inlineStr">
        <is>
          <t>VETLANDA</t>
        </is>
      </c>
      <c r="G2286" t="n">
        <v>3.3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61533-2023</t>
        </is>
      </c>
      <c r="B2287" s="1" t="n">
        <v>45265</v>
      </c>
      <c r="C2287" s="1" t="n">
        <v>45962</v>
      </c>
      <c r="D2287" t="inlineStr">
        <is>
          <t>JÖNKÖPINGS LÄN</t>
        </is>
      </c>
      <c r="E2287" t="inlineStr">
        <is>
          <t>GNOSJÖ</t>
        </is>
      </c>
      <c r="F2287" t="inlineStr">
        <is>
          <t>Sveaskog</t>
        </is>
      </c>
      <c r="G2287" t="n">
        <v>1.6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35420-2023</t>
        </is>
      </c>
      <c r="B2288" s="1" t="n">
        <v>45146</v>
      </c>
      <c r="C2288" s="1" t="n">
        <v>45962</v>
      </c>
      <c r="D2288" t="inlineStr">
        <is>
          <t>JÖNKÖPINGS LÄN</t>
        </is>
      </c>
      <c r="E2288" t="inlineStr">
        <is>
          <t>ANEBY</t>
        </is>
      </c>
      <c r="G2288" t="n">
        <v>1.1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15189-2023</t>
        </is>
      </c>
      <c r="B2289" s="1" t="n">
        <v>45016.70493055556</v>
      </c>
      <c r="C2289" s="1" t="n">
        <v>45962</v>
      </c>
      <c r="D2289" t="inlineStr">
        <is>
          <t>JÖNKÖPINGS LÄN</t>
        </is>
      </c>
      <c r="E2289" t="inlineStr">
        <is>
          <t>MULLSJÖ</t>
        </is>
      </c>
      <c r="G2289" t="n">
        <v>1.4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53209-2023</t>
        </is>
      </c>
      <c r="B2290" s="1" t="n">
        <v>45229.46152777778</v>
      </c>
      <c r="C2290" s="1" t="n">
        <v>45962</v>
      </c>
      <c r="D2290" t="inlineStr">
        <is>
          <t>JÖNKÖPINGS LÄN</t>
        </is>
      </c>
      <c r="E2290" t="inlineStr">
        <is>
          <t>VETLANDA</t>
        </is>
      </c>
      <c r="G2290" t="n">
        <v>1.4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1447-2025</t>
        </is>
      </c>
      <c r="B2291" s="1" t="n">
        <v>45669.86645833333</v>
      </c>
      <c r="C2291" s="1" t="n">
        <v>45962</v>
      </c>
      <c r="D2291" t="inlineStr">
        <is>
          <t>JÖNKÖPINGS LÄN</t>
        </is>
      </c>
      <c r="E2291" t="inlineStr">
        <is>
          <t>GISLAVED</t>
        </is>
      </c>
      <c r="G2291" t="n">
        <v>1.5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55799-2022</t>
        </is>
      </c>
      <c r="B2292" s="1" t="n">
        <v>44888</v>
      </c>
      <c r="C2292" s="1" t="n">
        <v>45962</v>
      </c>
      <c r="D2292" t="inlineStr">
        <is>
          <t>JÖNKÖPINGS LÄN</t>
        </is>
      </c>
      <c r="E2292" t="inlineStr">
        <is>
          <t>SÄVSJÖ</t>
        </is>
      </c>
      <c r="G2292" t="n">
        <v>2.1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16940-2025</t>
        </is>
      </c>
      <c r="B2293" s="1" t="n">
        <v>45755.42185185185</v>
      </c>
      <c r="C2293" s="1" t="n">
        <v>45962</v>
      </c>
      <c r="D2293" t="inlineStr">
        <is>
          <t>JÖNKÖPINGS LÄN</t>
        </is>
      </c>
      <c r="E2293" t="inlineStr">
        <is>
          <t>VÄRNAMO</t>
        </is>
      </c>
      <c r="G2293" t="n">
        <v>2.2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10354-2024</t>
        </is>
      </c>
      <c r="B2294" s="1" t="n">
        <v>45365.59902777777</v>
      </c>
      <c r="C2294" s="1" t="n">
        <v>45962</v>
      </c>
      <c r="D2294" t="inlineStr">
        <is>
          <t>JÖNKÖPINGS LÄN</t>
        </is>
      </c>
      <c r="E2294" t="inlineStr">
        <is>
          <t>ANEBY</t>
        </is>
      </c>
      <c r="F2294" t="inlineStr">
        <is>
          <t>Sveaskog</t>
        </is>
      </c>
      <c r="G2294" t="n">
        <v>3.3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30790-2023</t>
        </is>
      </c>
      <c r="B2295" s="1" t="n">
        <v>45112</v>
      </c>
      <c r="C2295" s="1" t="n">
        <v>45962</v>
      </c>
      <c r="D2295" t="inlineStr">
        <is>
          <t>JÖNKÖPINGS LÄN</t>
        </is>
      </c>
      <c r="E2295" t="inlineStr">
        <is>
          <t>GISLAVED</t>
        </is>
      </c>
      <c r="G2295" t="n">
        <v>1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9110-2021</t>
        </is>
      </c>
      <c r="B2296" s="1" t="n">
        <v>44249.66673611111</v>
      </c>
      <c r="C2296" s="1" t="n">
        <v>45962</v>
      </c>
      <c r="D2296" t="inlineStr">
        <is>
          <t>JÖNKÖPINGS LÄN</t>
        </is>
      </c>
      <c r="E2296" t="inlineStr">
        <is>
          <t>JÖNKÖPING</t>
        </is>
      </c>
      <c r="G2296" t="n">
        <v>6.1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20193-2023</t>
        </is>
      </c>
      <c r="B2297" s="1" t="n">
        <v>45055</v>
      </c>
      <c r="C2297" s="1" t="n">
        <v>45962</v>
      </c>
      <c r="D2297" t="inlineStr">
        <is>
          <t>JÖNKÖPINGS LÄN</t>
        </is>
      </c>
      <c r="E2297" t="inlineStr">
        <is>
          <t>VETLANDA</t>
        </is>
      </c>
      <c r="G2297" t="n">
        <v>1.1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9163-2021</t>
        </is>
      </c>
      <c r="B2298" s="1" t="n">
        <v>44249</v>
      </c>
      <c r="C2298" s="1" t="n">
        <v>45962</v>
      </c>
      <c r="D2298" t="inlineStr">
        <is>
          <t>JÖNKÖPINGS LÄN</t>
        </is>
      </c>
      <c r="E2298" t="inlineStr">
        <is>
          <t>JÖNKÖPING</t>
        </is>
      </c>
      <c r="G2298" t="n">
        <v>1.7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21788-2023</t>
        </is>
      </c>
      <c r="B2299" s="1" t="n">
        <v>45066.71208333333</v>
      </c>
      <c r="C2299" s="1" t="n">
        <v>45962</v>
      </c>
      <c r="D2299" t="inlineStr">
        <is>
          <t>JÖNKÖPINGS LÄN</t>
        </is>
      </c>
      <c r="E2299" t="inlineStr">
        <is>
          <t>SÄVSJÖ</t>
        </is>
      </c>
      <c r="G2299" t="n">
        <v>2.9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36945-2023</t>
        </is>
      </c>
      <c r="B2300" s="1" t="n">
        <v>45154</v>
      </c>
      <c r="C2300" s="1" t="n">
        <v>45962</v>
      </c>
      <c r="D2300" t="inlineStr">
        <is>
          <t>JÖNKÖPINGS LÄN</t>
        </is>
      </c>
      <c r="E2300" t="inlineStr">
        <is>
          <t>NÄSSJÖ</t>
        </is>
      </c>
      <c r="G2300" t="n">
        <v>5.2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6145-2023</t>
        </is>
      </c>
      <c r="B2301" s="1" t="n">
        <v>44964.6435300926</v>
      </c>
      <c r="C2301" s="1" t="n">
        <v>45962</v>
      </c>
      <c r="D2301" t="inlineStr">
        <is>
          <t>JÖNKÖPINGS LÄN</t>
        </is>
      </c>
      <c r="E2301" t="inlineStr">
        <is>
          <t>VAGGERYD</t>
        </is>
      </c>
      <c r="G2301" t="n">
        <v>2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14397-2023</t>
        </is>
      </c>
      <c r="B2302" s="1" t="n">
        <v>45012.47533564815</v>
      </c>
      <c r="C2302" s="1" t="n">
        <v>45962</v>
      </c>
      <c r="D2302" t="inlineStr">
        <is>
          <t>JÖNKÖPINGS LÄN</t>
        </is>
      </c>
      <c r="E2302" t="inlineStr">
        <is>
          <t>JÖNKÖPING</t>
        </is>
      </c>
      <c r="G2302" t="n">
        <v>4.5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1341-2023</t>
        </is>
      </c>
      <c r="B2303" s="1" t="n">
        <v>44936</v>
      </c>
      <c r="C2303" s="1" t="n">
        <v>45962</v>
      </c>
      <c r="D2303" t="inlineStr">
        <is>
          <t>JÖNKÖPINGS LÄN</t>
        </is>
      </c>
      <c r="E2303" t="inlineStr">
        <is>
          <t>VÄRNAMO</t>
        </is>
      </c>
      <c r="G2303" t="n">
        <v>0.6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58947-2020</t>
        </is>
      </c>
      <c r="B2304" s="1" t="n">
        <v>44146</v>
      </c>
      <c r="C2304" s="1" t="n">
        <v>45962</v>
      </c>
      <c r="D2304" t="inlineStr">
        <is>
          <t>JÖNKÖPINGS LÄN</t>
        </is>
      </c>
      <c r="E2304" t="inlineStr">
        <is>
          <t>EKSJÖ</t>
        </is>
      </c>
      <c r="G2304" t="n">
        <v>2.4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47884-2023</t>
        </is>
      </c>
      <c r="B2305" s="1" t="n">
        <v>45204.4794212963</v>
      </c>
      <c r="C2305" s="1" t="n">
        <v>45962</v>
      </c>
      <c r="D2305" t="inlineStr">
        <is>
          <t>JÖNKÖPINGS LÄN</t>
        </is>
      </c>
      <c r="E2305" t="inlineStr">
        <is>
          <t>NÄSSJÖ</t>
        </is>
      </c>
      <c r="G2305" t="n">
        <v>3.1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38040-2024</t>
        </is>
      </c>
      <c r="B2306" s="1" t="n">
        <v>45544.68020833333</v>
      </c>
      <c r="C2306" s="1" t="n">
        <v>45962</v>
      </c>
      <c r="D2306" t="inlineStr">
        <is>
          <t>JÖNKÖPINGS LÄN</t>
        </is>
      </c>
      <c r="E2306" t="inlineStr">
        <is>
          <t>EKSJÖ</t>
        </is>
      </c>
      <c r="G2306" t="n">
        <v>1.5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6240-2022</t>
        </is>
      </c>
      <c r="B2307" s="1" t="n">
        <v>44600</v>
      </c>
      <c r="C2307" s="1" t="n">
        <v>45962</v>
      </c>
      <c r="D2307" t="inlineStr">
        <is>
          <t>JÖNKÖPINGS LÄN</t>
        </is>
      </c>
      <c r="E2307" t="inlineStr">
        <is>
          <t>VETLANDA</t>
        </is>
      </c>
      <c r="G2307" t="n">
        <v>0.6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3530-2023</t>
        </is>
      </c>
      <c r="B2308" s="1" t="n">
        <v>44946</v>
      </c>
      <c r="C2308" s="1" t="n">
        <v>45962</v>
      </c>
      <c r="D2308" t="inlineStr">
        <is>
          <t>JÖNKÖPINGS LÄN</t>
        </is>
      </c>
      <c r="E2308" t="inlineStr">
        <is>
          <t>VETLANDA</t>
        </is>
      </c>
      <c r="G2308" t="n">
        <v>2.1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68939-2020</t>
        </is>
      </c>
      <c r="B2309" s="1" t="n">
        <v>44187</v>
      </c>
      <c r="C2309" s="1" t="n">
        <v>45962</v>
      </c>
      <c r="D2309" t="inlineStr">
        <is>
          <t>JÖNKÖPINGS LÄN</t>
        </is>
      </c>
      <c r="E2309" t="inlineStr">
        <is>
          <t>EKSJÖ</t>
        </is>
      </c>
      <c r="F2309" t="inlineStr">
        <is>
          <t>Kyrkan</t>
        </is>
      </c>
      <c r="G2309" t="n">
        <v>1.9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69001-2020</t>
        </is>
      </c>
      <c r="B2310" s="1" t="n">
        <v>44188</v>
      </c>
      <c r="C2310" s="1" t="n">
        <v>45962</v>
      </c>
      <c r="D2310" t="inlineStr">
        <is>
          <t>JÖNKÖPINGS LÄN</t>
        </is>
      </c>
      <c r="E2310" t="inlineStr">
        <is>
          <t>VETLANDA</t>
        </is>
      </c>
      <c r="G2310" t="n">
        <v>3.1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5736-2022</t>
        </is>
      </c>
      <c r="B2311" s="1" t="n">
        <v>44596</v>
      </c>
      <c r="C2311" s="1" t="n">
        <v>45962</v>
      </c>
      <c r="D2311" t="inlineStr">
        <is>
          <t>JÖNKÖPINGS LÄN</t>
        </is>
      </c>
      <c r="E2311" t="inlineStr">
        <is>
          <t>JÖNKÖPING</t>
        </is>
      </c>
      <c r="G2311" t="n">
        <v>1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26419-2023</t>
        </is>
      </c>
      <c r="B2312" s="1" t="n">
        <v>45092.38262731482</v>
      </c>
      <c r="C2312" s="1" t="n">
        <v>45962</v>
      </c>
      <c r="D2312" t="inlineStr">
        <is>
          <t>JÖNKÖPINGS LÄN</t>
        </is>
      </c>
      <c r="E2312" t="inlineStr">
        <is>
          <t>EKSJÖ</t>
        </is>
      </c>
      <c r="G2312" t="n">
        <v>1.8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26441-2023</t>
        </is>
      </c>
      <c r="B2313" s="1" t="n">
        <v>45092.42630787037</v>
      </c>
      <c r="C2313" s="1" t="n">
        <v>45962</v>
      </c>
      <c r="D2313" t="inlineStr">
        <is>
          <t>JÖNKÖPINGS LÄN</t>
        </is>
      </c>
      <c r="E2313" t="inlineStr">
        <is>
          <t>JÖNKÖPING</t>
        </is>
      </c>
      <c r="G2313" t="n">
        <v>1.4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18764-2025</t>
        </is>
      </c>
      <c r="B2314" s="1" t="n">
        <v>45764.29541666667</v>
      </c>
      <c r="C2314" s="1" t="n">
        <v>45962</v>
      </c>
      <c r="D2314" t="inlineStr">
        <is>
          <t>JÖNKÖPINGS LÄN</t>
        </is>
      </c>
      <c r="E2314" t="inlineStr">
        <is>
          <t>VAGGERYD</t>
        </is>
      </c>
      <c r="G2314" t="n">
        <v>3.4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2624-2025</t>
        </is>
      </c>
      <c r="B2315" s="1" t="n">
        <v>45675.65545138889</v>
      </c>
      <c r="C2315" s="1" t="n">
        <v>45962</v>
      </c>
      <c r="D2315" t="inlineStr">
        <is>
          <t>JÖNKÖPINGS LÄN</t>
        </is>
      </c>
      <c r="E2315" t="inlineStr">
        <is>
          <t>GISLAVED</t>
        </is>
      </c>
      <c r="F2315" t="inlineStr">
        <is>
          <t>Kommuner</t>
        </is>
      </c>
      <c r="G2315" t="n">
        <v>7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16571-2025</t>
        </is>
      </c>
      <c r="B2316" s="1" t="n">
        <v>45752.47685185185</v>
      </c>
      <c r="C2316" s="1" t="n">
        <v>45962</v>
      </c>
      <c r="D2316" t="inlineStr">
        <is>
          <t>JÖNKÖPINGS LÄN</t>
        </is>
      </c>
      <c r="E2316" t="inlineStr">
        <is>
          <t>MULLSJÖ</t>
        </is>
      </c>
      <c r="G2316" t="n">
        <v>0.7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29432-2021</t>
        </is>
      </c>
      <c r="B2317" s="1" t="n">
        <v>44361</v>
      </c>
      <c r="C2317" s="1" t="n">
        <v>45962</v>
      </c>
      <c r="D2317" t="inlineStr">
        <is>
          <t>JÖNKÖPINGS LÄN</t>
        </is>
      </c>
      <c r="E2317" t="inlineStr">
        <is>
          <t>VETLANDA</t>
        </is>
      </c>
      <c r="G2317" t="n">
        <v>2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10131-2023</t>
        </is>
      </c>
      <c r="B2318" s="1" t="n">
        <v>44986</v>
      </c>
      <c r="C2318" s="1" t="n">
        <v>45962</v>
      </c>
      <c r="D2318" t="inlineStr">
        <is>
          <t>JÖNKÖPINGS LÄN</t>
        </is>
      </c>
      <c r="E2318" t="inlineStr">
        <is>
          <t>GISLAVED</t>
        </is>
      </c>
      <c r="G2318" t="n">
        <v>15.1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14414-2025</t>
        </is>
      </c>
      <c r="B2319" s="1" t="n">
        <v>45741.4753587963</v>
      </c>
      <c r="C2319" s="1" t="n">
        <v>45962</v>
      </c>
      <c r="D2319" t="inlineStr">
        <is>
          <t>JÖNKÖPINGS LÄN</t>
        </is>
      </c>
      <c r="E2319" t="inlineStr">
        <is>
          <t>EKSJÖ</t>
        </is>
      </c>
      <c r="F2319" t="inlineStr">
        <is>
          <t>Sveaskog</t>
        </is>
      </c>
      <c r="G2319" t="n">
        <v>2.7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69471-2021</t>
        </is>
      </c>
      <c r="B2320" s="1" t="n">
        <v>44531</v>
      </c>
      <c r="C2320" s="1" t="n">
        <v>45962</v>
      </c>
      <c r="D2320" t="inlineStr">
        <is>
          <t>JÖNKÖPINGS LÄN</t>
        </is>
      </c>
      <c r="E2320" t="inlineStr">
        <is>
          <t>VETLANDA</t>
        </is>
      </c>
      <c r="G2320" t="n">
        <v>4.7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14424-2025</t>
        </is>
      </c>
      <c r="B2321" s="1" t="n">
        <v>45741.48952546297</v>
      </c>
      <c r="C2321" s="1" t="n">
        <v>45962</v>
      </c>
      <c r="D2321" t="inlineStr">
        <is>
          <t>JÖNKÖPINGS LÄN</t>
        </is>
      </c>
      <c r="E2321" t="inlineStr">
        <is>
          <t>EKSJÖ</t>
        </is>
      </c>
      <c r="F2321" t="inlineStr">
        <is>
          <t>Sveaskog</t>
        </is>
      </c>
      <c r="G2321" t="n">
        <v>3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63742-2023</t>
        </is>
      </c>
      <c r="B2322" s="1" t="n">
        <v>45277</v>
      </c>
      <c r="C2322" s="1" t="n">
        <v>45962</v>
      </c>
      <c r="D2322" t="inlineStr">
        <is>
          <t>JÖNKÖPINGS LÄN</t>
        </is>
      </c>
      <c r="E2322" t="inlineStr">
        <is>
          <t>NÄSSJÖ</t>
        </is>
      </c>
      <c r="G2322" t="n">
        <v>3.5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32601-2024</t>
        </is>
      </c>
      <c r="B2323" s="1" t="n">
        <v>45513</v>
      </c>
      <c r="C2323" s="1" t="n">
        <v>45962</v>
      </c>
      <c r="D2323" t="inlineStr">
        <is>
          <t>JÖNKÖPINGS LÄN</t>
        </is>
      </c>
      <c r="E2323" t="inlineStr">
        <is>
          <t>EKSJÖ</t>
        </is>
      </c>
      <c r="F2323" t="inlineStr">
        <is>
          <t>Kyrkan</t>
        </is>
      </c>
      <c r="G2323" t="n">
        <v>1.4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12455-2022</t>
        </is>
      </c>
      <c r="B2324" s="1" t="n">
        <v>44638.42206018518</v>
      </c>
      <c r="C2324" s="1" t="n">
        <v>45962</v>
      </c>
      <c r="D2324" t="inlineStr">
        <is>
          <t>JÖNKÖPINGS LÄN</t>
        </is>
      </c>
      <c r="E2324" t="inlineStr">
        <is>
          <t>VAGGERYD</t>
        </is>
      </c>
      <c r="G2324" t="n">
        <v>2.3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32238-2023</t>
        </is>
      </c>
      <c r="B2325" s="1" t="n">
        <v>45119.96327546296</v>
      </c>
      <c r="C2325" s="1" t="n">
        <v>45962</v>
      </c>
      <c r="D2325" t="inlineStr">
        <is>
          <t>JÖNKÖPINGS LÄN</t>
        </is>
      </c>
      <c r="E2325" t="inlineStr">
        <is>
          <t>HABO</t>
        </is>
      </c>
      <c r="G2325" t="n">
        <v>1.3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64541-2023</t>
        </is>
      </c>
      <c r="B2326" s="1" t="n">
        <v>45281</v>
      </c>
      <c r="C2326" s="1" t="n">
        <v>45962</v>
      </c>
      <c r="D2326" t="inlineStr">
        <is>
          <t>JÖNKÖPINGS LÄN</t>
        </is>
      </c>
      <c r="E2326" t="inlineStr">
        <is>
          <t>EKSJÖ</t>
        </is>
      </c>
      <c r="G2326" t="n">
        <v>4.4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60724-2024</t>
        </is>
      </c>
      <c r="B2327" s="1" t="n">
        <v>45643</v>
      </c>
      <c r="C2327" s="1" t="n">
        <v>45962</v>
      </c>
      <c r="D2327" t="inlineStr">
        <is>
          <t>JÖNKÖPINGS LÄN</t>
        </is>
      </c>
      <c r="E2327" t="inlineStr">
        <is>
          <t>JÖNKÖPING</t>
        </is>
      </c>
      <c r="G2327" t="n">
        <v>2.6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3987-2024</t>
        </is>
      </c>
      <c r="B2328" s="1" t="n">
        <v>45322.93523148148</v>
      </c>
      <c r="C2328" s="1" t="n">
        <v>45962</v>
      </c>
      <c r="D2328" t="inlineStr">
        <is>
          <t>JÖNKÖPINGS LÄN</t>
        </is>
      </c>
      <c r="E2328" t="inlineStr">
        <is>
          <t>GNOSJÖ</t>
        </is>
      </c>
      <c r="G2328" t="n">
        <v>2.5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48202-2021</t>
        </is>
      </c>
      <c r="B2329" s="1" t="n">
        <v>44449.59364583333</v>
      </c>
      <c r="C2329" s="1" t="n">
        <v>45962</v>
      </c>
      <c r="D2329" t="inlineStr">
        <is>
          <t>JÖNKÖPINGS LÄN</t>
        </is>
      </c>
      <c r="E2329" t="inlineStr">
        <is>
          <t>GISLAVED</t>
        </is>
      </c>
      <c r="G2329" t="n">
        <v>2.4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58612-2024</t>
        </is>
      </c>
      <c r="B2330" s="1" t="n">
        <v>45635.555625</v>
      </c>
      <c r="C2330" s="1" t="n">
        <v>45962</v>
      </c>
      <c r="D2330" t="inlineStr">
        <is>
          <t>JÖNKÖPINGS LÄN</t>
        </is>
      </c>
      <c r="E2330" t="inlineStr">
        <is>
          <t>VAGGERYD</t>
        </is>
      </c>
      <c r="F2330" t="inlineStr">
        <is>
          <t>Sveaskog</t>
        </is>
      </c>
      <c r="G2330" t="n">
        <v>0.7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58622-2024</t>
        </is>
      </c>
      <c r="B2331" s="1" t="n">
        <v>45635.56398148148</v>
      </c>
      <c r="C2331" s="1" t="n">
        <v>45962</v>
      </c>
      <c r="D2331" t="inlineStr">
        <is>
          <t>JÖNKÖPINGS LÄN</t>
        </is>
      </c>
      <c r="E2331" t="inlineStr">
        <is>
          <t>VAGGERYD</t>
        </is>
      </c>
      <c r="F2331" t="inlineStr">
        <is>
          <t>Sveaskog</t>
        </is>
      </c>
      <c r="G2331" t="n">
        <v>3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39252-2023</t>
        </is>
      </c>
      <c r="B2332" s="1" t="n">
        <v>45166.47346064815</v>
      </c>
      <c r="C2332" s="1" t="n">
        <v>45962</v>
      </c>
      <c r="D2332" t="inlineStr">
        <is>
          <t>JÖNKÖPINGS LÄN</t>
        </is>
      </c>
      <c r="E2332" t="inlineStr">
        <is>
          <t>NÄSSJÖ</t>
        </is>
      </c>
      <c r="G2332" t="n">
        <v>0.5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14435-2024</t>
        </is>
      </c>
      <c r="B2333" s="1" t="n">
        <v>45394</v>
      </c>
      <c r="C2333" s="1" t="n">
        <v>45962</v>
      </c>
      <c r="D2333" t="inlineStr">
        <is>
          <t>JÖNKÖPINGS LÄN</t>
        </is>
      </c>
      <c r="E2333" t="inlineStr">
        <is>
          <t>VETLANDA</t>
        </is>
      </c>
      <c r="G2333" t="n">
        <v>0.8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18665-2025</t>
        </is>
      </c>
      <c r="B2334" s="1" t="n">
        <v>45763.59106481481</v>
      </c>
      <c r="C2334" s="1" t="n">
        <v>45962</v>
      </c>
      <c r="D2334" t="inlineStr">
        <is>
          <t>JÖNKÖPINGS LÄN</t>
        </is>
      </c>
      <c r="E2334" t="inlineStr">
        <is>
          <t>VETLANDA</t>
        </is>
      </c>
      <c r="G2334" t="n">
        <v>0.7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27195-2021</t>
        </is>
      </c>
      <c r="B2335" s="1" t="n">
        <v>44350.69622685185</v>
      </c>
      <c r="C2335" s="1" t="n">
        <v>45962</v>
      </c>
      <c r="D2335" t="inlineStr">
        <is>
          <t>JÖNKÖPINGS LÄN</t>
        </is>
      </c>
      <c r="E2335" t="inlineStr">
        <is>
          <t>VETLANDA</t>
        </is>
      </c>
      <c r="G2335" t="n">
        <v>0.8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21824-2022</t>
        </is>
      </c>
      <c r="B2336" s="1" t="n">
        <v>44710.46695601852</v>
      </c>
      <c r="C2336" s="1" t="n">
        <v>45962</v>
      </c>
      <c r="D2336" t="inlineStr">
        <is>
          <t>JÖNKÖPINGS LÄN</t>
        </is>
      </c>
      <c r="E2336" t="inlineStr">
        <is>
          <t>VETLANDA</t>
        </is>
      </c>
      <c r="G2336" t="n">
        <v>3.8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19861-2025</t>
        </is>
      </c>
      <c r="B2337" s="1" t="n">
        <v>45771.53413194444</v>
      </c>
      <c r="C2337" s="1" t="n">
        <v>45962</v>
      </c>
      <c r="D2337" t="inlineStr">
        <is>
          <t>JÖNKÖPINGS LÄN</t>
        </is>
      </c>
      <c r="E2337" t="inlineStr">
        <is>
          <t>EKSJÖ</t>
        </is>
      </c>
      <c r="F2337" t="inlineStr">
        <is>
          <t>Kyrkan</t>
        </is>
      </c>
      <c r="G2337" t="n">
        <v>4.8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22730-2024</t>
        </is>
      </c>
      <c r="B2338" s="1" t="n">
        <v>45448.37774305556</v>
      </c>
      <c r="C2338" s="1" t="n">
        <v>45962</v>
      </c>
      <c r="D2338" t="inlineStr">
        <is>
          <t>JÖNKÖPINGS LÄN</t>
        </is>
      </c>
      <c r="E2338" t="inlineStr">
        <is>
          <t>SÄVSJÖ</t>
        </is>
      </c>
      <c r="G2338" t="n">
        <v>1.8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55592-2023</t>
        </is>
      </c>
      <c r="B2339" s="1" t="n">
        <v>45238.67873842592</v>
      </c>
      <c r="C2339" s="1" t="n">
        <v>45962</v>
      </c>
      <c r="D2339" t="inlineStr">
        <is>
          <t>JÖNKÖPINGS LÄN</t>
        </is>
      </c>
      <c r="E2339" t="inlineStr">
        <is>
          <t>NÄSSJÖ</t>
        </is>
      </c>
      <c r="G2339" t="n">
        <v>2.4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60097-2024</t>
        </is>
      </c>
      <c r="B2340" s="1" t="n">
        <v>45642.55597222222</v>
      </c>
      <c r="C2340" s="1" t="n">
        <v>45962</v>
      </c>
      <c r="D2340" t="inlineStr">
        <is>
          <t>JÖNKÖPINGS LÄN</t>
        </is>
      </c>
      <c r="E2340" t="inlineStr">
        <is>
          <t>VÄRNAMO</t>
        </is>
      </c>
      <c r="F2340" t="inlineStr">
        <is>
          <t>Sveaskog</t>
        </is>
      </c>
      <c r="G2340" t="n">
        <v>3.1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11284-2025</t>
        </is>
      </c>
      <c r="B2341" s="1" t="n">
        <v>45726.42344907407</v>
      </c>
      <c r="C2341" s="1" t="n">
        <v>45962</v>
      </c>
      <c r="D2341" t="inlineStr">
        <is>
          <t>JÖNKÖPINGS LÄN</t>
        </is>
      </c>
      <c r="E2341" t="inlineStr">
        <is>
          <t>JÖNKÖPING</t>
        </is>
      </c>
      <c r="F2341" t="inlineStr">
        <is>
          <t>Övriga Aktiebolag</t>
        </is>
      </c>
      <c r="G2341" t="n">
        <v>0.5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37802-2024</t>
        </is>
      </c>
      <c r="B2342" s="1" t="n">
        <v>45543.56393518519</v>
      </c>
      <c r="C2342" s="1" t="n">
        <v>45962</v>
      </c>
      <c r="D2342" t="inlineStr">
        <is>
          <t>JÖNKÖPINGS LÄN</t>
        </is>
      </c>
      <c r="E2342" t="inlineStr">
        <is>
          <t>HABO</t>
        </is>
      </c>
      <c r="G2342" t="n">
        <v>2.8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36481-2023</t>
        </is>
      </c>
      <c r="B2343" s="1" t="n">
        <v>45152.72302083333</v>
      </c>
      <c r="C2343" s="1" t="n">
        <v>45962</v>
      </c>
      <c r="D2343" t="inlineStr">
        <is>
          <t>JÖNKÖPINGS LÄN</t>
        </is>
      </c>
      <c r="E2343" t="inlineStr">
        <is>
          <t>HABO</t>
        </is>
      </c>
      <c r="G2343" t="n">
        <v>5.3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4786-2024</t>
        </is>
      </c>
      <c r="B2344" s="1" t="n">
        <v>45328</v>
      </c>
      <c r="C2344" s="1" t="n">
        <v>45962</v>
      </c>
      <c r="D2344" t="inlineStr">
        <is>
          <t>JÖNKÖPINGS LÄN</t>
        </is>
      </c>
      <c r="E2344" t="inlineStr">
        <is>
          <t>EKSJÖ</t>
        </is>
      </c>
      <c r="G2344" t="n">
        <v>1.8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48188-2022</t>
        </is>
      </c>
      <c r="B2345" s="1" t="n">
        <v>44853</v>
      </c>
      <c r="C2345" s="1" t="n">
        <v>45962</v>
      </c>
      <c r="D2345" t="inlineStr">
        <is>
          <t>JÖNKÖPINGS LÄN</t>
        </is>
      </c>
      <c r="E2345" t="inlineStr">
        <is>
          <t>GNOSJÖ</t>
        </is>
      </c>
      <c r="G2345" t="n">
        <v>3.3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13811-2022</t>
        </is>
      </c>
      <c r="B2346" s="1" t="n">
        <v>44649.5895949074</v>
      </c>
      <c r="C2346" s="1" t="n">
        <v>45962</v>
      </c>
      <c r="D2346" t="inlineStr">
        <is>
          <t>JÖNKÖPINGS LÄN</t>
        </is>
      </c>
      <c r="E2346" t="inlineStr">
        <is>
          <t>MULLSJÖ</t>
        </is>
      </c>
      <c r="G2346" t="n">
        <v>0.6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62452-2021</t>
        </is>
      </c>
      <c r="B2347" s="1" t="n">
        <v>44503</v>
      </c>
      <c r="C2347" s="1" t="n">
        <v>45962</v>
      </c>
      <c r="D2347" t="inlineStr">
        <is>
          <t>JÖNKÖPINGS LÄN</t>
        </is>
      </c>
      <c r="E2347" t="inlineStr">
        <is>
          <t>MULLSJÖ</t>
        </is>
      </c>
      <c r="G2347" t="n">
        <v>2.1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12700-2024</t>
        </is>
      </c>
      <c r="B2348" s="1" t="n">
        <v>45384.44951388889</v>
      </c>
      <c r="C2348" s="1" t="n">
        <v>45962</v>
      </c>
      <c r="D2348" t="inlineStr">
        <is>
          <t>JÖNKÖPINGS LÄN</t>
        </is>
      </c>
      <c r="E2348" t="inlineStr">
        <is>
          <t>VETLANDA</t>
        </is>
      </c>
      <c r="G2348" t="n">
        <v>1.7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409-2024</t>
        </is>
      </c>
      <c r="B2349" s="1" t="n">
        <v>45296</v>
      </c>
      <c r="C2349" s="1" t="n">
        <v>45962</v>
      </c>
      <c r="D2349" t="inlineStr">
        <is>
          <t>JÖNKÖPINGS LÄN</t>
        </is>
      </c>
      <c r="E2349" t="inlineStr">
        <is>
          <t>VETLANDA</t>
        </is>
      </c>
      <c r="G2349" t="n">
        <v>0.9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34098-2024</t>
        </is>
      </c>
      <c r="B2350" s="1" t="n">
        <v>45523.69509259259</v>
      </c>
      <c r="C2350" s="1" t="n">
        <v>45962</v>
      </c>
      <c r="D2350" t="inlineStr">
        <is>
          <t>JÖNKÖPINGS LÄN</t>
        </is>
      </c>
      <c r="E2350" t="inlineStr">
        <is>
          <t>EKSJÖ</t>
        </is>
      </c>
      <c r="G2350" t="n">
        <v>0.7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4929-2024</t>
        </is>
      </c>
      <c r="B2351" s="1" t="n">
        <v>45329</v>
      </c>
      <c r="C2351" s="1" t="n">
        <v>45962</v>
      </c>
      <c r="D2351" t="inlineStr">
        <is>
          <t>JÖNKÖPINGS LÄN</t>
        </is>
      </c>
      <c r="E2351" t="inlineStr">
        <is>
          <t>EKSJÖ</t>
        </is>
      </c>
      <c r="G2351" t="n">
        <v>1.4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4030-2023</t>
        </is>
      </c>
      <c r="B2352" s="1" t="n">
        <v>44952</v>
      </c>
      <c r="C2352" s="1" t="n">
        <v>45962</v>
      </c>
      <c r="D2352" t="inlineStr">
        <is>
          <t>JÖNKÖPINGS LÄN</t>
        </is>
      </c>
      <c r="E2352" t="inlineStr">
        <is>
          <t>SÄVSJÖ</t>
        </is>
      </c>
      <c r="G2352" t="n">
        <v>1.9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58437-2024</t>
        </is>
      </c>
      <c r="B2353" s="1" t="n">
        <v>45635.28104166667</v>
      </c>
      <c r="C2353" s="1" t="n">
        <v>45962</v>
      </c>
      <c r="D2353" t="inlineStr">
        <is>
          <t>JÖNKÖPINGS LÄN</t>
        </is>
      </c>
      <c r="E2353" t="inlineStr">
        <is>
          <t>JÖNKÖPING</t>
        </is>
      </c>
      <c r="G2353" t="n">
        <v>0.5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58490-2024</t>
        </is>
      </c>
      <c r="B2354" s="1" t="n">
        <v>45635</v>
      </c>
      <c r="C2354" s="1" t="n">
        <v>45962</v>
      </c>
      <c r="D2354" t="inlineStr">
        <is>
          <t>JÖNKÖPINGS LÄN</t>
        </is>
      </c>
      <c r="E2354" t="inlineStr">
        <is>
          <t>EKSJÖ</t>
        </is>
      </c>
      <c r="G2354" t="n">
        <v>6.3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25837-2023</t>
        </is>
      </c>
      <c r="B2355" s="1" t="n">
        <v>45090.56901620371</v>
      </c>
      <c r="C2355" s="1" t="n">
        <v>45962</v>
      </c>
      <c r="D2355" t="inlineStr">
        <is>
          <t>JÖNKÖPINGS LÄN</t>
        </is>
      </c>
      <c r="E2355" t="inlineStr">
        <is>
          <t>GNOSJÖ</t>
        </is>
      </c>
      <c r="G2355" t="n">
        <v>2.3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7130-2023</t>
        </is>
      </c>
      <c r="B2356" s="1" t="n">
        <v>44970.42385416666</v>
      </c>
      <c r="C2356" s="1" t="n">
        <v>45962</v>
      </c>
      <c r="D2356" t="inlineStr">
        <is>
          <t>JÖNKÖPINGS LÄN</t>
        </is>
      </c>
      <c r="E2356" t="inlineStr">
        <is>
          <t>VÄRNAMO</t>
        </is>
      </c>
      <c r="G2356" t="n">
        <v>0.9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36604-2022</t>
        </is>
      </c>
      <c r="B2357" s="1" t="n">
        <v>44804</v>
      </c>
      <c r="C2357" s="1" t="n">
        <v>45962</v>
      </c>
      <c r="D2357" t="inlineStr">
        <is>
          <t>JÖNKÖPINGS LÄN</t>
        </is>
      </c>
      <c r="E2357" t="inlineStr">
        <is>
          <t>NÄSSJÖ</t>
        </is>
      </c>
      <c r="G2357" t="n">
        <v>4.1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62909-2023</t>
        </is>
      </c>
      <c r="B2358" s="1" t="n">
        <v>45271</v>
      </c>
      <c r="C2358" s="1" t="n">
        <v>45962</v>
      </c>
      <c r="D2358" t="inlineStr">
        <is>
          <t>JÖNKÖPINGS LÄN</t>
        </is>
      </c>
      <c r="E2358" t="inlineStr">
        <is>
          <t>JÖNKÖPING</t>
        </is>
      </c>
      <c r="G2358" t="n">
        <v>0.6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20249-2025</t>
        </is>
      </c>
      <c r="B2359" s="1" t="n">
        <v>45772.79462962963</v>
      </c>
      <c r="C2359" s="1" t="n">
        <v>45962</v>
      </c>
      <c r="D2359" t="inlineStr">
        <is>
          <t>JÖNKÖPINGS LÄN</t>
        </is>
      </c>
      <c r="E2359" t="inlineStr">
        <is>
          <t>GISLAVED</t>
        </is>
      </c>
      <c r="G2359" t="n">
        <v>0.6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20252-2025</t>
        </is>
      </c>
      <c r="B2360" s="1" t="n">
        <v>45772</v>
      </c>
      <c r="C2360" s="1" t="n">
        <v>45962</v>
      </c>
      <c r="D2360" t="inlineStr">
        <is>
          <t>JÖNKÖPINGS LÄN</t>
        </is>
      </c>
      <c r="E2360" t="inlineStr">
        <is>
          <t>VAGGERYD</t>
        </is>
      </c>
      <c r="G2360" t="n">
        <v>0.4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20254-2025</t>
        </is>
      </c>
      <c r="B2361" s="1" t="n">
        <v>45772.89429398148</v>
      </c>
      <c r="C2361" s="1" t="n">
        <v>45962</v>
      </c>
      <c r="D2361" t="inlineStr">
        <is>
          <t>JÖNKÖPINGS LÄN</t>
        </is>
      </c>
      <c r="E2361" t="inlineStr">
        <is>
          <t>VÄRNAMO</t>
        </is>
      </c>
      <c r="G2361" t="n">
        <v>0.6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8371-2023</t>
        </is>
      </c>
      <c r="B2362" s="1" t="n">
        <v>44977.385625</v>
      </c>
      <c r="C2362" s="1" t="n">
        <v>45962</v>
      </c>
      <c r="D2362" t="inlineStr">
        <is>
          <t>JÖNKÖPINGS LÄN</t>
        </is>
      </c>
      <c r="E2362" t="inlineStr">
        <is>
          <t>MULLSJÖ</t>
        </is>
      </c>
      <c r="G2362" t="n">
        <v>4.7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49708-2023</t>
        </is>
      </c>
      <c r="B2363" s="1" t="n">
        <v>45212.41587962963</v>
      </c>
      <c r="C2363" s="1" t="n">
        <v>45962</v>
      </c>
      <c r="D2363" t="inlineStr">
        <is>
          <t>JÖNKÖPINGS LÄN</t>
        </is>
      </c>
      <c r="E2363" t="inlineStr">
        <is>
          <t>SÄVSJÖ</t>
        </is>
      </c>
      <c r="G2363" t="n">
        <v>0.5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47891-2023</t>
        </is>
      </c>
      <c r="B2364" s="1" t="n">
        <v>45204</v>
      </c>
      <c r="C2364" s="1" t="n">
        <v>45962</v>
      </c>
      <c r="D2364" t="inlineStr">
        <is>
          <t>JÖNKÖPINGS LÄN</t>
        </is>
      </c>
      <c r="E2364" t="inlineStr">
        <is>
          <t>GISLAVED</t>
        </is>
      </c>
      <c r="G2364" t="n">
        <v>4.4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35779-2022</t>
        </is>
      </c>
      <c r="B2365" s="1" t="n">
        <v>44801.57503472222</v>
      </c>
      <c r="C2365" s="1" t="n">
        <v>45962</v>
      </c>
      <c r="D2365" t="inlineStr">
        <is>
          <t>JÖNKÖPINGS LÄN</t>
        </is>
      </c>
      <c r="E2365" t="inlineStr">
        <is>
          <t>HABO</t>
        </is>
      </c>
      <c r="G2365" t="n">
        <v>1.5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12973-2025</t>
        </is>
      </c>
      <c r="B2366" s="1" t="n">
        <v>45734.44627314815</v>
      </c>
      <c r="C2366" s="1" t="n">
        <v>45962</v>
      </c>
      <c r="D2366" t="inlineStr">
        <is>
          <t>JÖNKÖPINGS LÄN</t>
        </is>
      </c>
      <c r="E2366" t="inlineStr">
        <is>
          <t>NÄSSJÖ</t>
        </is>
      </c>
      <c r="G2366" t="n">
        <v>1.8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15884-2024</t>
        </is>
      </c>
      <c r="B2367" s="1" t="n">
        <v>45405</v>
      </c>
      <c r="C2367" s="1" t="n">
        <v>45962</v>
      </c>
      <c r="D2367" t="inlineStr">
        <is>
          <t>JÖNKÖPINGS LÄN</t>
        </is>
      </c>
      <c r="E2367" t="inlineStr">
        <is>
          <t>JÖNKÖPING</t>
        </is>
      </c>
      <c r="G2367" t="n">
        <v>2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15886-2024</t>
        </is>
      </c>
      <c r="B2368" s="1" t="n">
        <v>45405</v>
      </c>
      <c r="C2368" s="1" t="n">
        <v>45962</v>
      </c>
      <c r="D2368" t="inlineStr">
        <is>
          <t>JÖNKÖPINGS LÄN</t>
        </is>
      </c>
      <c r="E2368" t="inlineStr">
        <is>
          <t>JÖNKÖPING</t>
        </is>
      </c>
      <c r="G2368" t="n">
        <v>1.5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16082-2024</t>
        </is>
      </c>
      <c r="B2369" s="1" t="n">
        <v>45406.36346064815</v>
      </c>
      <c r="C2369" s="1" t="n">
        <v>45962</v>
      </c>
      <c r="D2369" t="inlineStr">
        <is>
          <t>JÖNKÖPINGS LÄN</t>
        </is>
      </c>
      <c r="E2369" t="inlineStr">
        <is>
          <t>VETLANDA</t>
        </is>
      </c>
      <c r="G2369" t="n">
        <v>2.2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65529-2020</t>
        </is>
      </c>
      <c r="B2370" s="1" t="n">
        <v>44173</v>
      </c>
      <c r="C2370" s="1" t="n">
        <v>45962</v>
      </c>
      <c r="D2370" t="inlineStr">
        <is>
          <t>JÖNKÖPINGS LÄN</t>
        </is>
      </c>
      <c r="E2370" t="inlineStr">
        <is>
          <t>JÖNKÖPING</t>
        </is>
      </c>
      <c r="G2370" t="n">
        <v>2.5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60601-2024</t>
        </is>
      </c>
      <c r="B2371" s="1" t="n">
        <v>45644.37350694444</v>
      </c>
      <c r="C2371" s="1" t="n">
        <v>45962</v>
      </c>
      <c r="D2371" t="inlineStr">
        <is>
          <t>JÖNKÖPINGS LÄN</t>
        </is>
      </c>
      <c r="E2371" t="inlineStr">
        <is>
          <t>VAGGERYD</t>
        </is>
      </c>
      <c r="G2371" t="n">
        <v>3.2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475-2025</t>
        </is>
      </c>
      <c r="B2372" s="1" t="n">
        <v>45664.44319444444</v>
      </c>
      <c r="C2372" s="1" t="n">
        <v>45962</v>
      </c>
      <c r="D2372" t="inlineStr">
        <is>
          <t>JÖNKÖPINGS LÄN</t>
        </is>
      </c>
      <c r="E2372" t="inlineStr">
        <is>
          <t>VETLANDA</t>
        </is>
      </c>
      <c r="G2372" t="n">
        <v>5.2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16775-2023</t>
        </is>
      </c>
      <c r="B2373" s="1" t="n">
        <v>45031.42637731481</v>
      </c>
      <c r="C2373" s="1" t="n">
        <v>45962</v>
      </c>
      <c r="D2373" t="inlineStr">
        <is>
          <t>JÖNKÖPINGS LÄN</t>
        </is>
      </c>
      <c r="E2373" t="inlineStr">
        <is>
          <t>NÄSSJÖ</t>
        </is>
      </c>
      <c r="G2373" t="n">
        <v>0.5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37510-2024</t>
        </is>
      </c>
      <c r="B2374" s="1" t="n">
        <v>45541</v>
      </c>
      <c r="C2374" s="1" t="n">
        <v>45962</v>
      </c>
      <c r="D2374" t="inlineStr">
        <is>
          <t>JÖNKÖPINGS LÄN</t>
        </is>
      </c>
      <c r="E2374" t="inlineStr">
        <is>
          <t>JÖNKÖPING</t>
        </is>
      </c>
      <c r="G2374" t="n">
        <v>0.1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51809-2024</t>
        </is>
      </c>
      <c r="B2375" s="1" t="n">
        <v>45607.4868287037</v>
      </c>
      <c r="C2375" s="1" t="n">
        <v>45962</v>
      </c>
      <c r="D2375" t="inlineStr">
        <is>
          <t>JÖNKÖPINGS LÄN</t>
        </is>
      </c>
      <c r="E2375" t="inlineStr">
        <is>
          <t>SÄVSJÖ</t>
        </is>
      </c>
      <c r="G2375" t="n">
        <v>0.5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51811-2024</t>
        </is>
      </c>
      <c r="B2376" s="1" t="n">
        <v>45607.48710648148</v>
      </c>
      <c r="C2376" s="1" t="n">
        <v>45962</v>
      </c>
      <c r="D2376" t="inlineStr">
        <is>
          <t>JÖNKÖPINGS LÄN</t>
        </is>
      </c>
      <c r="E2376" t="inlineStr">
        <is>
          <t>GISLAVED</t>
        </is>
      </c>
      <c r="G2376" t="n">
        <v>3.8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6830-2022</t>
        </is>
      </c>
      <c r="B2377" s="1" t="n">
        <v>44602</v>
      </c>
      <c r="C2377" s="1" t="n">
        <v>45962</v>
      </c>
      <c r="D2377" t="inlineStr">
        <is>
          <t>JÖNKÖPINGS LÄN</t>
        </is>
      </c>
      <c r="E2377" t="inlineStr">
        <is>
          <t>VETLANDA</t>
        </is>
      </c>
      <c r="G2377" t="n">
        <v>1.4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47040-2023</t>
        </is>
      </c>
      <c r="B2378" s="1" t="n">
        <v>45201</v>
      </c>
      <c r="C2378" s="1" t="n">
        <v>45962</v>
      </c>
      <c r="D2378" t="inlineStr">
        <is>
          <t>JÖNKÖPINGS LÄN</t>
        </is>
      </c>
      <c r="E2378" t="inlineStr">
        <is>
          <t>JÖNKÖPING</t>
        </is>
      </c>
      <c r="G2378" t="n">
        <v>2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13913-2024</t>
        </is>
      </c>
      <c r="B2379" s="1" t="n">
        <v>45391.76952546297</v>
      </c>
      <c r="C2379" s="1" t="n">
        <v>45962</v>
      </c>
      <c r="D2379" t="inlineStr">
        <is>
          <t>JÖNKÖPINGS LÄN</t>
        </is>
      </c>
      <c r="E2379" t="inlineStr">
        <is>
          <t>GNOSJÖ</t>
        </is>
      </c>
      <c r="G2379" t="n">
        <v>2.2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47067-2023</t>
        </is>
      </c>
      <c r="B2380" s="1" t="n">
        <v>45201.59743055556</v>
      </c>
      <c r="C2380" s="1" t="n">
        <v>45962</v>
      </c>
      <c r="D2380" t="inlineStr">
        <is>
          <t>JÖNKÖPINGS LÄN</t>
        </is>
      </c>
      <c r="E2380" t="inlineStr">
        <is>
          <t>JÖNKÖPING</t>
        </is>
      </c>
      <c r="G2380" t="n">
        <v>2.4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55260-2024</t>
        </is>
      </c>
      <c r="B2381" s="1" t="n">
        <v>45621</v>
      </c>
      <c r="C2381" s="1" t="n">
        <v>45962</v>
      </c>
      <c r="D2381" t="inlineStr">
        <is>
          <t>JÖNKÖPINGS LÄN</t>
        </is>
      </c>
      <c r="E2381" t="inlineStr">
        <is>
          <t>JÖNKÖPING</t>
        </is>
      </c>
      <c r="G2381" t="n">
        <v>0.9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6663-2024</t>
        </is>
      </c>
      <c r="B2382" s="1" t="n">
        <v>45341</v>
      </c>
      <c r="C2382" s="1" t="n">
        <v>45962</v>
      </c>
      <c r="D2382" t="inlineStr">
        <is>
          <t>JÖNKÖPINGS LÄN</t>
        </is>
      </c>
      <c r="E2382" t="inlineStr">
        <is>
          <t>JÖNKÖPING</t>
        </is>
      </c>
      <c r="G2382" t="n">
        <v>1.3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17964-2024</t>
        </is>
      </c>
      <c r="B2383" s="1" t="n">
        <v>45419</v>
      </c>
      <c r="C2383" s="1" t="n">
        <v>45962</v>
      </c>
      <c r="D2383" t="inlineStr">
        <is>
          <t>JÖNKÖPINGS LÄN</t>
        </is>
      </c>
      <c r="E2383" t="inlineStr">
        <is>
          <t>TRANÅS</t>
        </is>
      </c>
      <c r="G2383" t="n">
        <v>0.8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61253-2021</t>
        </is>
      </c>
      <c r="B2384" s="1" t="n">
        <v>44498.57181712963</v>
      </c>
      <c r="C2384" s="1" t="n">
        <v>45962</v>
      </c>
      <c r="D2384" t="inlineStr">
        <is>
          <t>JÖNKÖPINGS LÄN</t>
        </is>
      </c>
      <c r="E2384" t="inlineStr">
        <is>
          <t>JÖNKÖPING</t>
        </is>
      </c>
      <c r="G2384" t="n">
        <v>2.2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63027-2023</t>
        </is>
      </c>
      <c r="B2385" s="1" t="n">
        <v>45272.7147337963</v>
      </c>
      <c r="C2385" s="1" t="n">
        <v>45962</v>
      </c>
      <c r="D2385" t="inlineStr">
        <is>
          <t>JÖNKÖPINGS LÄN</t>
        </is>
      </c>
      <c r="E2385" t="inlineStr">
        <is>
          <t>VÄRNAMO</t>
        </is>
      </c>
      <c r="F2385" t="inlineStr">
        <is>
          <t>Kommuner</t>
        </is>
      </c>
      <c r="G2385" t="n">
        <v>1.1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56411-2024</t>
        </is>
      </c>
      <c r="B2386" s="1" t="n">
        <v>45625</v>
      </c>
      <c r="C2386" s="1" t="n">
        <v>45962</v>
      </c>
      <c r="D2386" t="inlineStr">
        <is>
          <t>JÖNKÖPINGS LÄN</t>
        </is>
      </c>
      <c r="E2386" t="inlineStr">
        <is>
          <t>NÄSSJÖ</t>
        </is>
      </c>
      <c r="G2386" t="n">
        <v>3.6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18507-2025</t>
        </is>
      </c>
      <c r="B2387" s="1" t="n">
        <v>45763.37726851852</v>
      </c>
      <c r="C2387" s="1" t="n">
        <v>45962</v>
      </c>
      <c r="D2387" t="inlineStr">
        <is>
          <t>JÖNKÖPINGS LÄN</t>
        </is>
      </c>
      <c r="E2387" t="inlineStr">
        <is>
          <t>VETLANDA</t>
        </is>
      </c>
      <c r="G2387" t="n">
        <v>1.6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18509-2025</t>
        </is>
      </c>
      <c r="B2388" s="1" t="n">
        <v>45763.37920138889</v>
      </c>
      <c r="C2388" s="1" t="n">
        <v>45962</v>
      </c>
      <c r="D2388" t="inlineStr">
        <is>
          <t>JÖNKÖPINGS LÄN</t>
        </is>
      </c>
      <c r="E2388" t="inlineStr">
        <is>
          <t>VETLANDA</t>
        </is>
      </c>
      <c r="G2388" t="n">
        <v>1.9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18518-2025</t>
        </is>
      </c>
      <c r="B2389" s="1" t="n">
        <v>45763.38908564814</v>
      </c>
      <c r="C2389" s="1" t="n">
        <v>45962</v>
      </c>
      <c r="D2389" t="inlineStr">
        <is>
          <t>JÖNKÖPINGS LÄN</t>
        </is>
      </c>
      <c r="E2389" t="inlineStr">
        <is>
          <t>VETLANDA</t>
        </is>
      </c>
      <c r="G2389" t="n">
        <v>1.4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55702-2024</t>
        </is>
      </c>
      <c r="B2390" s="1" t="n">
        <v>45622.69251157407</v>
      </c>
      <c r="C2390" s="1" t="n">
        <v>45962</v>
      </c>
      <c r="D2390" t="inlineStr">
        <is>
          <t>JÖNKÖPINGS LÄN</t>
        </is>
      </c>
      <c r="E2390" t="inlineStr">
        <is>
          <t>NÄSSJÖ</t>
        </is>
      </c>
      <c r="G2390" t="n">
        <v>2.1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18890-2023</t>
        </is>
      </c>
      <c r="B2391" s="1" t="n">
        <v>45044.55335648148</v>
      </c>
      <c r="C2391" s="1" t="n">
        <v>45962</v>
      </c>
      <c r="D2391" t="inlineStr">
        <is>
          <t>JÖNKÖPINGS LÄN</t>
        </is>
      </c>
      <c r="E2391" t="inlineStr">
        <is>
          <t>VÄRNAMO</t>
        </is>
      </c>
      <c r="G2391" t="n">
        <v>4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30501-2022</t>
        </is>
      </c>
      <c r="B2392" s="1" t="n">
        <v>44762.36475694444</v>
      </c>
      <c r="C2392" s="1" t="n">
        <v>45962</v>
      </c>
      <c r="D2392" t="inlineStr">
        <is>
          <t>JÖNKÖPINGS LÄN</t>
        </is>
      </c>
      <c r="E2392" t="inlineStr">
        <is>
          <t>VETLANDA</t>
        </is>
      </c>
      <c r="G2392" t="n">
        <v>1.3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4180-2023</t>
        </is>
      </c>
      <c r="B2393" s="1" t="n">
        <v>44953</v>
      </c>
      <c r="C2393" s="1" t="n">
        <v>45962</v>
      </c>
      <c r="D2393" t="inlineStr">
        <is>
          <t>JÖNKÖPINGS LÄN</t>
        </is>
      </c>
      <c r="E2393" t="inlineStr">
        <is>
          <t>VAGGERYD</t>
        </is>
      </c>
      <c r="F2393" t="inlineStr">
        <is>
          <t>Sveaskog</t>
        </is>
      </c>
      <c r="G2393" t="n">
        <v>2.9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4193-2023</t>
        </is>
      </c>
      <c r="B2394" s="1" t="n">
        <v>44953.43267361111</v>
      </c>
      <c r="C2394" s="1" t="n">
        <v>45962</v>
      </c>
      <c r="D2394" t="inlineStr">
        <is>
          <t>JÖNKÖPINGS LÄN</t>
        </is>
      </c>
      <c r="E2394" t="inlineStr">
        <is>
          <t>VAGGERYD</t>
        </is>
      </c>
      <c r="G2394" t="n">
        <v>1.6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26769-2022</t>
        </is>
      </c>
      <c r="B2395" s="1" t="n">
        <v>44739</v>
      </c>
      <c r="C2395" s="1" t="n">
        <v>45962</v>
      </c>
      <c r="D2395" t="inlineStr">
        <is>
          <t>JÖNKÖPINGS LÄN</t>
        </is>
      </c>
      <c r="E2395" t="inlineStr">
        <is>
          <t>ANEBY</t>
        </is>
      </c>
      <c r="G2395" t="n">
        <v>2.2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59140-2021</t>
        </is>
      </c>
      <c r="B2396" s="1" t="n">
        <v>44490</v>
      </c>
      <c r="C2396" s="1" t="n">
        <v>45962</v>
      </c>
      <c r="D2396" t="inlineStr">
        <is>
          <t>JÖNKÖPINGS LÄN</t>
        </is>
      </c>
      <c r="E2396" t="inlineStr">
        <is>
          <t>VAGGERYD</t>
        </is>
      </c>
      <c r="G2396" t="n">
        <v>1.5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5627-2024</t>
        </is>
      </c>
      <c r="B2397" s="1" t="n">
        <v>45334.60099537037</v>
      </c>
      <c r="C2397" s="1" t="n">
        <v>45962</v>
      </c>
      <c r="D2397" t="inlineStr">
        <is>
          <t>JÖNKÖPINGS LÄN</t>
        </is>
      </c>
      <c r="E2397" t="inlineStr">
        <is>
          <t>EKSJÖ</t>
        </is>
      </c>
      <c r="F2397" t="inlineStr">
        <is>
          <t>Sveaskog</t>
        </is>
      </c>
      <c r="G2397" t="n">
        <v>2.2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5640-2024</t>
        </is>
      </c>
      <c r="B2398" s="1" t="n">
        <v>45334.61423611111</v>
      </c>
      <c r="C2398" s="1" t="n">
        <v>45962</v>
      </c>
      <c r="D2398" t="inlineStr">
        <is>
          <t>JÖNKÖPINGS LÄN</t>
        </is>
      </c>
      <c r="E2398" t="inlineStr">
        <is>
          <t>EKSJÖ</t>
        </is>
      </c>
      <c r="F2398" t="inlineStr">
        <is>
          <t>Sveaskog</t>
        </is>
      </c>
      <c r="G2398" t="n">
        <v>1.6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12456-2023</t>
        </is>
      </c>
      <c r="B2399" s="1" t="n">
        <v>44999</v>
      </c>
      <c r="C2399" s="1" t="n">
        <v>45962</v>
      </c>
      <c r="D2399" t="inlineStr">
        <is>
          <t>JÖNKÖPINGS LÄN</t>
        </is>
      </c>
      <c r="E2399" t="inlineStr">
        <is>
          <t>VAGGERYD</t>
        </is>
      </c>
      <c r="G2399" t="n">
        <v>0.9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15835-2024</t>
        </is>
      </c>
      <c r="B2400" s="1" t="n">
        <v>45404</v>
      </c>
      <c r="C2400" s="1" t="n">
        <v>45962</v>
      </c>
      <c r="D2400" t="inlineStr">
        <is>
          <t>JÖNKÖPINGS LÄN</t>
        </is>
      </c>
      <c r="E2400" t="inlineStr">
        <is>
          <t>ANEBY</t>
        </is>
      </c>
      <c r="G2400" t="n">
        <v>1.4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3516-2023</t>
        </is>
      </c>
      <c r="B2401" s="1" t="n">
        <v>44950</v>
      </c>
      <c r="C2401" s="1" t="n">
        <v>45962</v>
      </c>
      <c r="D2401" t="inlineStr">
        <is>
          <t>JÖNKÖPINGS LÄN</t>
        </is>
      </c>
      <c r="E2401" t="inlineStr">
        <is>
          <t>JÖNKÖPING</t>
        </is>
      </c>
      <c r="G2401" t="n">
        <v>0.7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30340-2023</t>
        </is>
      </c>
      <c r="B2402" s="1" t="n">
        <v>45111.38814814815</v>
      </c>
      <c r="C2402" s="1" t="n">
        <v>45962</v>
      </c>
      <c r="D2402" t="inlineStr">
        <is>
          <t>JÖNKÖPINGS LÄN</t>
        </is>
      </c>
      <c r="E2402" t="inlineStr">
        <is>
          <t>HABO</t>
        </is>
      </c>
      <c r="G2402" t="n">
        <v>2.2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30412-2023</t>
        </is>
      </c>
      <c r="B2403" s="1" t="n">
        <v>45111</v>
      </c>
      <c r="C2403" s="1" t="n">
        <v>45962</v>
      </c>
      <c r="D2403" t="inlineStr">
        <is>
          <t>JÖNKÖPINGS LÄN</t>
        </is>
      </c>
      <c r="E2403" t="inlineStr">
        <is>
          <t>NÄSSJÖ</t>
        </is>
      </c>
      <c r="G2403" t="n">
        <v>2.6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3536-2023</t>
        </is>
      </c>
      <c r="B2404" s="1" t="n">
        <v>44946</v>
      </c>
      <c r="C2404" s="1" t="n">
        <v>45962</v>
      </c>
      <c r="D2404" t="inlineStr">
        <is>
          <t>JÖNKÖPINGS LÄN</t>
        </is>
      </c>
      <c r="E2404" t="inlineStr">
        <is>
          <t>VETLANDA</t>
        </is>
      </c>
      <c r="G2404" t="n">
        <v>3.8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19759-2025</t>
        </is>
      </c>
      <c r="B2405" s="1" t="n">
        <v>45771</v>
      </c>
      <c r="C2405" s="1" t="n">
        <v>45962</v>
      </c>
      <c r="D2405" t="inlineStr">
        <is>
          <t>JÖNKÖPINGS LÄN</t>
        </is>
      </c>
      <c r="E2405" t="inlineStr">
        <is>
          <t>SÄVSJÖ</t>
        </is>
      </c>
      <c r="G2405" t="n">
        <v>0.9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60838-2024</t>
        </is>
      </c>
      <c r="B2406" s="1" t="n">
        <v>45644</v>
      </c>
      <c r="C2406" s="1" t="n">
        <v>45962</v>
      </c>
      <c r="D2406" t="inlineStr">
        <is>
          <t>JÖNKÖPINGS LÄN</t>
        </is>
      </c>
      <c r="E2406" t="inlineStr">
        <is>
          <t>NÄSSJÖ</t>
        </is>
      </c>
      <c r="G2406" t="n">
        <v>1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23152-2024</t>
        </is>
      </c>
      <c r="B2407" s="1" t="n">
        <v>45450.65791666666</v>
      </c>
      <c r="C2407" s="1" t="n">
        <v>45962</v>
      </c>
      <c r="D2407" t="inlineStr">
        <is>
          <t>JÖNKÖPINGS LÄN</t>
        </is>
      </c>
      <c r="E2407" t="inlineStr">
        <is>
          <t>HABO</t>
        </is>
      </c>
      <c r="G2407" t="n">
        <v>3.5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28337-2023</t>
        </is>
      </c>
      <c r="B2408" s="1" t="n">
        <v>45099</v>
      </c>
      <c r="C2408" s="1" t="n">
        <v>45962</v>
      </c>
      <c r="D2408" t="inlineStr">
        <is>
          <t>JÖNKÖPINGS LÄN</t>
        </is>
      </c>
      <c r="E2408" t="inlineStr">
        <is>
          <t>JÖNKÖPING</t>
        </is>
      </c>
      <c r="G2408" t="n">
        <v>0.5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2454-2023</t>
        </is>
      </c>
      <c r="B2409" s="1" t="n">
        <v>44943.44811342593</v>
      </c>
      <c r="C2409" s="1" t="n">
        <v>45962</v>
      </c>
      <c r="D2409" t="inlineStr">
        <is>
          <t>JÖNKÖPINGS LÄN</t>
        </is>
      </c>
      <c r="E2409" t="inlineStr">
        <is>
          <t>JÖNKÖPING</t>
        </is>
      </c>
      <c r="G2409" t="n">
        <v>0.5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1714-2024</t>
        </is>
      </c>
      <c r="B2410" s="1" t="n">
        <v>45307</v>
      </c>
      <c r="C2410" s="1" t="n">
        <v>45962</v>
      </c>
      <c r="D2410" t="inlineStr">
        <is>
          <t>JÖNKÖPINGS LÄN</t>
        </is>
      </c>
      <c r="E2410" t="inlineStr">
        <is>
          <t>TRANÅS</t>
        </is>
      </c>
      <c r="F2410" t="inlineStr">
        <is>
          <t>Kommuner</t>
        </is>
      </c>
      <c r="G2410" t="n">
        <v>5.2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26803-2023</t>
        </is>
      </c>
      <c r="B2411" s="1" t="n">
        <v>45093.51523148148</v>
      </c>
      <c r="C2411" s="1" t="n">
        <v>45962</v>
      </c>
      <c r="D2411" t="inlineStr">
        <is>
          <t>JÖNKÖPINGS LÄN</t>
        </is>
      </c>
      <c r="E2411" t="inlineStr">
        <is>
          <t>VÄRNAMO</t>
        </is>
      </c>
      <c r="G2411" t="n">
        <v>2.5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24844-2021</t>
        </is>
      </c>
      <c r="B2412" s="1" t="n">
        <v>44340.82724537037</v>
      </c>
      <c r="C2412" s="1" t="n">
        <v>45962</v>
      </c>
      <c r="D2412" t="inlineStr">
        <is>
          <t>JÖNKÖPINGS LÄN</t>
        </is>
      </c>
      <c r="E2412" t="inlineStr">
        <is>
          <t>EKSJÖ</t>
        </is>
      </c>
      <c r="G2412" t="n">
        <v>4.1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4549-2025</t>
        </is>
      </c>
      <c r="B2413" s="1" t="n">
        <v>45687.40525462963</v>
      </c>
      <c r="C2413" s="1" t="n">
        <v>45962</v>
      </c>
      <c r="D2413" t="inlineStr">
        <is>
          <t>JÖNKÖPINGS LÄN</t>
        </is>
      </c>
      <c r="E2413" t="inlineStr">
        <is>
          <t>HABO</t>
        </is>
      </c>
      <c r="G2413" t="n">
        <v>0.5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49838-2024</t>
        </is>
      </c>
      <c r="B2414" s="1" t="n">
        <v>45597.44087962963</v>
      </c>
      <c r="C2414" s="1" t="n">
        <v>45962</v>
      </c>
      <c r="D2414" t="inlineStr">
        <is>
          <t>JÖNKÖPINGS LÄN</t>
        </is>
      </c>
      <c r="E2414" t="inlineStr">
        <is>
          <t>VAGGERYD</t>
        </is>
      </c>
      <c r="F2414" t="inlineStr">
        <is>
          <t>Sveaskog</t>
        </is>
      </c>
      <c r="G2414" t="n">
        <v>1.4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49846-2024</t>
        </is>
      </c>
      <c r="B2415" s="1" t="n">
        <v>45597.45862268518</v>
      </c>
      <c r="C2415" s="1" t="n">
        <v>45962</v>
      </c>
      <c r="D2415" t="inlineStr">
        <is>
          <t>JÖNKÖPINGS LÄN</t>
        </is>
      </c>
      <c r="E2415" t="inlineStr">
        <is>
          <t>HABO</t>
        </is>
      </c>
      <c r="F2415" t="inlineStr">
        <is>
          <t>Sveaskog</t>
        </is>
      </c>
      <c r="G2415" t="n">
        <v>1.6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4584-2025</t>
        </is>
      </c>
      <c r="B2416" s="1" t="n">
        <v>45687.51572916667</v>
      </c>
      <c r="C2416" s="1" t="n">
        <v>45962</v>
      </c>
      <c r="D2416" t="inlineStr">
        <is>
          <t>JÖNKÖPINGS LÄN</t>
        </is>
      </c>
      <c r="E2416" t="inlineStr">
        <is>
          <t>VÄRNAMO</t>
        </is>
      </c>
      <c r="G2416" t="n">
        <v>1.1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16669-2025</t>
        </is>
      </c>
      <c r="B2417" s="1" t="n">
        <v>45754.43040509259</v>
      </c>
      <c r="C2417" s="1" t="n">
        <v>45962</v>
      </c>
      <c r="D2417" t="inlineStr">
        <is>
          <t>JÖNKÖPINGS LÄN</t>
        </is>
      </c>
      <c r="E2417" t="inlineStr">
        <is>
          <t>GISLAVED</t>
        </is>
      </c>
      <c r="F2417" t="inlineStr">
        <is>
          <t>Sveaskog</t>
        </is>
      </c>
      <c r="G2417" t="n">
        <v>3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12092-2023</t>
        </is>
      </c>
      <c r="B2418" s="1" t="n">
        <v>44998</v>
      </c>
      <c r="C2418" s="1" t="n">
        <v>45962</v>
      </c>
      <c r="D2418" t="inlineStr">
        <is>
          <t>JÖNKÖPINGS LÄN</t>
        </is>
      </c>
      <c r="E2418" t="inlineStr">
        <is>
          <t>JÖNKÖPING</t>
        </is>
      </c>
      <c r="G2418" t="n">
        <v>2.2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45480-2023</t>
        </is>
      </c>
      <c r="B2419" s="1" t="n">
        <v>45194</v>
      </c>
      <c r="C2419" s="1" t="n">
        <v>45962</v>
      </c>
      <c r="D2419" t="inlineStr">
        <is>
          <t>JÖNKÖPINGS LÄN</t>
        </is>
      </c>
      <c r="E2419" t="inlineStr">
        <is>
          <t>VAGGERYD</t>
        </is>
      </c>
      <c r="G2419" t="n">
        <v>1.2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54470-2024</t>
        </is>
      </c>
      <c r="B2420" s="1" t="n">
        <v>45617.54293981481</v>
      </c>
      <c r="C2420" s="1" t="n">
        <v>45962</v>
      </c>
      <c r="D2420" t="inlineStr">
        <is>
          <t>JÖNKÖPINGS LÄN</t>
        </is>
      </c>
      <c r="E2420" t="inlineStr">
        <is>
          <t>EKSJÖ</t>
        </is>
      </c>
      <c r="G2420" t="n">
        <v>2.3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43239-2021</t>
        </is>
      </c>
      <c r="B2421" s="1" t="n">
        <v>44432.31958333333</v>
      </c>
      <c r="C2421" s="1" t="n">
        <v>45962</v>
      </c>
      <c r="D2421" t="inlineStr">
        <is>
          <t>JÖNKÖPINGS LÄN</t>
        </is>
      </c>
      <c r="E2421" t="inlineStr">
        <is>
          <t>NÄSSJÖ</t>
        </is>
      </c>
      <c r="G2421" t="n">
        <v>1.8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3746-2025</t>
        </is>
      </c>
      <c r="B2422" s="1" t="n">
        <v>45681.57949074074</v>
      </c>
      <c r="C2422" s="1" t="n">
        <v>45962</v>
      </c>
      <c r="D2422" t="inlineStr">
        <is>
          <t>JÖNKÖPINGS LÄN</t>
        </is>
      </c>
      <c r="E2422" t="inlineStr">
        <is>
          <t>JÖNKÖPING</t>
        </is>
      </c>
      <c r="G2422" t="n">
        <v>1.9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23570-2024</t>
        </is>
      </c>
      <c r="B2423" s="1" t="n">
        <v>45454.29613425926</v>
      </c>
      <c r="C2423" s="1" t="n">
        <v>45962</v>
      </c>
      <c r="D2423" t="inlineStr">
        <is>
          <t>JÖNKÖPINGS LÄN</t>
        </is>
      </c>
      <c r="E2423" t="inlineStr">
        <is>
          <t>NÄSSJÖ</t>
        </is>
      </c>
      <c r="G2423" t="n">
        <v>0.4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55168-2024</t>
        </is>
      </c>
      <c r="B2424" s="1" t="n">
        <v>45621.52488425926</v>
      </c>
      <c r="C2424" s="1" t="n">
        <v>45962</v>
      </c>
      <c r="D2424" t="inlineStr">
        <is>
          <t>JÖNKÖPINGS LÄN</t>
        </is>
      </c>
      <c r="E2424" t="inlineStr">
        <is>
          <t>JÖNKÖPING</t>
        </is>
      </c>
      <c r="G2424" t="n">
        <v>0.8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55171-2024</t>
        </is>
      </c>
      <c r="B2425" s="1" t="n">
        <v>45621.5278125</v>
      </c>
      <c r="C2425" s="1" t="n">
        <v>45962</v>
      </c>
      <c r="D2425" t="inlineStr">
        <is>
          <t>JÖNKÖPINGS LÄN</t>
        </is>
      </c>
      <c r="E2425" t="inlineStr">
        <is>
          <t>JÖNKÖPING</t>
        </is>
      </c>
      <c r="G2425" t="n">
        <v>1.9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5428-2022</t>
        </is>
      </c>
      <c r="B2426" s="1" t="n">
        <v>44595</v>
      </c>
      <c r="C2426" s="1" t="n">
        <v>45962</v>
      </c>
      <c r="D2426" t="inlineStr">
        <is>
          <t>JÖNKÖPINGS LÄN</t>
        </is>
      </c>
      <c r="E2426" t="inlineStr">
        <is>
          <t>VÄRNAMO</t>
        </is>
      </c>
      <c r="G2426" t="n">
        <v>1.6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13756-2023</t>
        </is>
      </c>
      <c r="B2427" s="1" t="n">
        <v>45007</v>
      </c>
      <c r="C2427" s="1" t="n">
        <v>45962</v>
      </c>
      <c r="D2427" t="inlineStr">
        <is>
          <t>JÖNKÖPINGS LÄN</t>
        </is>
      </c>
      <c r="E2427" t="inlineStr">
        <is>
          <t>VETLANDA</t>
        </is>
      </c>
      <c r="G2427" t="n">
        <v>0.5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20740-2024</t>
        </is>
      </c>
      <c r="B2428" s="1" t="n">
        <v>45436.68626157408</v>
      </c>
      <c r="C2428" s="1" t="n">
        <v>45962</v>
      </c>
      <c r="D2428" t="inlineStr">
        <is>
          <t>JÖNKÖPINGS LÄN</t>
        </is>
      </c>
      <c r="E2428" t="inlineStr">
        <is>
          <t>JÖNKÖPING</t>
        </is>
      </c>
      <c r="G2428" t="n">
        <v>1.3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53647-2024</t>
        </is>
      </c>
      <c r="B2429" s="1" t="n">
        <v>45615.27533564815</v>
      </c>
      <c r="C2429" s="1" t="n">
        <v>45962</v>
      </c>
      <c r="D2429" t="inlineStr">
        <is>
          <t>JÖNKÖPINGS LÄN</t>
        </is>
      </c>
      <c r="E2429" t="inlineStr">
        <is>
          <t>GISLAVED</t>
        </is>
      </c>
      <c r="G2429" t="n">
        <v>1.9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44217-2021</t>
        </is>
      </c>
      <c r="B2430" s="1" t="n">
        <v>44434.87822916666</v>
      </c>
      <c r="C2430" s="1" t="n">
        <v>45962</v>
      </c>
      <c r="D2430" t="inlineStr">
        <is>
          <t>JÖNKÖPINGS LÄN</t>
        </is>
      </c>
      <c r="E2430" t="inlineStr">
        <is>
          <t>VETLANDA</t>
        </is>
      </c>
      <c r="G2430" t="n">
        <v>0.5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7729-2025</t>
        </is>
      </c>
      <c r="B2431" s="1" t="n">
        <v>45706.46256944445</v>
      </c>
      <c r="C2431" s="1" t="n">
        <v>45962</v>
      </c>
      <c r="D2431" t="inlineStr">
        <is>
          <t>JÖNKÖPINGS LÄN</t>
        </is>
      </c>
      <c r="E2431" t="inlineStr">
        <is>
          <t>EKSJÖ</t>
        </is>
      </c>
      <c r="G2431" t="n">
        <v>1.3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44266-2021</t>
        </is>
      </c>
      <c r="B2432" s="1" t="n">
        <v>44434</v>
      </c>
      <c r="C2432" s="1" t="n">
        <v>45962</v>
      </c>
      <c r="D2432" t="inlineStr">
        <is>
          <t>JÖNKÖPINGS LÄN</t>
        </is>
      </c>
      <c r="E2432" t="inlineStr">
        <is>
          <t>VETLANDA</t>
        </is>
      </c>
      <c r="F2432" t="inlineStr">
        <is>
          <t>Kyrkan</t>
        </is>
      </c>
      <c r="G2432" t="n">
        <v>0.9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7754-2025</t>
        </is>
      </c>
      <c r="B2433" s="1" t="n">
        <v>45706.50554398148</v>
      </c>
      <c r="C2433" s="1" t="n">
        <v>45962</v>
      </c>
      <c r="D2433" t="inlineStr">
        <is>
          <t>JÖNKÖPINGS LÄN</t>
        </is>
      </c>
      <c r="E2433" t="inlineStr">
        <is>
          <t>HABO</t>
        </is>
      </c>
      <c r="G2433" t="n">
        <v>3.7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6292-2024</t>
        </is>
      </c>
      <c r="B2434" s="1" t="n">
        <v>45338</v>
      </c>
      <c r="C2434" s="1" t="n">
        <v>45962</v>
      </c>
      <c r="D2434" t="inlineStr">
        <is>
          <t>JÖNKÖPINGS LÄN</t>
        </is>
      </c>
      <c r="E2434" t="inlineStr">
        <is>
          <t>SÄVSJÖ</t>
        </is>
      </c>
      <c r="G2434" t="n">
        <v>3.2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45261-2021</t>
        </is>
      </c>
      <c r="B2435" s="1" t="n">
        <v>44439</v>
      </c>
      <c r="C2435" s="1" t="n">
        <v>45962</v>
      </c>
      <c r="D2435" t="inlineStr">
        <is>
          <t>JÖNKÖPINGS LÄN</t>
        </is>
      </c>
      <c r="E2435" t="inlineStr">
        <is>
          <t>VETLANDA</t>
        </is>
      </c>
      <c r="G2435" t="n">
        <v>3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25124-2024</t>
        </is>
      </c>
      <c r="B2436" s="1" t="n">
        <v>45462</v>
      </c>
      <c r="C2436" s="1" t="n">
        <v>45962</v>
      </c>
      <c r="D2436" t="inlineStr">
        <is>
          <t>JÖNKÖPINGS LÄN</t>
        </is>
      </c>
      <c r="E2436" t="inlineStr">
        <is>
          <t>VETLANDA</t>
        </is>
      </c>
      <c r="G2436" t="n">
        <v>1.8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281-2024</t>
        </is>
      </c>
      <c r="B2437" s="1" t="n">
        <v>45295.4037962963</v>
      </c>
      <c r="C2437" s="1" t="n">
        <v>45962</v>
      </c>
      <c r="D2437" t="inlineStr">
        <is>
          <t>JÖNKÖPINGS LÄN</t>
        </is>
      </c>
      <c r="E2437" t="inlineStr">
        <is>
          <t>JÖNKÖPING</t>
        </is>
      </c>
      <c r="F2437" t="inlineStr">
        <is>
          <t>Sveaskog</t>
        </is>
      </c>
      <c r="G2437" t="n">
        <v>1.2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2224-2023</t>
        </is>
      </c>
      <c r="B2438" s="1" t="n">
        <v>44939</v>
      </c>
      <c r="C2438" s="1" t="n">
        <v>45962</v>
      </c>
      <c r="D2438" t="inlineStr">
        <is>
          <t>JÖNKÖPINGS LÄN</t>
        </is>
      </c>
      <c r="E2438" t="inlineStr">
        <is>
          <t>EKSJÖ</t>
        </is>
      </c>
      <c r="G2438" t="n">
        <v>0.7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3394-2025</t>
        </is>
      </c>
      <c r="B2439" s="1" t="n">
        <v>45680.36491898148</v>
      </c>
      <c r="C2439" s="1" t="n">
        <v>45962</v>
      </c>
      <c r="D2439" t="inlineStr">
        <is>
          <t>JÖNKÖPINGS LÄN</t>
        </is>
      </c>
      <c r="E2439" t="inlineStr">
        <is>
          <t>NÄSSJÖ</t>
        </is>
      </c>
      <c r="G2439" t="n">
        <v>1.4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16308-2023</t>
        </is>
      </c>
      <c r="B2440" s="1" t="n">
        <v>45028</v>
      </c>
      <c r="C2440" s="1" t="n">
        <v>45962</v>
      </c>
      <c r="D2440" t="inlineStr">
        <is>
          <t>JÖNKÖPINGS LÄN</t>
        </is>
      </c>
      <c r="E2440" t="inlineStr">
        <is>
          <t>ANEBY</t>
        </is>
      </c>
      <c r="G2440" t="n">
        <v>0.7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24709-2023</t>
        </is>
      </c>
      <c r="B2441" s="1" t="n">
        <v>45084.55328703704</v>
      </c>
      <c r="C2441" s="1" t="n">
        <v>45962</v>
      </c>
      <c r="D2441" t="inlineStr">
        <is>
          <t>JÖNKÖPINGS LÄN</t>
        </is>
      </c>
      <c r="E2441" t="inlineStr">
        <is>
          <t>GISLAVED</t>
        </is>
      </c>
      <c r="F2441" t="inlineStr">
        <is>
          <t>Sveaskog</t>
        </is>
      </c>
      <c r="G2441" t="n">
        <v>1.7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6210-2023</t>
        </is>
      </c>
      <c r="B2442" s="1" t="n">
        <v>44964.80734953703</v>
      </c>
      <c r="C2442" s="1" t="n">
        <v>45962</v>
      </c>
      <c r="D2442" t="inlineStr">
        <is>
          <t>JÖNKÖPINGS LÄN</t>
        </is>
      </c>
      <c r="E2442" t="inlineStr">
        <is>
          <t>MULLSJÖ</t>
        </is>
      </c>
      <c r="G2442" t="n">
        <v>0.5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6212-2023</t>
        </is>
      </c>
      <c r="B2443" s="1" t="n">
        <v>44964.81168981481</v>
      </c>
      <c r="C2443" s="1" t="n">
        <v>45962</v>
      </c>
      <c r="D2443" t="inlineStr">
        <is>
          <t>JÖNKÖPINGS LÄN</t>
        </is>
      </c>
      <c r="E2443" t="inlineStr">
        <is>
          <t>MULLSJÖ</t>
        </is>
      </c>
      <c r="G2443" t="n">
        <v>1.5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38552-2021</t>
        </is>
      </c>
      <c r="B2444" s="1" t="n">
        <v>44407.60175925926</v>
      </c>
      <c r="C2444" s="1" t="n">
        <v>45962</v>
      </c>
      <c r="D2444" t="inlineStr">
        <is>
          <t>JÖNKÖPINGS LÄN</t>
        </is>
      </c>
      <c r="E2444" t="inlineStr">
        <is>
          <t>VETLANDA</t>
        </is>
      </c>
      <c r="G2444" t="n">
        <v>1.4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50815-2022</t>
        </is>
      </c>
      <c r="B2445" s="1" t="n">
        <v>44867.47905092593</v>
      </c>
      <c r="C2445" s="1" t="n">
        <v>45962</v>
      </c>
      <c r="D2445" t="inlineStr">
        <is>
          <t>JÖNKÖPINGS LÄN</t>
        </is>
      </c>
      <c r="E2445" t="inlineStr">
        <is>
          <t>NÄSSJÖ</t>
        </is>
      </c>
      <c r="G2445" t="n">
        <v>0.4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51331-2021</t>
        </is>
      </c>
      <c r="B2446" s="1" t="n">
        <v>44461.62759259259</v>
      </c>
      <c r="C2446" s="1" t="n">
        <v>45962</v>
      </c>
      <c r="D2446" t="inlineStr">
        <is>
          <t>JÖNKÖPINGS LÄN</t>
        </is>
      </c>
      <c r="E2446" t="inlineStr">
        <is>
          <t>ANEBY</t>
        </is>
      </c>
      <c r="G2446" t="n">
        <v>3.4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14078-2024</t>
        </is>
      </c>
      <c r="B2447" s="1" t="n">
        <v>45392.58569444445</v>
      </c>
      <c r="C2447" s="1" t="n">
        <v>45962</v>
      </c>
      <c r="D2447" t="inlineStr">
        <is>
          <t>JÖNKÖPINGS LÄN</t>
        </is>
      </c>
      <c r="E2447" t="inlineStr">
        <is>
          <t>JÖNKÖPING</t>
        </is>
      </c>
      <c r="G2447" t="n">
        <v>0.6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5436-2025</t>
        </is>
      </c>
      <c r="B2448" s="1" t="n">
        <v>45692</v>
      </c>
      <c r="C2448" s="1" t="n">
        <v>45962</v>
      </c>
      <c r="D2448" t="inlineStr">
        <is>
          <t>JÖNKÖPINGS LÄN</t>
        </is>
      </c>
      <c r="E2448" t="inlineStr">
        <is>
          <t>VÄRNAMO</t>
        </is>
      </c>
      <c r="G2448" t="n">
        <v>4.8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53551-2022</t>
        </is>
      </c>
      <c r="B2449" s="1" t="n">
        <v>44879</v>
      </c>
      <c r="C2449" s="1" t="n">
        <v>45962</v>
      </c>
      <c r="D2449" t="inlineStr">
        <is>
          <t>JÖNKÖPINGS LÄN</t>
        </is>
      </c>
      <c r="E2449" t="inlineStr">
        <is>
          <t>VETLANDA</t>
        </is>
      </c>
      <c r="G2449" t="n">
        <v>0.8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9662-2021</t>
        </is>
      </c>
      <c r="B2450" s="1" t="n">
        <v>44252.36090277778</v>
      </c>
      <c r="C2450" s="1" t="n">
        <v>45962</v>
      </c>
      <c r="D2450" t="inlineStr">
        <is>
          <t>JÖNKÖPINGS LÄN</t>
        </is>
      </c>
      <c r="E2450" t="inlineStr">
        <is>
          <t>VETLANDA</t>
        </is>
      </c>
      <c r="G2450" t="n">
        <v>1.1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64002-2023</t>
        </is>
      </c>
      <c r="B2451" s="1" t="n">
        <v>45278</v>
      </c>
      <c r="C2451" s="1" t="n">
        <v>45962</v>
      </c>
      <c r="D2451" t="inlineStr">
        <is>
          <t>JÖNKÖPINGS LÄN</t>
        </is>
      </c>
      <c r="E2451" t="inlineStr">
        <is>
          <t>VÄRNAMO</t>
        </is>
      </c>
      <c r="G2451" t="n">
        <v>6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39582-2023</t>
        </is>
      </c>
      <c r="B2452" s="1" t="n">
        <v>45163</v>
      </c>
      <c r="C2452" s="1" t="n">
        <v>45962</v>
      </c>
      <c r="D2452" t="inlineStr">
        <is>
          <t>JÖNKÖPINGS LÄN</t>
        </is>
      </c>
      <c r="E2452" t="inlineStr">
        <is>
          <t>NÄSSJÖ</t>
        </is>
      </c>
      <c r="G2452" t="n">
        <v>0.6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9604-2025</t>
        </is>
      </c>
      <c r="B2453" s="1" t="n">
        <v>45715.65605324074</v>
      </c>
      <c r="C2453" s="1" t="n">
        <v>45962</v>
      </c>
      <c r="D2453" t="inlineStr">
        <is>
          <t>JÖNKÖPINGS LÄN</t>
        </is>
      </c>
      <c r="E2453" t="inlineStr">
        <is>
          <t>JÖNKÖPING</t>
        </is>
      </c>
      <c r="G2453" t="n">
        <v>1.5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10170-2025</t>
        </is>
      </c>
      <c r="B2454" s="1" t="n">
        <v>45719.65729166667</v>
      </c>
      <c r="C2454" s="1" t="n">
        <v>45962</v>
      </c>
      <c r="D2454" t="inlineStr">
        <is>
          <t>JÖNKÖPINGS LÄN</t>
        </is>
      </c>
      <c r="E2454" t="inlineStr">
        <is>
          <t>VETLANDA</t>
        </is>
      </c>
      <c r="G2454" t="n">
        <v>1.1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43437-2024</t>
        </is>
      </c>
      <c r="B2455" s="1" t="n">
        <v>45568</v>
      </c>
      <c r="C2455" s="1" t="n">
        <v>45962</v>
      </c>
      <c r="D2455" t="inlineStr">
        <is>
          <t>JÖNKÖPINGS LÄN</t>
        </is>
      </c>
      <c r="E2455" t="inlineStr">
        <is>
          <t>VETLANDA</t>
        </is>
      </c>
      <c r="F2455" t="inlineStr">
        <is>
          <t>Kyrkan</t>
        </is>
      </c>
      <c r="G2455" t="n">
        <v>2.2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28404-2022</t>
        </is>
      </c>
      <c r="B2456" s="1" t="n">
        <v>44747.59320601852</v>
      </c>
      <c r="C2456" s="1" t="n">
        <v>45962</v>
      </c>
      <c r="D2456" t="inlineStr">
        <is>
          <t>JÖNKÖPINGS LÄN</t>
        </is>
      </c>
      <c r="E2456" t="inlineStr">
        <is>
          <t>VETLANDA</t>
        </is>
      </c>
      <c r="G2456" t="n">
        <v>3.6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47987-2023</t>
        </is>
      </c>
      <c r="B2457" s="1" t="n">
        <v>45204.62349537037</v>
      </c>
      <c r="C2457" s="1" t="n">
        <v>45962</v>
      </c>
      <c r="D2457" t="inlineStr">
        <is>
          <t>JÖNKÖPINGS LÄN</t>
        </is>
      </c>
      <c r="E2457" t="inlineStr">
        <is>
          <t>EKSJÖ</t>
        </is>
      </c>
      <c r="F2457" t="inlineStr">
        <is>
          <t>Sveaskog</t>
        </is>
      </c>
      <c r="G2457" t="n">
        <v>0.8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5401-2025</t>
        </is>
      </c>
      <c r="B2458" s="1" t="n">
        <v>45692.64210648148</v>
      </c>
      <c r="C2458" s="1" t="n">
        <v>45962</v>
      </c>
      <c r="D2458" t="inlineStr">
        <is>
          <t>JÖNKÖPINGS LÄN</t>
        </is>
      </c>
      <c r="E2458" t="inlineStr">
        <is>
          <t>ANEBY</t>
        </is>
      </c>
      <c r="G2458" t="n">
        <v>1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49849-2024</t>
        </is>
      </c>
      <c r="B2459" s="1" t="n">
        <v>45597.4624537037</v>
      </c>
      <c r="C2459" s="1" t="n">
        <v>45962</v>
      </c>
      <c r="D2459" t="inlineStr">
        <is>
          <t>JÖNKÖPINGS LÄN</t>
        </is>
      </c>
      <c r="E2459" t="inlineStr">
        <is>
          <t>HABO</t>
        </is>
      </c>
      <c r="F2459" t="inlineStr">
        <is>
          <t>Sveaskog</t>
        </is>
      </c>
      <c r="G2459" t="n">
        <v>0.5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16727-2023</t>
        </is>
      </c>
      <c r="B2460" s="1" t="n">
        <v>45030</v>
      </c>
      <c r="C2460" s="1" t="n">
        <v>45962</v>
      </c>
      <c r="D2460" t="inlineStr">
        <is>
          <t>JÖNKÖPINGS LÄN</t>
        </is>
      </c>
      <c r="E2460" t="inlineStr">
        <is>
          <t>HABO</t>
        </is>
      </c>
      <c r="G2460" t="n">
        <v>3.2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16774-2023</t>
        </is>
      </c>
      <c r="B2461" s="1" t="n">
        <v>45031.40950231482</v>
      </c>
      <c r="C2461" s="1" t="n">
        <v>45962</v>
      </c>
      <c r="D2461" t="inlineStr">
        <is>
          <t>JÖNKÖPINGS LÄN</t>
        </is>
      </c>
      <c r="E2461" t="inlineStr">
        <is>
          <t>VETLANDA</t>
        </is>
      </c>
      <c r="G2461" t="n">
        <v>1.1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8680-2025</t>
        </is>
      </c>
      <c r="B2462" s="1" t="n">
        <v>45711</v>
      </c>
      <c r="C2462" s="1" t="n">
        <v>45962</v>
      </c>
      <c r="D2462" t="inlineStr">
        <is>
          <t>JÖNKÖPINGS LÄN</t>
        </is>
      </c>
      <c r="E2462" t="inlineStr">
        <is>
          <t>GISLAVED</t>
        </is>
      </c>
      <c r="G2462" t="n">
        <v>2.6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15375-2023</t>
        </is>
      </c>
      <c r="B2463" s="1" t="n">
        <v>45019</v>
      </c>
      <c r="C2463" s="1" t="n">
        <v>45962</v>
      </c>
      <c r="D2463" t="inlineStr">
        <is>
          <t>JÖNKÖPINGS LÄN</t>
        </is>
      </c>
      <c r="E2463" t="inlineStr">
        <is>
          <t>VÄRNAMO</t>
        </is>
      </c>
      <c r="G2463" t="n">
        <v>2.8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53077-2021</t>
        </is>
      </c>
      <c r="B2464" s="1" t="n">
        <v>44467</v>
      </c>
      <c r="C2464" s="1" t="n">
        <v>45962</v>
      </c>
      <c r="D2464" t="inlineStr">
        <is>
          <t>JÖNKÖPINGS LÄN</t>
        </is>
      </c>
      <c r="E2464" t="inlineStr">
        <is>
          <t>GNOSJÖ</t>
        </is>
      </c>
      <c r="G2464" t="n">
        <v>1.5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6239-2021</t>
        </is>
      </c>
      <c r="B2465" s="1" t="n">
        <v>44235</v>
      </c>
      <c r="C2465" s="1" t="n">
        <v>45962</v>
      </c>
      <c r="D2465" t="inlineStr">
        <is>
          <t>JÖNKÖPINGS LÄN</t>
        </is>
      </c>
      <c r="E2465" t="inlineStr">
        <is>
          <t>VETLANDA</t>
        </is>
      </c>
      <c r="G2465" t="n">
        <v>1.4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928-2021</t>
        </is>
      </c>
      <c r="B2466" s="1" t="n">
        <v>44207.35061342592</v>
      </c>
      <c r="C2466" s="1" t="n">
        <v>45962</v>
      </c>
      <c r="D2466" t="inlineStr">
        <is>
          <t>JÖNKÖPINGS LÄN</t>
        </is>
      </c>
      <c r="E2466" t="inlineStr">
        <is>
          <t>NÄSSJÖ</t>
        </is>
      </c>
      <c r="G2466" t="n">
        <v>0.7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57730-2023</t>
        </is>
      </c>
      <c r="B2467" s="1" t="n">
        <v>45246</v>
      </c>
      <c r="C2467" s="1" t="n">
        <v>45962</v>
      </c>
      <c r="D2467" t="inlineStr">
        <is>
          <t>JÖNKÖPINGS LÄN</t>
        </is>
      </c>
      <c r="E2467" t="inlineStr">
        <is>
          <t>GNOSJÖ</t>
        </is>
      </c>
      <c r="G2467" t="n">
        <v>1.5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6692-2021</t>
        </is>
      </c>
      <c r="B2468" s="1" t="n">
        <v>44236</v>
      </c>
      <c r="C2468" s="1" t="n">
        <v>45962</v>
      </c>
      <c r="D2468" t="inlineStr">
        <is>
          <t>JÖNKÖPINGS LÄN</t>
        </is>
      </c>
      <c r="E2468" t="inlineStr">
        <is>
          <t>VAGGERYD</t>
        </is>
      </c>
      <c r="G2468" t="n">
        <v>0.8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10682-2024</t>
        </is>
      </c>
      <c r="B2469" s="1" t="n">
        <v>45369.36841435185</v>
      </c>
      <c r="C2469" s="1" t="n">
        <v>45962</v>
      </c>
      <c r="D2469" t="inlineStr">
        <is>
          <t>JÖNKÖPINGS LÄN</t>
        </is>
      </c>
      <c r="E2469" t="inlineStr">
        <is>
          <t>VÄRNAMO</t>
        </is>
      </c>
      <c r="G2469" t="n">
        <v>1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37255-2024</t>
        </is>
      </c>
      <c r="B2470" s="1" t="n">
        <v>45540.36818287037</v>
      </c>
      <c r="C2470" s="1" t="n">
        <v>45962</v>
      </c>
      <c r="D2470" t="inlineStr">
        <is>
          <t>JÖNKÖPINGS LÄN</t>
        </is>
      </c>
      <c r="E2470" t="inlineStr">
        <is>
          <t>VETLANDA</t>
        </is>
      </c>
      <c r="G2470" t="n">
        <v>0.5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10726-2024</t>
        </is>
      </c>
      <c r="B2471" s="1" t="n">
        <v>45369</v>
      </c>
      <c r="C2471" s="1" t="n">
        <v>45962</v>
      </c>
      <c r="D2471" t="inlineStr">
        <is>
          <t>JÖNKÖPINGS LÄN</t>
        </is>
      </c>
      <c r="E2471" t="inlineStr">
        <is>
          <t>EKSJÖ</t>
        </is>
      </c>
      <c r="G2471" t="n">
        <v>0.8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50202-2023</t>
        </is>
      </c>
      <c r="B2472" s="1" t="n">
        <v>45215</v>
      </c>
      <c r="C2472" s="1" t="n">
        <v>45962</v>
      </c>
      <c r="D2472" t="inlineStr">
        <is>
          <t>JÖNKÖPINGS LÄN</t>
        </is>
      </c>
      <c r="E2472" t="inlineStr">
        <is>
          <t>TRANÅS</t>
        </is>
      </c>
      <c r="G2472" t="n">
        <v>2.1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59852-2022</t>
        </is>
      </c>
      <c r="B2473" s="1" t="n">
        <v>44908</v>
      </c>
      <c r="C2473" s="1" t="n">
        <v>45962</v>
      </c>
      <c r="D2473" t="inlineStr">
        <is>
          <t>JÖNKÖPINGS LÄN</t>
        </is>
      </c>
      <c r="E2473" t="inlineStr">
        <is>
          <t>EKSJÖ</t>
        </is>
      </c>
      <c r="G2473" t="n">
        <v>2.8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12173-2025</t>
        </is>
      </c>
      <c r="B2474" s="1" t="n">
        <v>45729.44790509259</v>
      </c>
      <c r="C2474" s="1" t="n">
        <v>45962</v>
      </c>
      <c r="D2474" t="inlineStr">
        <is>
          <t>JÖNKÖPINGS LÄN</t>
        </is>
      </c>
      <c r="E2474" t="inlineStr">
        <is>
          <t>SÄVSJÖ</t>
        </is>
      </c>
      <c r="G2474" t="n">
        <v>3.2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16477-2024</t>
        </is>
      </c>
      <c r="B2475" s="1" t="n">
        <v>45408.28024305555</v>
      </c>
      <c r="C2475" s="1" t="n">
        <v>45962</v>
      </c>
      <c r="D2475" t="inlineStr">
        <is>
          <t>JÖNKÖPINGS LÄN</t>
        </is>
      </c>
      <c r="E2475" t="inlineStr">
        <is>
          <t>EKSJÖ</t>
        </is>
      </c>
      <c r="G2475" t="n">
        <v>1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10175-2023</t>
        </is>
      </c>
      <c r="B2476" s="1" t="n">
        <v>44986.47112268519</v>
      </c>
      <c r="C2476" s="1" t="n">
        <v>45962</v>
      </c>
      <c r="D2476" t="inlineStr">
        <is>
          <t>JÖNKÖPINGS LÄN</t>
        </is>
      </c>
      <c r="E2476" t="inlineStr">
        <is>
          <t>VETLANDA</t>
        </is>
      </c>
      <c r="G2476" t="n">
        <v>1.3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50173-2023</t>
        </is>
      </c>
      <c r="B2477" s="1" t="n">
        <v>45215.72212962963</v>
      </c>
      <c r="C2477" s="1" t="n">
        <v>45962</v>
      </c>
      <c r="D2477" t="inlineStr">
        <is>
          <t>JÖNKÖPINGS LÄN</t>
        </is>
      </c>
      <c r="E2477" t="inlineStr">
        <is>
          <t>JÖNKÖPING</t>
        </is>
      </c>
      <c r="G2477" t="n">
        <v>0.6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36189-2022</t>
        </is>
      </c>
      <c r="B2478" s="1" t="n">
        <v>44803.44065972222</v>
      </c>
      <c r="C2478" s="1" t="n">
        <v>45962</v>
      </c>
      <c r="D2478" t="inlineStr">
        <is>
          <t>JÖNKÖPINGS LÄN</t>
        </is>
      </c>
      <c r="E2478" t="inlineStr">
        <is>
          <t>JÖNKÖPING</t>
        </is>
      </c>
      <c r="G2478" t="n">
        <v>1.5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7140-2022</t>
        </is>
      </c>
      <c r="B2479" s="1" t="n">
        <v>44603</v>
      </c>
      <c r="C2479" s="1" t="n">
        <v>45962</v>
      </c>
      <c r="D2479" t="inlineStr">
        <is>
          <t>JÖNKÖPINGS LÄN</t>
        </is>
      </c>
      <c r="E2479" t="inlineStr">
        <is>
          <t>NÄSSJÖ</t>
        </is>
      </c>
      <c r="G2479" t="n">
        <v>0.9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36215-2022</t>
        </is>
      </c>
      <c r="B2480" s="1" t="n">
        <v>44803.49041666667</v>
      </c>
      <c r="C2480" s="1" t="n">
        <v>45962</v>
      </c>
      <c r="D2480" t="inlineStr">
        <is>
          <t>JÖNKÖPINGS LÄN</t>
        </is>
      </c>
      <c r="E2480" t="inlineStr">
        <is>
          <t>TRANÅS</t>
        </is>
      </c>
      <c r="G2480" t="n">
        <v>2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60309-2022</t>
        </is>
      </c>
      <c r="B2481" s="1" t="n">
        <v>44910</v>
      </c>
      <c r="C2481" s="1" t="n">
        <v>45962</v>
      </c>
      <c r="D2481" t="inlineStr">
        <is>
          <t>JÖNKÖPINGS LÄN</t>
        </is>
      </c>
      <c r="E2481" t="inlineStr">
        <is>
          <t>VAGGERYD</t>
        </is>
      </c>
      <c r="F2481" t="inlineStr">
        <is>
          <t>Sveaskog</t>
        </is>
      </c>
      <c r="G2481" t="n">
        <v>0.5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60326-2022</t>
        </is>
      </c>
      <c r="B2482" s="1" t="n">
        <v>44910.59276620371</v>
      </c>
      <c r="C2482" s="1" t="n">
        <v>45962</v>
      </c>
      <c r="D2482" t="inlineStr">
        <is>
          <t>JÖNKÖPINGS LÄN</t>
        </is>
      </c>
      <c r="E2482" t="inlineStr">
        <is>
          <t>VAGGERYD</t>
        </is>
      </c>
      <c r="F2482" t="inlineStr">
        <is>
          <t>Sveaskog</t>
        </is>
      </c>
      <c r="G2482" t="n">
        <v>1.7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48480-2022</t>
        </is>
      </c>
      <c r="B2483" s="1" t="n">
        <v>44858.70835648148</v>
      </c>
      <c r="C2483" s="1" t="n">
        <v>45962</v>
      </c>
      <c r="D2483" t="inlineStr">
        <is>
          <t>JÖNKÖPINGS LÄN</t>
        </is>
      </c>
      <c r="E2483" t="inlineStr">
        <is>
          <t>GNOSJÖ</t>
        </is>
      </c>
      <c r="G2483" t="n">
        <v>0.6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29847-2021</t>
        </is>
      </c>
      <c r="B2484" s="1" t="n">
        <v>44362.65372685185</v>
      </c>
      <c r="C2484" s="1" t="n">
        <v>45962</v>
      </c>
      <c r="D2484" t="inlineStr">
        <is>
          <t>JÖNKÖPINGS LÄN</t>
        </is>
      </c>
      <c r="E2484" t="inlineStr">
        <is>
          <t>GISLAVED</t>
        </is>
      </c>
      <c r="G2484" t="n">
        <v>0.8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17356-2025</t>
        </is>
      </c>
      <c r="B2485" s="1" t="n">
        <v>45756.70585648148</v>
      </c>
      <c r="C2485" s="1" t="n">
        <v>45962</v>
      </c>
      <c r="D2485" t="inlineStr">
        <is>
          <t>JÖNKÖPINGS LÄN</t>
        </is>
      </c>
      <c r="E2485" t="inlineStr">
        <is>
          <t>VETLANDA</t>
        </is>
      </c>
      <c r="G2485" t="n">
        <v>0.9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33935-2023</t>
        </is>
      </c>
      <c r="B2486" s="1" t="n">
        <v>45134.50414351852</v>
      </c>
      <c r="C2486" s="1" t="n">
        <v>45962</v>
      </c>
      <c r="D2486" t="inlineStr">
        <is>
          <t>JÖNKÖPINGS LÄN</t>
        </is>
      </c>
      <c r="E2486" t="inlineStr">
        <is>
          <t>VETLANDA</t>
        </is>
      </c>
      <c r="G2486" t="n">
        <v>2.2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471-2024</t>
        </is>
      </c>
      <c r="B2487" s="1" t="n">
        <v>45297.71375</v>
      </c>
      <c r="C2487" s="1" t="n">
        <v>45962</v>
      </c>
      <c r="D2487" t="inlineStr">
        <is>
          <t>JÖNKÖPINGS LÄN</t>
        </is>
      </c>
      <c r="E2487" t="inlineStr">
        <is>
          <t>VETLANDA</t>
        </is>
      </c>
      <c r="G2487" t="n">
        <v>2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46873-2024</t>
        </is>
      </c>
      <c r="B2488" s="1" t="n">
        <v>45583.63947916667</v>
      </c>
      <c r="C2488" s="1" t="n">
        <v>45962</v>
      </c>
      <c r="D2488" t="inlineStr">
        <is>
          <t>JÖNKÖPINGS LÄN</t>
        </is>
      </c>
      <c r="E2488" t="inlineStr">
        <is>
          <t>VAGGERYD</t>
        </is>
      </c>
      <c r="G2488" t="n">
        <v>1.3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1502-2024</t>
        </is>
      </c>
      <c r="B2489" s="1" t="n">
        <v>45306</v>
      </c>
      <c r="C2489" s="1" t="n">
        <v>45962</v>
      </c>
      <c r="D2489" t="inlineStr">
        <is>
          <t>JÖNKÖPINGS LÄN</t>
        </is>
      </c>
      <c r="E2489" t="inlineStr">
        <is>
          <t>NÄSSJÖ</t>
        </is>
      </c>
      <c r="G2489" t="n">
        <v>12.4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30674-2024</t>
        </is>
      </c>
      <c r="B2490" s="1" t="n">
        <v>45495.88708333333</v>
      </c>
      <c r="C2490" s="1" t="n">
        <v>45962</v>
      </c>
      <c r="D2490" t="inlineStr">
        <is>
          <t>JÖNKÖPINGS LÄN</t>
        </is>
      </c>
      <c r="E2490" t="inlineStr">
        <is>
          <t>GISLAVED</t>
        </is>
      </c>
      <c r="G2490" t="n">
        <v>0.7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1535-2024</t>
        </is>
      </c>
      <c r="B2491" s="1" t="n">
        <v>45306</v>
      </c>
      <c r="C2491" s="1" t="n">
        <v>45962</v>
      </c>
      <c r="D2491" t="inlineStr">
        <is>
          <t>JÖNKÖPINGS LÄN</t>
        </is>
      </c>
      <c r="E2491" t="inlineStr">
        <is>
          <t>VÄRNAMO</t>
        </is>
      </c>
      <c r="G2491" t="n">
        <v>0.8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54905-2023</t>
        </is>
      </c>
      <c r="B2492" s="1" t="n">
        <v>45236.65589120371</v>
      </c>
      <c r="C2492" s="1" t="n">
        <v>45962</v>
      </c>
      <c r="D2492" t="inlineStr">
        <is>
          <t>JÖNKÖPINGS LÄN</t>
        </is>
      </c>
      <c r="E2492" t="inlineStr">
        <is>
          <t>VETLANDA</t>
        </is>
      </c>
      <c r="G2492" t="n">
        <v>1.9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27022-2024</t>
        </is>
      </c>
      <c r="B2493" s="1" t="n">
        <v>45471.41681712963</v>
      </c>
      <c r="C2493" s="1" t="n">
        <v>45962</v>
      </c>
      <c r="D2493" t="inlineStr">
        <is>
          <t>JÖNKÖPINGS LÄN</t>
        </is>
      </c>
      <c r="E2493" t="inlineStr">
        <is>
          <t>SÄVSJÖ</t>
        </is>
      </c>
      <c r="G2493" t="n">
        <v>1.6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12306-2023</t>
        </is>
      </c>
      <c r="B2494" s="1" t="n">
        <v>44998</v>
      </c>
      <c r="C2494" s="1" t="n">
        <v>45962</v>
      </c>
      <c r="D2494" t="inlineStr">
        <is>
          <t>JÖNKÖPINGS LÄN</t>
        </is>
      </c>
      <c r="E2494" t="inlineStr">
        <is>
          <t>VÄRNAMO</t>
        </is>
      </c>
      <c r="G2494" t="n">
        <v>10.4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1688-2024</t>
        </is>
      </c>
      <c r="B2495" s="1" t="n">
        <v>45307.28674768518</v>
      </c>
      <c r="C2495" s="1" t="n">
        <v>45962</v>
      </c>
      <c r="D2495" t="inlineStr">
        <is>
          <t>JÖNKÖPINGS LÄN</t>
        </is>
      </c>
      <c r="E2495" t="inlineStr">
        <is>
          <t>NÄSSJÖ</t>
        </is>
      </c>
      <c r="G2495" t="n">
        <v>2.7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47124-2024</t>
        </is>
      </c>
      <c r="B2496" s="1" t="n">
        <v>45586.56929398148</v>
      </c>
      <c r="C2496" s="1" t="n">
        <v>45962</v>
      </c>
      <c r="D2496" t="inlineStr">
        <is>
          <t>JÖNKÖPINGS LÄN</t>
        </is>
      </c>
      <c r="E2496" t="inlineStr">
        <is>
          <t>VETLANDA</t>
        </is>
      </c>
      <c r="G2496" t="n">
        <v>3.4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53602-2024</t>
        </is>
      </c>
      <c r="B2497" s="1" t="n">
        <v>45611</v>
      </c>
      <c r="C2497" s="1" t="n">
        <v>45962</v>
      </c>
      <c r="D2497" t="inlineStr">
        <is>
          <t>JÖNKÖPINGS LÄN</t>
        </is>
      </c>
      <c r="E2497" t="inlineStr">
        <is>
          <t>NÄSSJÖ</t>
        </is>
      </c>
      <c r="G2497" t="n">
        <v>2.1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51754-2024</t>
        </is>
      </c>
      <c r="B2498" s="1" t="n">
        <v>45607.43128472222</v>
      </c>
      <c r="C2498" s="1" t="n">
        <v>45962</v>
      </c>
      <c r="D2498" t="inlineStr">
        <is>
          <t>JÖNKÖPINGS LÄN</t>
        </is>
      </c>
      <c r="E2498" t="inlineStr">
        <is>
          <t>VÄRNAMO</t>
        </is>
      </c>
      <c r="G2498" t="n">
        <v>5.4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26452-2021</t>
        </is>
      </c>
      <c r="B2499" s="1" t="n">
        <v>44348</v>
      </c>
      <c r="C2499" s="1" t="n">
        <v>45962</v>
      </c>
      <c r="D2499" t="inlineStr">
        <is>
          <t>JÖNKÖPINGS LÄN</t>
        </is>
      </c>
      <c r="E2499" t="inlineStr">
        <is>
          <t>NÄSSJÖ</t>
        </is>
      </c>
      <c r="G2499" t="n">
        <v>0.6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28945-2021</t>
        </is>
      </c>
      <c r="B2500" s="1" t="n">
        <v>44358.34016203704</v>
      </c>
      <c r="C2500" s="1" t="n">
        <v>45962</v>
      </c>
      <c r="D2500" t="inlineStr">
        <is>
          <t>JÖNKÖPINGS LÄN</t>
        </is>
      </c>
      <c r="E2500" t="inlineStr">
        <is>
          <t>EKSJÖ</t>
        </is>
      </c>
      <c r="G2500" t="n">
        <v>2.3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56414-2024</t>
        </is>
      </c>
      <c r="B2501" s="1" t="n">
        <v>45625</v>
      </c>
      <c r="C2501" s="1" t="n">
        <v>45962</v>
      </c>
      <c r="D2501" t="inlineStr">
        <is>
          <t>JÖNKÖPINGS LÄN</t>
        </is>
      </c>
      <c r="E2501" t="inlineStr">
        <is>
          <t>VETLANDA</t>
        </is>
      </c>
      <c r="G2501" t="n">
        <v>1.1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43622-2021</t>
        </is>
      </c>
      <c r="B2502" s="1" t="n">
        <v>44433.52033564815</v>
      </c>
      <c r="C2502" s="1" t="n">
        <v>45962</v>
      </c>
      <c r="D2502" t="inlineStr">
        <is>
          <t>JÖNKÖPINGS LÄN</t>
        </is>
      </c>
      <c r="E2502" t="inlineStr">
        <is>
          <t>GISLAVED</t>
        </is>
      </c>
      <c r="G2502" t="n">
        <v>1.1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30659-2023</t>
        </is>
      </c>
      <c r="B2503" s="1" t="n">
        <v>45112.50153935186</v>
      </c>
      <c r="C2503" s="1" t="n">
        <v>45962</v>
      </c>
      <c r="D2503" t="inlineStr">
        <is>
          <t>JÖNKÖPINGS LÄN</t>
        </is>
      </c>
      <c r="E2503" t="inlineStr">
        <is>
          <t>NÄSSJÖ</t>
        </is>
      </c>
      <c r="G2503" t="n">
        <v>1.1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9699-2021</t>
        </is>
      </c>
      <c r="B2504" s="1" t="n">
        <v>44252.44100694444</v>
      </c>
      <c r="C2504" s="1" t="n">
        <v>45962</v>
      </c>
      <c r="D2504" t="inlineStr">
        <is>
          <t>JÖNKÖPINGS LÄN</t>
        </is>
      </c>
      <c r="E2504" t="inlineStr">
        <is>
          <t>VETLANDA</t>
        </is>
      </c>
      <c r="G2504" t="n">
        <v>1.9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2323-2024</t>
        </is>
      </c>
      <c r="B2505" s="1" t="n">
        <v>45310</v>
      </c>
      <c r="C2505" s="1" t="n">
        <v>45962</v>
      </c>
      <c r="D2505" t="inlineStr">
        <is>
          <t>JÖNKÖPINGS LÄN</t>
        </is>
      </c>
      <c r="E2505" t="inlineStr">
        <is>
          <t>VETLANDA</t>
        </is>
      </c>
      <c r="G2505" t="n">
        <v>0.7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3116-2024</t>
        </is>
      </c>
      <c r="B2506" s="1" t="n">
        <v>45316.50005787037</v>
      </c>
      <c r="C2506" s="1" t="n">
        <v>45962</v>
      </c>
      <c r="D2506" t="inlineStr">
        <is>
          <t>JÖNKÖPINGS LÄN</t>
        </is>
      </c>
      <c r="E2506" t="inlineStr">
        <is>
          <t>VETLANDA</t>
        </is>
      </c>
      <c r="G2506" t="n">
        <v>1.3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17082-2024</t>
        </is>
      </c>
      <c r="B2507" s="1" t="n">
        <v>45412.49434027778</v>
      </c>
      <c r="C2507" s="1" t="n">
        <v>45962</v>
      </c>
      <c r="D2507" t="inlineStr">
        <is>
          <t>JÖNKÖPINGS LÄN</t>
        </is>
      </c>
      <c r="E2507" t="inlineStr">
        <is>
          <t>ANEBY</t>
        </is>
      </c>
      <c r="G2507" t="n">
        <v>4.4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20134-2024</t>
        </is>
      </c>
      <c r="B2508" s="1" t="n">
        <v>45434</v>
      </c>
      <c r="C2508" s="1" t="n">
        <v>45962</v>
      </c>
      <c r="D2508" t="inlineStr">
        <is>
          <t>JÖNKÖPINGS LÄN</t>
        </is>
      </c>
      <c r="E2508" t="inlineStr">
        <is>
          <t>TRANÅS</t>
        </is>
      </c>
      <c r="G2508" t="n">
        <v>3.1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16573-2025</t>
        </is>
      </c>
      <c r="B2509" s="1" t="n">
        <v>45752</v>
      </c>
      <c r="C2509" s="1" t="n">
        <v>45962</v>
      </c>
      <c r="D2509" t="inlineStr">
        <is>
          <t>JÖNKÖPINGS LÄN</t>
        </is>
      </c>
      <c r="E2509" t="inlineStr">
        <is>
          <t>MULLSJÖ</t>
        </is>
      </c>
      <c r="G2509" t="n">
        <v>9.6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3259-2024</t>
        </is>
      </c>
      <c r="B2510" s="1" t="n">
        <v>45316</v>
      </c>
      <c r="C2510" s="1" t="n">
        <v>45962</v>
      </c>
      <c r="D2510" t="inlineStr">
        <is>
          <t>JÖNKÖPINGS LÄN</t>
        </is>
      </c>
      <c r="E2510" t="inlineStr">
        <is>
          <t>NÄSSJÖ</t>
        </is>
      </c>
      <c r="F2510" t="inlineStr">
        <is>
          <t>Kyrkan</t>
        </is>
      </c>
      <c r="G2510" t="n">
        <v>4.6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19792-2025</t>
        </is>
      </c>
      <c r="B2511" s="1" t="n">
        <v>45771.44607638889</v>
      </c>
      <c r="C2511" s="1" t="n">
        <v>45962</v>
      </c>
      <c r="D2511" t="inlineStr">
        <is>
          <t>JÖNKÖPINGS LÄN</t>
        </is>
      </c>
      <c r="E2511" t="inlineStr">
        <is>
          <t>NÄSSJÖ</t>
        </is>
      </c>
      <c r="G2511" t="n">
        <v>0.9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19802-2025</t>
        </is>
      </c>
      <c r="B2512" s="1" t="n">
        <v>45771.4515625</v>
      </c>
      <c r="C2512" s="1" t="n">
        <v>45962</v>
      </c>
      <c r="D2512" t="inlineStr">
        <is>
          <t>JÖNKÖPINGS LÄN</t>
        </is>
      </c>
      <c r="E2512" t="inlineStr">
        <is>
          <t>VETLANDA</t>
        </is>
      </c>
      <c r="G2512" t="n">
        <v>1.8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19806-2025</t>
        </is>
      </c>
      <c r="B2513" s="1" t="n">
        <v>45771.45429398148</v>
      </c>
      <c r="C2513" s="1" t="n">
        <v>45962</v>
      </c>
      <c r="D2513" t="inlineStr">
        <is>
          <t>JÖNKÖPINGS LÄN</t>
        </is>
      </c>
      <c r="E2513" t="inlineStr">
        <is>
          <t>VETLANDA</t>
        </is>
      </c>
      <c r="G2513" t="n">
        <v>2.7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43760-2023</t>
        </is>
      </c>
      <c r="B2514" s="1" t="n">
        <v>45187.48538194445</v>
      </c>
      <c r="C2514" s="1" t="n">
        <v>45962</v>
      </c>
      <c r="D2514" t="inlineStr">
        <is>
          <t>JÖNKÖPINGS LÄN</t>
        </is>
      </c>
      <c r="E2514" t="inlineStr">
        <is>
          <t>GNOSJÖ</t>
        </is>
      </c>
      <c r="G2514" t="n">
        <v>0.9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43784-2023</t>
        </is>
      </c>
      <c r="B2515" s="1" t="n">
        <v>45187</v>
      </c>
      <c r="C2515" s="1" t="n">
        <v>45962</v>
      </c>
      <c r="D2515" t="inlineStr">
        <is>
          <t>JÖNKÖPINGS LÄN</t>
        </is>
      </c>
      <c r="E2515" t="inlineStr">
        <is>
          <t>GNOSJÖ</t>
        </is>
      </c>
      <c r="G2515" t="n">
        <v>3.8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21026-2024</t>
        </is>
      </c>
      <c r="B2516" s="1" t="n">
        <v>45439</v>
      </c>
      <c r="C2516" s="1" t="n">
        <v>45962</v>
      </c>
      <c r="D2516" t="inlineStr">
        <is>
          <t>JÖNKÖPINGS LÄN</t>
        </is>
      </c>
      <c r="E2516" t="inlineStr">
        <is>
          <t>ANEBY</t>
        </is>
      </c>
      <c r="F2516" t="inlineStr">
        <is>
          <t>Sveaskog</t>
        </is>
      </c>
      <c r="G2516" t="n">
        <v>1.9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55909-2022</t>
        </is>
      </c>
      <c r="B2517" s="1" t="n">
        <v>44889.27608796296</v>
      </c>
      <c r="C2517" s="1" t="n">
        <v>45962</v>
      </c>
      <c r="D2517" t="inlineStr">
        <is>
          <t>JÖNKÖPINGS LÄN</t>
        </is>
      </c>
      <c r="E2517" t="inlineStr">
        <is>
          <t>GNOSJÖ</t>
        </is>
      </c>
      <c r="G2517" t="n">
        <v>1.9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17766-2023</t>
        </is>
      </c>
      <c r="B2518" s="1" t="n">
        <v>45037.50251157407</v>
      </c>
      <c r="C2518" s="1" t="n">
        <v>45962</v>
      </c>
      <c r="D2518" t="inlineStr">
        <is>
          <t>JÖNKÖPINGS LÄN</t>
        </is>
      </c>
      <c r="E2518" t="inlineStr">
        <is>
          <t>SÄVSJÖ</t>
        </is>
      </c>
      <c r="G2518" t="n">
        <v>1.5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14427-2025</t>
        </is>
      </c>
      <c r="B2519" s="1" t="n">
        <v>45741.4928125</v>
      </c>
      <c r="C2519" s="1" t="n">
        <v>45962</v>
      </c>
      <c r="D2519" t="inlineStr">
        <is>
          <t>JÖNKÖPINGS LÄN</t>
        </is>
      </c>
      <c r="E2519" t="inlineStr">
        <is>
          <t>EKSJÖ</t>
        </is>
      </c>
      <c r="F2519" t="inlineStr">
        <is>
          <t>Sveaskog</t>
        </is>
      </c>
      <c r="G2519" t="n">
        <v>2.4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27406-2023</t>
        </is>
      </c>
      <c r="B2520" s="1" t="n">
        <v>45097.31440972222</v>
      </c>
      <c r="C2520" s="1" t="n">
        <v>45962</v>
      </c>
      <c r="D2520" t="inlineStr">
        <is>
          <t>JÖNKÖPINGS LÄN</t>
        </is>
      </c>
      <c r="E2520" t="inlineStr">
        <is>
          <t>VETLANDA</t>
        </is>
      </c>
      <c r="G2520" t="n">
        <v>1.1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29207-2023</t>
        </is>
      </c>
      <c r="B2521" s="1" t="n">
        <v>45105</v>
      </c>
      <c r="C2521" s="1" t="n">
        <v>45962</v>
      </c>
      <c r="D2521" t="inlineStr">
        <is>
          <t>JÖNKÖPINGS LÄN</t>
        </is>
      </c>
      <c r="E2521" t="inlineStr">
        <is>
          <t>VETLANDA</t>
        </is>
      </c>
      <c r="G2521" t="n">
        <v>1.2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27448-2023</t>
        </is>
      </c>
      <c r="B2522" s="1" t="n">
        <v>45097.41813657407</v>
      </c>
      <c r="C2522" s="1" t="n">
        <v>45962</v>
      </c>
      <c r="D2522" t="inlineStr">
        <is>
          <t>JÖNKÖPINGS LÄN</t>
        </is>
      </c>
      <c r="E2522" t="inlineStr">
        <is>
          <t>EKSJÖ</t>
        </is>
      </c>
      <c r="G2522" t="n">
        <v>1.5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27449-2023</t>
        </is>
      </c>
      <c r="B2523" s="1" t="n">
        <v>45097.42025462963</v>
      </c>
      <c r="C2523" s="1" t="n">
        <v>45962</v>
      </c>
      <c r="D2523" t="inlineStr">
        <is>
          <t>JÖNKÖPINGS LÄN</t>
        </is>
      </c>
      <c r="E2523" t="inlineStr">
        <is>
          <t>VETLANDA</t>
        </is>
      </c>
      <c r="G2523" t="n">
        <v>5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2940-2024</t>
        </is>
      </c>
      <c r="B2524" s="1" t="n">
        <v>45315.616875</v>
      </c>
      <c r="C2524" s="1" t="n">
        <v>45962</v>
      </c>
      <c r="D2524" t="inlineStr">
        <is>
          <t>JÖNKÖPINGS LÄN</t>
        </is>
      </c>
      <c r="E2524" t="inlineStr">
        <is>
          <t>VÄRNAMO</t>
        </is>
      </c>
      <c r="G2524" t="n">
        <v>1.2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9066-2024</t>
        </is>
      </c>
      <c r="B2525" s="1" t="n">
        <v>45357</v>
      </c>
      <c r="C2525" s="1" t="n">
        <v>45962</v>
      </c>
      <c r="D2525" t="inlineStr">
        <is>
          <t>JÖNKÖPINGS LÄN</t>
        </is>
      </c>
      <c r="E2525" t="inlineStr">
        <is>
          <t>ANEBY</t>
        </is>
      </c>
      <c r="G2525" t="n">
        <v>1.4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43695-2023</t>
        </is>
      </c>
      <c r="B2526" s="1" t="n">
        <v>45187.41074074074</v>
      </c>
      <c r="C2526" s="1" t="n">
        <v>45962</v>
      </c>
      <c r="D2526" t="inlineStr">
        <is>
          <t>JÖNKÖPINGS LÄN</t>
        </is>
      </c>
      <c r="E2526" t="inlineStr">
        <is>
          <t>NÄSSJÖ</t>
        </is>
      </c>
      <c r="G2526" t="n">
        <v>0.8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43704-2023</t>
        </is>
      </c>
      <c r="B2527" s="1" t="n">
        <v>45187.42778935185</v>
      </c>
      <c r="C2527" s="1" t="n">
        <v>45962</v>
      </c>
      <c r="D2527" t="inlineStr">
        <is>
          <t>JÖNKÖPINGS LÄN</t>
        </is>
      </c>
      <c r="E2527" t="inlineStr">
        <is>
          <t>VAGGERYD</t>
        </is>
      </c>
      <c r="G2527" t="n">
        <v>0.6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57424-2020</t>
        </is>
      </c>
      <c r="B2528" s="1" t="n">
        <v>44140</v>
      </c>
      <c r="C2528" s="1" t="n">
        <v>45962</v>
      </c>
      <c r="D2528" t="inlineStr">
        <is>
          <t>JÖNKÖPINGS LÄN</t>
        </is>
      </c>
      <c r="E2528" t="inlineStr">
        <is>
          <t>MULLSJÖ</t>
        </is>
      </c>
      <c r="G2528" t="n">
        <v>1.1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3598-2024</t>
        </is>
      </c>
      <c r="B2529" s="1" t="n">
        <v>45320.77788194444</v>
      </c>
      <c r="C2529" s="1" t="n">
        <v>45962</v>
      </c>
      <c r="D2529" t="inlineStr">
        <is>
          <t>JÖNKÖPINGS LÄN</t>
        </is>
      </c>
      <c r="E2529" t="inlineStr">
        <is>
          <t>SÄVSJÖ</t>
        </is>
      </c>
      <c r="G2529" t="n">
        <v>0.5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3600-2024</t>
        </is>
      </c>
      <c r="B2530" s="1" t="n">
        <v>45320</v>
      </c>
      <c r="C2530" s="1" t="n">
        <v>45962</v>
      </c>
      <c r="D2530" t="inlineStr">
        <is>
          <t>JÖNKÖPINGS LÄN</t>
        </is>
      </c>
      <c r="E2530" t="inlineStr">
        <is>
          <t>SÄVSJÖ</t>
        </is>
      </c>
      <c r="G2530" t="n">
        <v>0.6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3545-2021</t>
        </is>
      </c>
      <c r="B2531" s="1" t="n">
        <v>44218.73505787037</v>
      </c>
      <c r="C2531" s="1" t="n">
        <v>45962</v>
      </c>
      <c r="D2531" t="inlineStr">
        <is>
          <t>JÖNKÖPINGS LÄN</t>
        </is>
      </c>
      <c r="E2531" t="inlineStr">
        <is>
          <t>VÄRNAMO</t>
        </is>
      </c>
      <c r="G2531" t="n">
        <v>1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41816-2024</t>
        </is>
      </c>
      <c r="B2532" s="1" t="n">
        <v>45561.38298611111</v>
      </c>
      <c r="C2532" s="1" t="n">
        <v>45962</v>
      </c>
      <c r="D2532" t="inlineStr">
        <is>
          <t>JÖNKÖPINGS LÄN</t>
        </is>
      </c>
      <c r="E2532" t="inlineStr">
        <is>
          <t>EKSJÖ</t>
        </is>
      </c>
      <c r="F2532" t="inlineStr">
        <is>
          <t>Sveaskog</t>
        </is>
      </c>
      <c r="G2532" t="n">
        <v>2.5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27461-2023</t>
        </is>
      </c>
      <c r="B2533" s="1" t="n">
        <v>45097.43368055556</v>
      </c>
      <c r="C2533" s="1" t="n">
        <v>45962</v>
      </c>
      <c r="D2533" t="inlineStr">
        <is>
          <t>JÖNKÖPINGS LÄN</t>
        </is>
      </c>
      <c r="E2533" t="inlineStr">
        <is>
          <t>VAGGERYD</t>
        </is>
      </c>
      <c r="F2533" t="inlineStr">
        <is>
          <t>Sveaskog</t>
        </is>
      </c>
      <c r="G2533" t="n">
        <v>0.6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5804-2024</t>
        </is>
      </c>
      <c r="B2534" s="1" t="n">
        <v>45335</v>
      </c>
      <c r="C2534" s="1" t="n">
        <v>45962</v>
      </c>
      <c r="D2534" t="inlineStr">
        <is>
          <t>JÖNKÖPINGS LÄN</t>
        </is>
      </c>
      <c r="E2534" t="inlineStr">
        <is>
          <t>VETLANDA</t>
        </is>
      </c>
      <c r="G2534" t="n">
        <v>0.2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40881-2024</t>
        </is>
      </c>
      <c r="B2535" s="1" t="n">
        <v>45558.59898148148</v>
      </c>
      <c r="C2535" s="1" t="n">
        <v>45962</v>
      </c>
      <c r="D2535" t="inlineStr">
        <is>
          <t>JÖNKÖPINGS LÄN</t>
        </is>
      </c>
      <c r="E2535" t="inlineStr">
        <is>
          <t>VAGGERYD</t>
        </is>
      </c>
      <c r="F2535" t="inlineStr">
        <is>
          <t>Sveaskog</t>
        </is>
      </c>
      <c r="G2535" t="n">
        <v>2.4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38615-2023</t>
        </is>
      </c>
      <c r="B2536" s="1" t="n">
        <v>45162</v>
      </c>
      <c r="C2536" s="1" t="n">
        <v>45962</v>
      </c>
      <c r="D2536" t="inlineStr">
        <is>
          <t>JÖNKÖPINGS LÄN</t>
        </is>
      </c>
      <c r="E2536" t="inlineStr">
        <is>
          <t>NÄSSJÖ</t>
        </is>
      </c>
      <c r="G2536" t="n">
        <v>4.5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2172-2025</t>
        </is>
      </c>
      <c r="B2537" s="1" t="n">
        <v>45673.32414351852</v>
      </c>
      <c r="C2537" s="1" t="n">
        <v>45962</v>
      </c>
      <c r="D2537" t="inlineStr">
        <is>
          <t>JÖNKÖPINGS LÄN</t>
        </is>
      </c>
      <c r="E2537" t="inlineStr">
        <is>
          <t>SÄVSJÖ</t>
        </is>
      </c>
      <c r="G2537" t="n">
        <v>0.5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11887-2023</t>
        </is>
      </c>
      <c r="B2538" s="1" t="n">
        <v>44995.43578703704</v>
      </c>
      <c r="C2538" s="1" t="n">
        <v>45962</v>
      </c>
      <c r="D2538" t="inlineStr">
        <is>
          <t>JÖNKÖPINGS LÄN</t>
        </is>
      </c>
      <c r="E2538" t="inlineStr">
        <is>
          <t>HABO</t>
        </is>
      </c>
      <c r="G2538" t="n">
        <v>1.3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2364-2025</t>
        </is>
      </c>
      <c r="B2539" s="1" t="n">
        <v>45673.71842592592</v>
      </c>
      <c r="C2539" s="1" t="n">
        <v>45962</v>
      </c>
      <c r="D2539" t="inlineStr">
        <is>
          <t>JÖNKÖPINGS LÄN</t>
        </is>
      </c>
      <c r="E2539" t="inlineStr">
        <is>
          <t>JÖNKÖPING</t>
        </is>
      </c>
      <c r="G2539" t="n">
        <v>0.5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10760-2022</t>
        </is>
      </c>
      <c r="B2540" s="1" t="n">
        <v>44627.41212962963</v>
      </c>
      <c r="C2540" s="1" t="n">
        <v>45962</v>
      </c>
      <c r="D2540" t="inlineStr">
        <is>
          <t>JÖNKÖPINGS LÄN</t>
        </is>
      </c>
      <c r="E2540" t="inlineStr">
        <is>
          <t>JÖNKÖPING</t>
        </is>
      </c>
      <c r="G2540" t="n">
        <v>3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40552-2023</t>
        </is>
      </c>
      <c r="B2541" s="1" t="n">
        <v>45170.45388888889</v>
      </c>
      <c r="C2541" s="1" t="n">
        <v>45962</v>
      </c>
      <c r="D2541" t="inlineStr">
        <is>
          <t>JÖNKÖPINGS LÄN</t>
        </is>
      </c>
      <c r="E2541" t="inlineStr">
        <is>
          <t>SÄVSJÖ</t>
        </is>
      </c>
      <c r="G2541" t="n">
        <v>2.6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10819-2022</t>
        </is>
      </c>
      <c r="B2542" s="1" t="n">
        <v>44627.52538194445</v>
      </c>
      <c r="C2542" s="1" t="n">
        <v>45962</v>
      </c>
      <c r="D2542" t="inlineStr">
        <is>
          <t>JÖNKÖPINGS LÄN</t>
        </is>
      </c>
      <c r="E2542" t="inlineStr">
        <is>
          <t>VETLANDA</t>
        </is>
      </c>
      <c r="G2542" t="n">
        <v>2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20425-2023</t>
        </is>
      </c>
      <c r="B2543" s="1" t="n">
        <v>45056</v>
      </c>
      <c r="C2543" s="1" t="n">
        <v>45962</v>
      </c>
      <c r="D2543" t="inlineStr">
        <is>
          <t>JÖNKÖPINGS LÄN</t>
        </is>
      </c>
      <c r="E2543" t="inlineStr">
        <is>
          <t>JÖNKÖPING</t>
        </is>
      </c>
      <c r="G2543" t="n">
        <v>0.5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9931-2024</t>
        </is>
      </c>
      <c r="B2544" s="1" t="n">
        <v>45363</v>
      </c>
      <c r="C2544" s="1" t="n">
        <v>45962</v>
      </c>
      <c r="D2544" t="inlineStr">
        <is>
          <t>JÖNKÖPINGS LÄN</t>
        </is>
      </c>
      <c r="E2544" t="inlineStr">
        <is>
          <t>HABO</t>
        </is>
      </c>
      <c r="G2544" t="n">
        <v>1.1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39491-2021</t>
        </is>
      </c>
      <c r="B2545" s="1" t="n">
        <v>44414</v>
      </c>
      <c r="C2545" s="1" t="n">
        <v>45962</v>
      </c>
      <c r="D2545" t="inlineStr">
        <is>
          <t>JÖNKÖPINGS LÄN</t>
        </is>
      </c>
      <c r="E2545" t="inlineStr">
        <is>
          <t>SÄVSJÖ</t>
        </is>
      </c>
      <c r="G2545" t="n">
        <v>0.5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24146-2024</t>
        </is>
      </c>
      <c r="B2546" s="1" t="n">
        <v>45456.66137731481</v>
      </c>
      <c r="C2546" s="1" t="n">
        <v>45962</v>
      </c>
      <c r="D2546" t="inlineStr">
        <is>
          <t>JÖNKÖPINGS LÄN</t>
        </is>
      </c>
      <c r="E2546" t="inlineStr">
        <is>
          <t>JÖNKÖPING</t>
        </is>
      </c>
      <c r="G2546" t="n">
        <v>2.8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58361-2024</t>
        </is>
      </c>
      <c r="B2547" s="1" t="n">
        <v>45632.67087962963</v>
      </c>
      <c r="C2547" s="1" t="n">
        <v>45962</v>
      </c>
      <c r="D2547" t="inlineStr">
        <is>
          <t>JÖNKÖPINGS LÄN</t>
        </is>
      </c>
      <c r="E2547" t="inlineStr">
        <is>
          <t>SÄVSJÖ</t>
        </is>
      </c>
      <c r="G2547" t="n">
        <v>0.5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58362-2024</t>
        </is>
      </c>
      <c r="B2548" s="1" t="n">
        <v>45632.67179398148</v>
      </c>
      <c r="C2548" s="1" t="n">
        <v>45962</v>
      </c>
      <c r="D2548" t="inlineStr">
        <is>
          <t>JÖNKÖPINGS LÄN</t>
        </is>
      </c>
      <c r="E2548" t="inlineStr">
        <is>
          <t>SÄVSJÖ</t>
        </is>
      </c>
      <c r="G2548" t="n">
        <v>0.6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50226-2024</t>
        </is>
      </c>
      <c r="B2549" s="1" t="n">
        <v>45600.54409722222</v>
      </c>
      <c r="C2549" s="1" t="n">
        <v>45962</v>
      </c>
      <c r="D2549" t="inlineStr">
        <is>
          <t>JÖNKÖPINGS LÄN</t>
        </is>
      </c>
      <c r="E2549" t="inlineStr">
        <is>
          <t>VAGGERYD</t>
        </is>
      </c>
      <c r="F2549" t="inlineStr">
        <is>
          <t>Sveaskog</t>
        </is>
      </c>
      <c r="G2549" t="n">
        <v>2.9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46906-2023</t>
        </is>
      </c>
      <c r="B2550" s="1" t="n">
        <v>45201.37368055555</v>
      </c>
      <c r="C2550" s="1" t="n">
        <v>45962</v>
      </c>
      <c r="D2550" t="inlineStr">
        <is>
          <t>JÖNKÖPINGS LÄN</t>
        </is>
      </c>
      <c r="E2550" t="inlineStr">
        <is>
          <t>SÄVSJÖ</t>
        </is>
      </c>
      <c r="G2550" t="n">
        <v>0.5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17227-2024</t>
        </is>
      </c>
      <c r="B2551" s="1" t="n">
        <v>45414.36013888889</v>
      </c>
      <c r="C2551" s="1" t="n">
        <v>45962</v>
      </c>
      <c r="D2551" t="inlineStr">
        <is>
          <t>JÖNKÖPINGS LÄN</t>
        </is>
      </c>
      <c r="E2551" t="inlineStr">
        <is>
          <t>VETLANDA</t>
        </is>
      </c>
      <c r="G2551" t="n">
        <v>1.3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12655-2024</t>
        </is>
      </c>
      <c r="B2552" s="1" t="n">
        <v>45384.36355324074</v>
      </c>
      <c r="C2552" s="1" t="n">
        <v>45962</v>
      </c>
      <c r="D2552" t="inlineStr">
        <is>
          <t>JÖNKÖPINGS LÄN</t>
        </is>
      </c>
      <c r="E2552" t="inlineStr">
        <is>
          <t>ANEBY</t>
        </is>
      </c>
      <c r="G2552" t="n">
        <v>2.9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12657-2024</t>
        </is>
      </c>
      <c r="B2553" s="1" t="n">
        <v>45380</v>
      </c>
      <c r="C2553" s="1" t="n">
        <v>45962</v>
      </c>
      <c r="D2553" t="inlineStr">
        <is>
          <t>JÖNKÖPINGS LÄN</t>
        </is>
      </c>
      <c r="E2553" t="inlineStr">
        <is>
          <t>NÄSSJÖ</t>
        </is>
      </c>
      <c r="G2553" t="n">
        <v>1.4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12666-2024</t>
        </is>
      </c>
      <c r="B2554" s="1" t="n">
        <v>45384</v>
      </c>
      <c r="C2554" s="1" t="n">
        <v>45962</v>
      </c>
      <c r="D2554" t="inlineStr">
        <is>
          <t>JÖNKÖPINGS LÄN</t>
        </is>
      </c>
      <c r="E2554" t="inlineStr">
        <is>
          <t>VETLANDA</t>
        </is>
      </c>
      <c r="G2554" t="n">
        <v>1.1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63635-2023</t>
        </is>
      </c>
      <c r="B2555" s="1" t="n">
        <v>45275</v>
      </c>
      <c r="C2555" s="1" t="n">
        <v>45962</v>
      </c>
      <c r="D2555" t="inlineStr">
        <is>
          <t>JÖNKÖPINGS LÄN</t>
        </is>
      </c>
      <c r="E2555" t="inlineStr">
        <is>
          <t>NÄSSJÖ</t>
        </is>
      </c>
      <c r="G2555" t="n">
        <v>3.4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58712-2023</t>
        </is>
      </c>
      <c r="B2556" s="1" t="n">
        <v>45251</v>
      </c>
      <c r="C2556" s="1" t="n">
        <v>45962</v>
      </c>
      <c r="D2556" t="inlineStr">
        <is>
          <t>JÖNKÖPINGS LÄN</t>
        </is>
      </c>
      <c r="E2556" t="inlineStr">
        <is>
          <t>MULLSJÖ</t>
        </is>
      </c>
      <c r="G2556" t="n">
        <v>1.3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52025-2023</t>
        </is>
      </c>
      <c r="B2557" s="1" t="n">
        <v>45223.61922453704</v>
      </c>
      <c r="C2557" s="1" t="n">
        <v>45962</v>
      </c>
      <c r="D2557" t="inlineStr">
        <is>
          <t>JÖNKÖPINGS LÄN</t>
        </is>
      </c>
      <c r="E2557" t="inlineStr">
        <is>
          <t>GISLAVED</t>
        </is>
      </c>
      <c r="G2557" t="n">
        <v>2.7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48751-2022</t>
        </is>
      </c>
      <c r="B2558" s="1" t="n">
        <v>44859.57034722222</v>
      </c>
      <c r="C2558" s="1" t="n">
        <v>45962</v>
      </c>
      <c r="D2558" t="inlineStr">
        <is>
          <t>JÖNKÖPINGS LÄN</t>
        </is>
      </c>
      <c r="E2558" t="inlineStr">
        <is>
          <t>VETLANDA</t>
        </is>
      </c>
      <c r="G2558" t="n">
        <v>1.1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65302-2020</t>
        </is>
      </c>
      <c r="B2559" s="1" t="n">
        <v>44169</v>
      </c>
      <c r="C2559" s="1" t="n">
        <v>45962</v>
      </c>
      <c r="D2559" t="inlineStr">
        <is>
          <t>JÖNKÖPINGS LÄN</t>
        </is>
      </c>
      <c r="E2559" t="inlineStr">
        <is>
          <t>VÄRNAMO</t>
        </is>
      </c>
      <c r="G2559" t="n">
        <v>2.7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42070-2023</t>
        </is>
      </c>
      <c r="B2560" s="1" t="n">
        <v>45174</v>
      </c>
      <c r="C2560" s="1" t="n">
        <v>45962</v>
      </c>
      <c r="D2560" t="inlineStr">
        <is>
          <t>JÖNKÖPINGS LÄN</t>
        </is>
      </c>
      <c r="E2560" t="inlineStr">
        <is>
          <t>GISLAVED</t>
        </is>
      </c>
      <c r="G2560" t="n">
        <v>0.6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51906-2024</t>
        </is>
      </c>
      <c r="B2561" s="1" t="n">
        <v>45607</v>
      </c>
      <c r="C2561" s="1" t="n">
        <v>45962</v>
      </c>
      <c r="D2561" t="inlineStr">
        <is>
          <t>JÖNKÖPINGS LÄN</t>
        </is>
      </c>
      <c r="E2561" t="inlineStr">
        <is>
          <t>VETLANDA</t>
        </is>
      </c>
      <c r="G2561" t="n">
        <v>0.8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20154-2024</t>
        </is>
      </c>
      <c r="B2562" s="1" t="n">
        <v>45434.5815625</v>
      </c>
      <c r="C2562" s="1" t="n">
        <v>45962</v>
      </c>
      <c r="D2562" t="inlineStr">
        <is>
          <t>JÖNKÖPINGS LÄN</t>
        </is>
      </c>
      <c r="E2562" t="inlineStr">
        <is>
          <t>VETLANDA</t>
        </is>
      </c>
      <c r="G2562" t="n">
        <v>0.8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28685-2024</t>
        </is>
      </c>
      <c r="B2563" s="1" t="n">
        <v>45478.48681712963</v>
      </c>
      <c r="C2563" s="1" t="n">
        <v>45962</v>
      </c>
      <c r="D2563" t="inlineStr">
        <is>
          <t>JÖNKÖPINGS LÄN</t>
        </is>
      </c>
      <c r="E2563" t="inlineStr">
        <is>
          <t>HABO</t>
        </is>
      </c>
      <c r="G2563" t="n">
        <v>0.7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4550-2023</t>
        </is>
      </c>
      <c r="B2564" s="1" t="n">
        <v>44956</v>
      </c>
      <c r="C2564" s="1" t="n">
        <v>45962</v>
      </c>
      <c r="D2564" t="inlineStr">
        <is>
          <t>JÖNKÖPINGS LÄN</t>
        </is>
      </c>
      <c r="E2564" t="inlineStr">
        <is>
          <t>NÄSSJÖ</t>
        </is>
      </c>
      <c r="G2564" t="n">
        <v>0.7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43717-2024</t>
        </is>
      </c>
      <c r="B2565" s="1" t="n">
        <v>45569.61069444445</v>
      </c>
      <c r="C2565" s="1" t="n">
        <v>45962</v>
      </c>
      <c r="D2565" t="inlineStr">
        <is>
          <t>JÖNKÖPINGS LÄN</t>
        </is>
      </c>
      <c r="E2565" t="inlineStr">
        <is>
          <t>VÄRNAMO</t>
        </is>
      </c>
      <c r="F2565" t="inlineStr">
        <is>
          <t>Övriga Aktiebolag</t>
        </is>
      </c>
      <c r="G2565" t="n">
        <v>4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4643-2023</t>
        </is>
      </c>
      <c r="B2566" s="1" t="n">
        <v>44957.36059027778</v>
      </c>
      <c r="C2566" s="1" t="n">
        <v>45962</v>
      </c>
      <c r="D2566" t="inlineStr">
        <is>
          <t>JÖNKÖPINGS LÄN</t>
        </is>
      </c>
      <c r="E2566" t="inlineStr">
        <is>
          <t>JÖNKÖPING</t>
        </is>
      </c>
      <c r="G2566" t="n">
        <v>2.6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14101-2021</t>
        </is>
      </c>
      <c r="B2567" s="1" t="n">
        <v>44278</v>
      </c>
      <c r="C2567" s="1" t="n">
        <v>45962</v>
      </c>
      <c r="D2567" t="inlineStr">
        <is>
          <t>JÖNKÖPINGS LÄN</t>
        </is>
      </c>
      <c r="E2567" t="inlineStr">
        <is>
          <t>VÄRNAMO</t>
        </is>
      </c>
      <c r="G2567" t="n">
        <v>0.2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67942-2021</t>
        </is>
      </c>
      <c r="B2568" s="1" t="n">
        <v>44525.63085648148</v>
      </c>
      <c r="C2568" s="1" t="n">
        <v>45962</v>
      </c>
      <c r="D2568" t="inlineStr">
        <is>
          <t>JÖNKÖPINGS LÄN</t>
        </is>
      </c>
      <c r="E2568" t="inlineStr">
        <is>
          <t>VAGGERYD</t>
        </is>
      </c>
      <c r="F2568" t="inlineStr">
        <is>
          <t>Sveaskog</t>
        </is>
      </c>
      <c r="G2568" t="n">
        <v>1.7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52420-2023</t>
        </is>
      </c>
      <c r="B2569" s="1" t="n">
        <v>45225.30370370371</v>
      </c>
      <c r="C2569" s="1" t="n">
        <v>45962</v>
      </c>
      <c r="D2569" t="inlineStr">
        <is>
          <t>JÖNKÖPINGS LÄN</t>
        </is>
      </c>
      <c r="E2569" t="inlineStr">
        <is>
          <t>VAGGERYD</t>
        </is>
      </c>
      <c r="G2569" t="n">
        <v>0.7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55605-2023</t>
        </is>
      </c>
      <c r="B2570" s="1" t="n">
        <v>45238.70225694445</v>
      </c>
      <c r="C2570" s="1" t="n">
        <v>45962</v>
      </c>
      <c r="D2570" t="inlineStr">
        <is>
          <t>JÖNKÖPINGS LÄN</t>
        </is>
      </c>
      <c r="E2570" t="inlineStr">
        <is>
          <t>NÄSSJÖ</t>
        </is>
      </c>
      <c r="G2570" t="n">
        <v>2.7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39621-2022</t>
        </is>
      </c>
      <c r="B2571" s="1" t="n">
        <v>44818.64456018519</v>
      </c>
      <c r="C2571" s="1" t="n">
        <v>45962</v>
      </c>
      <c r="D2571" t="inlineStr">
        <is>
          <t>JÖNKÖPINGS LÄN</t>
        </is>
      </c>
      <c r="E2571" t="inlineStr">
        <is>
          <t>VETLANDA</t>
        </is>
      </c>
      <c r="G2571" t="n">
        <v>1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14355-2023</t>
        </is>
      </c>
      <c r="B2572" s="1" t="n">
        <v>45012.40119212963</v>
      </c>
      <c r="C2572" s="1" t="n">
        <v>45962</v>
      </c>
      <c r="D2572" t="inlineStr">
        <is>
          <t>JÖNKÖPINGS LÄN</t>
        </is>
      </c>
      <c r="E2572" t="inlineStr">
        <is>
          <t>GNOSJÖ</t>
        </is>
      </c>
      <c r="G2572" t="n">
        <v>1.6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11075-2021</t>
        </is>
      </c>
      <c r="B2573" s="1" t="n">
        <v>44260</v>
      </c>
      <c r="C2573" s="1" t="n">
        <v>45962</v>
      </c>
      <c r="D2573" t="inlineStr">
        <is>
          <t>JÖNKÖPINGS LÄN</t>
        </is>
      </c>
      <c r="E2573" t="inlineStr">
        <is>
          <t>MULLSJÖ</t>
        </is>
      </c>
      <c r="G2573" t="n">
        <v>3.1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36630-2023</t>
        </is>
      </c>
      <c r="B2574" s="1" t="n">
        <v>45153.53380787037</v>
      </c>
      <c r="C2574" s="1" t="n">
        <v>45962</v>
      </c>
      <c r="D2574" t="inlineStr">
        <is>
          <t>JÖNKÖPINGS LÄN</t>
        </is>
      </c>
      <c r="E2574" t="inlineStr">
        <is>
          <t>VETLANDA</t>
        </is>
      </c>
      <c r="G2574" t="n">
        <v>3.9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9373-2025</t>
        </is>
      </c>
      <c r="B2575" s="1" t="n">
        <v>45715.32950231482</v>
      </c>
      <c r="C2575" s="1" t="n">
        <v>45962</v>
      </c>
      <c r="D2575" t="inlineStr">
        <is>
          <t>JÖNKÖPINGS LÄN</t>
        </is>
      </c>
      <c r="E2575" t="inlineStr">
        <is>
          <t>SÄVSJÖ</t>
        </is>
      </c>
      <c r="G2575" t="n">
        <v>2.4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2221-2025</t>
        </is>
      </c>
      <c r="B2576" s="1" t="n">
        <v>45673.45511574074</v>
      </c>
      <c r="C2576" s="1" t="n">
        <v>45962</v>
      </c>
      <c r="D2576" t="inlineStr">
        <is>
          <t>JÖNKÖPINGS LÄN</t>
        </is>
      </c>
      <c r="E2576" t="inlineStr">
        <is>
          <t>VETLANDA</t>
        </is>
      </c>
      <c r="G2576" t="n">
        <v>1.1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58533-2022</t>
        </is>
      </c>
      <c r="B2577" s="1" t="n">
        <v>44902</v>
      </c>
      <c r="C2577" s="1" t="n">
        <v>45962</v>
      </c>
      <c r="D2577" t="inlineStr">
        <is>
          <t>JÖNKÖPINGS LÄN</t>
        </is>
      </c>
      <c r="E2577" t="inlineStr">
        <is>
          <t>NÄSSJÖ</t>
        </is>
      </c>
      <c r="G2577" t="n">
        <v>2.8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9385-2025</t>
        </is>
      </c>
      <c r="B2578" s="1" t="n">
        <v>45715.34443287037</v>
      </c>
      <c r="C2578" s="1" t="n">
        <v>45962</v>
      </c>
      <c r="D2578" t="inlineStr">
        <is>
          <t>JÖNKÖPINGS LÄN</t>
        </is>
      </c>
      <c r="E2578" t="inlineStr">
        <is>
          <t>EKSJÖ</t>
        </is>
      </c>
      <c r="F2578" t="inlineStr">
        <is>
          <t>Sveaskog</t>
        </is>
      </c>
      <c r="G2578" t="n">
        <v>1.9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58553-2022</t>
        </is>
      </c>
      <c r="B2579" s="1" t="n">
        <v>44902</v>
      </c>
      <c r="C2579" s="1" t="n">
        <v>45962</v>
      </c>
      <c r="D2579" t="inlineStr">
        <is>
          <t>JÖNKÖPINGS LÄN</t>
        </is>
      </c>
      <c r="E2579" t="inlineStr">
        <is>
          <t>NÄSSJÖ</t>
        </is>
      </c>
      <c r="G2579" t="n">
        <v>0.8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20827-2024</t>
        </is>
      </c>
      <c r="B2580" s="1" t="n">
        <v>45439.3877662037</v>
      </c>
      <c r="C2580" s="1" t="n">
        <v>45962</v>
      </c>
      <c r="D2580" t="inlineStr">
        <is>
          <t>JÖNKÖPINGS LÄN</t>
        </is>
      </c>
      <c r="E2580" t="inlineStr">
        <is>
          <t>VETLANDA</t>
        </is>
      </c>
      <c r="G2580" t="n">
        <v>0.5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9398-2025</t>
        </is>
      </c>
      <c r="B2581" s="1" t="n">
        <v>45715.37373842593</v>
      </c>
      <c r="C2581" s="1" t="n">
        <v>45962</v>
      </c>
      <c r="D2581" t="inlineStr">
        <is>
          <t>JÖNKÖPINGS LÄN</t>
        </is>
      </c>
      <c r="E2581" t="inlineStr">
        <is>
          <t>GISLAVED</t>
        </is>
      </c>
      <c r="G2581" t="n">
        <v>0.9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19328-2025</t>
        </is>
      </c>
      <c r="B2582" s="1" t="n">
        <v>45769.584375</v>
      </c>
      <c r="C2582" s="1" t="n">
        <v>45962</v>
      </c>
      <c r="D2582" t="inlineStr">
        <is>
          <t>JÖNKÖPINGS LÄN</t>
        </is>
      </c>
      <c r="E2582" t="inlineStr">
        <is>
          <t>TRANÅS</t>
        </is>
      </c>
      <c r="G2582" t="n">
        <v>1.7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9429-2025</t>
        </is>
      </c>
      <c r="B2583" s="1" t="n">
        <v>45715.40460648148</v>
      </c>
      <c r="C2583" s="1" t="n">
        <v>45962</v>
      </c>
      <c r="D2583" t="inlineStr">
        <is>
          <t>JÖNKÖPINGS LÄN</t>
        </is>
      </c>
      <c r="E2583" t="inlineStr">
        <is>
          <t>EKSJÖ</t>
        </is>
      </c>
      <c r="F2583" t="inlineStr">
        <is>
          <t>Sveaskog</t>
        </is>
      </c>
      <c r="G2583" t="n">
        <v>5.1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35974-2024</t>
        </is>
      </c>
      <c r="B2584" s="1" t="n">
        <v>45533.49480324074</v>
      </c>
      <c r="C2584" s="1" t="n">
        <v>45962</v>
      </c>
      <c r="D2584" t="inlineStr">
        <is>
          <t>JÖNKÖPINGS LÄN</t>
        </is>
      </c>
      <c r="E2584" t="inlineStr">
        <is>
          <t>EKSJÖ</t>
        </is>
      </c>
      <c r="G2584" t="n">
        <v>1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39525-2023</t>
        </is>
      </c>
      <c r="B2585" s="1" t="n">
        <v>45167.33456018518</v>
      </c>
      <c r="C2585" s="1" t="n">
        <v>45962</v>
      </c>
      <c r="D2585" t="inlineStr">
        <is>
          <t>JÖNKÖPINGS LÄN</t>
        </is>
      </c>
      <c r="E2585" t="inlineStr">
        <is>
          <t>GISLAVED</t>
        </is>
      </c>
      <c r="G2585" t="n">
        <v>0.7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32252-2023</t>
        </is>
      </c>
      <c r="B2586" s="1" t="n">
        <v>45120</v>
      </c>
      <c r="C2586" s="1" t="n">
        <v>45962</v>
      </c>
      <c r="D2586" t="inlineStr">
        <is>
          <t>JÖNKÖPINGS LÄN</t>
        </is>
      </c>
      <c r="E2586" t="inlineStr">
        <is>
          <t>HABO</t>
        </is>
      </c>
      <c r="G2586" t="n">
        <v>1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21208-2021</t>
        </is>
      </c>
      <c r="B2587" s="1" t="n">
        <v>44320.4940625</v>
      </c>
      <c r="C2587" s="1" t="n">
        <v>45962</v>
      </c>
      <c r="D2587" t="inlineStr">
        <is>
          <t>JÖNKÖPINGS LÄN</t>
        </is>
      </c>
      <c r="E2587" t="inlineStr">
        <is>
          <t>VÄRNAMO</t>
        </is>
      </c>
      <c r="G2587" t="n">
        <v>2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49682-2021</t>
        </is>
      </c>
      <c r="B2588" s="1" t="n">
        <v>44455.47987268519</v>
      </c>
      <c r="C2588" s="1" t="n">
        <v>45962</v>
      </c>
      <c r="D2588" t="inlineStr">
        <is>
          <t>JÖNKÖPINGS LÄN</t>
        </is>
      </c>
      <c r="E2588" t="inlineStr">
        <is>
          <t>GISLAVED</t>
        </is>
      </c>
      <c r="G2588" t="n">
        <v>2.4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59187-2022</t>
        </is>
      </c>
      <c r="B2589" s="1" t="n">
        <v>44904.4912962963</v>
      </c>
      <c r="C2589" s="1" t="n">
        <v>45962</v>
      </c>
      <c r="D2589" t="inlineStr">
        <is>
          <t>JÖNKÖPINGS LÄN</t>
        </is>
      </c>
      <c r="E2589" t="inlineStr">
        <is>
          <t>VAGGERYD</t>
        </is>
      </c>
      <c r="G2589" t="n">
        <v>0.7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5400-2025</t>
        </is>
      </c>
      <c r="B2590" s="1" t="n">
        <v>45692.64164351852</v>
      </c>
      <c r="C2590" s="1" t="n">
        <v>45962</v>
      </c>
      <c r="D2590" t="inlineStr">
        <is>
          <t>JÖNKÖPINGS LÄN</t>
        </is>
      </c>
      <c r="E2590" t="inlineStr">
        <is>
          <t>ANEBY</t>
        </is>
      </c>
      <c r="G2590" t="n">
        <v>3.1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49720-2021</t>
        </is>
      </c>
      <c r="B2591" s="1" t="n">
        <v>44455.51825231482</v>
      </c>
      <c r="C2591" s="1" t="n">
        <v>45962</v>
      </c>
      <c r="D2591" t="inlineStr">
        <is>
          <t>JÖNKÖPINGS LÄN</t>
        </is>
      </c>
      <c r="E2591" t="inlineStr">
        <is>
          <t>GNOSJÖ</t>
        </is>
      </c>
      <c r="G2591" t="n">
        <v>2.1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65554-2021</t>
        </is>
      </c>
      <c r="B2592" s="1" t="n">
        <v>44516</v>
      </c>
      <c r="C2592" s="1" t="n">
        <v>45962</v>
      </c>
      <c r="D2592" t="inlineStr">
        <is>
          <t>JÖNKÖPINGS LÄN</t>
        </is>
      </c>
      <c r="E2592" t="inlineStr">
        <is>
          <t>EKSJÖ</t>
        </is>
      </c>
      <c r="G2592" t="n">
        <v>1.1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73527-2021</t>
        </is>
      </c>
      <c r="B2593" s="1" t="n">
        <v>44550</v>
      </c>
      <c r="C2593" s="1" t="n">
        <v>45962</v>
      </c>
      <c r="D2593" t="inlineStr">
        <is>
          <t>JÖNKÖPINGS LÄN</t>
        </is>
      </c>
      <c r="E2593" t="inlineStr">
        <is>
          <t>VAGGERYD</t>
        </is>
      </c>
      <c r="G2593" t="n">
        <v>1.6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33237-2023</t>
        </is>
      </c>
      <c r="B2594" s="1" t="n">
        <v>45127.49854166667</v>
      </c>
      <c r="C2594" s="1" t="n">
        <v>45962</v>
      </c>
      <c r="D2594" t="inlineStr">
        <is>
          <t>JÖNKÖPINGS LÄN</t>
        </is>
      </c>
      <c r="E2594" t="inlineStr">
        <is>
          <t>SÄVSJÖ</t>
        </is>
      </c>
      <c r="G2594" t="n">
        <v>3.9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42417-2022</t>
        </is>
      </c>
      <c r="B2595" s="1" t="n">
        <v>44831</v>
      </c>
      <c r="C2595" s="1" t="n">
        <v>45962</v>
      </c>
      <c r="D2595" t="inlineStr">
        <is>
          <t>JÖNKÖPINGS LÄN</t>
        </is>
      </c>
      <c r="E2595" t="inlineStr">
        <is>
          <t>VETLANDA</t>
        </is>
      </c>
      <c r="G2595" t="n">
        <v>6.7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33514-2021</t>
        </is>
      </c>
      <c r="B2596" s="1" t="n">
        <v>44377</v>
      </c>
      <c r="C2596" s="1" t="n">
        <v>45962</v>
      </c>
      <c r="D2596" t="inlineStr">
        <is>
          <t>JÖNKÖPINGS LÄN</t>
        </is>
      </c>
      <c r="E2596" t="inlineStr">
        <is>
          <t>SÄVSJÖ</t>
        </is>
      </c>
      <c r="G2596" t="n">
        <v>3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18044-2025</t>
        </is>
      </c>
      <c r="B2597" s="1" t="n">
        <v>45761.46267361111</v>
      </c>
      <c r="C2597" s="1" t="n">
        <v>45962</v>
      </c>
      <c r="D2597" t="inlineStr">
        <is>
          <t>JÖNKÖPINGS LÄN</t>
        </is>
      </c>
      <c r="E2597" t="inlineStr">
        <is>
          <t>VETLANDA</t>
        </is>
      </c>
      <c r="G2597" t="n">
        <v>1.4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13556-2021</t>
        </is>
      </c>
      <c r="B2598" s="1" t="n">
        <v>44273</v>
      </c>
      <c r="C2598" s="1" t="n">
        <v>45962</v>
      </c>
      <c r="D2598" t="inlineStr">
        <is>
          <t>JÖNKÖPINGS LÄN</t>
        </is>
      </c>
      <c r="E2598" t="inlineStr">
        <is>
          <t>SÄVSJÖ</t>
        </is>
      </c>
      <c r="G2598" t="n">
        <v>1.5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54988-2024</t>
        </is>
      </c>
      <c r="B2599" s="1" t="n">
        <v>45620.84238425926</v>
      </c>
      <c r="C2599" s="1" t="n">
        <v>45962</v>
      </c>
      <c r="D2599" t="inlineStr">
        <is>
          <t>JÖNKÖPINGS LÄN</t>
        </is>
      </c>
      <c r="E2599" t="inlineStr">
        <is>
          <t>HABO</t>
        </is>
      </c>
      <c r="G2599" t="n">
        <v>1.1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30047-2024</t>
        </is>
      </c>
      <c r="B2600" s="1" t="n">
        <v>45488</v>
      </c>
      <c r="C2600" s="1" t="n">
        <v>45962</v>
      </c>
      <c r="D2600" t="inlineStr">
        <is>
          <t>JÖNKÖPINGS LÄN</t>
        </is>
      </c>
      <c r="E2600" t="inlineStr">
        <is>
          <t>GISLAVED</t>
        </is>
      </c>
      <c r="G2600" t="n">
        <v>2.1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30138-2024</t>
        </is>
      </c>
      <c r="B2601" s="1" t="n">
        <v>45489.57371527778</v>
      </c>
      <c r="C2601" s="1" t="n">
        <v>45962</v>
      </c>
      <c r="D2601" t="inlineStr">
        <is>
          <t>JÖNKÖPINGS LÄN</t>
        </is>
      </c>
      <c r="E2601" t="inlineStr">
        <is>
          <t>TRANÅS</t>
        </is>
      </c>
      <c r="F2601" t="inlineStr">
        <is>
          <t>Allmännings- och besparingsskogar</t>
        </is>
      </c>
      <c r="G2601" t="n">
        <v>2.3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9240-2025</t>
        </is>
      </c>
      <c r="B2602" s="1" t="n">
        <v>45714.56214120371</v>
      </c>
      <c r="C2602" s="1" t="n">
        <v>45962</v>
      </c>
      <c r="D2602" t="inlineStr">
        <is>
          <t>JÖNKÖPINGS LÄN</t>
        </is>
      </c>
      <c r="E2602" t="inlineStr">
        <is>
          <t>VÄRNAMO</t>
        </is>
      </c>
      <c r="G2602" t="n">
        <v>1.2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1244-2021</t>
        </is>
      </c>
      <c r="B2603" s="1" t="n">
        <v>44208</v>
      </c>
      <c r="C2603" s="1" t="n">
        <v>45962</v>
      </c>
      <c r="D2603" t="inlineStr">
        <is>
          <t>JÖNKÖPINGS LÄN</t>
        </is>
      </c>
      <c r="E2603" t="inlineStr">
        <is>
          <t>HABO</t>
        </is>
      </c>
      <c r="F2603" t="inlineStr">
        <is>
          <t>Sveaskog</t>
        </is>
      </c>
      <c r="G2603" t="n">
        <v>0.7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45370-2024</t>
        </is>
      </c>
      <c r="B2604" s="1" t="n">
        <v>45576.50716435185</v>
      </c>
      <c r="C2604" s="1" t="n">
        <v>45962</v>
      </c>
      <c r="D2604" t="inlineStr">
        <is>
          <t>JÖNKÖPINGS LÄN</t>
        </is>
      </c>
      <c r="E2604" t="inlineStr">
        <is>
          <t>EKSJÖ</t>
        </is>
      </c>
      <c r="F2604" t="inlineStr">
        <is>
          <t>Övriga Aktiebolag</t>
        </is>
      </c>
      <c r="G2604" t="n">
        <v>3.3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18070-2025</t>
        </is>
      </c>
      <c r="B2605" s="1" t="n">
        <v>45761.49188657408</v>
      </c>
      <c r="C2605" s="1" t="n">
        <v>45962</v>
      </c>
      <c r="D2605" t="inlineStr">
        <is>
          <t>JÖNKÖPINGS LÄN</t>
        </is>
      </c>
      <c r="E2605" t="inlineStr">
        <is>
          <t>SÄVSJÖ</t>
        </is>
      </c>
      <c r="G2605" t="n">
        <v>1.3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18071-2025</t>
        </is>
      </c>
      <c r="B2606" s="1" t="n">
        <v>45761.49452546296</v>
      </c>
      <c r="C2606" s="1" t="n">
        <v>45962</v>
      </c>
      <c r="D2606" t="inlineStr">
        <is>
          <t>JÖNKÖPINGS LÄN</t>
        </is>
      </c>
      <c r="E2606" t="inlineStr">
        <is>
          <t>VETLANDA</t>
        </is>
      </c>
      <c r="G2606" t="n">
        <v>1.5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49339-2022</t>
        </is>
      </c>
      <c r="B2607" s="1" t="n">
        <v>44858</v>
      </c>
      <c r="C2607" s="1" t="n">
        <v>45962</v>
      </c>
      <c r="D2607" t="inlineStr">
        <is>
          <t>JÖNKÖPINGS LÄN</t>
        </is>
      </c>
      <c r="E2607" t="inlineStr">
        <is>
          <t>NÄSSJÖ</t>
        </is>
      </c>
      <c r="G2607" t="n">
        <v>7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61913-2022</t>
        </is>
      </c>
      <c r="B2608" s="1" t="n">
        <v>44917</v>
      </c>
      <c r="C2608" s="1" t="n">
        <v>45962</v>
      </c>
      <c r="D2608" t="inlineStr">
        <is>
          <t>JÖNKÖPINGS LÄN</t>
        </is>
      </c>
      <c r="E2608" t="inlineStr">
        <is>
          <t>EKSJÖ</t>
        </is>
      </c>
      <c r="G2608" t="n">
        <v>0.7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17946-2025</t>
        </is>
      </c>
      <c r="B2609" s="1" t="n">
        <v>45760</v>
      </c>
      <c r="C2609" s="1" t="n">
        <v>45962</v>
      </c>
      <c r="D2609" t="inlineStr">
        <is>
          <t>JÖNKÖPINGS LÄN</t>
        </is>
      </c>
      <c r="E2609" t="inlineStr">
        <is>
          <t>NÄSSJÖ</t>
        </is>
      </c>
      <c r="G2609" t="n">
        <v>1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61076-2024</t>
        </is>
      </c>
      <c r="B2610" s="1" t="n">
        <v>45645.50914351852</v>
      </c>
      <c r="C2610" s="1" t="n">
        <v>45962</v>
      </c>
      <c r="D2610" t="inlineStr">
        <is>
          <t>JÖNKÖPINGS LÄN</t>
        </is>
      </c>
      <c r="E2610" t="inlineStr">
        <is>
          <t>VETLANDA</t>
        </is>
      </c>
      <c r="G2610" t="n">
        <v>3.2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49427-2023</t>
        </is>
      </c>
      <c r="B2611" s="1" t="n">
        <v>45205</v>
      </c>
      <c r="C2611" s="1" t="n">
        <v>45962</v>
      </c>
      <c r="D2611" t="inlineStr">
        <is>
          <t>JÖNKÖPINGS LÄN</t>
        </is>
      </c>
      <c r="E2611" t="inlineStr">
        <is>
          <t>ANEBY</t>
        </is>
      </c>
      <c r="F2611" t="inlineStr">
        <is>
          <t>Övriga Aktiebolag</t>
        </is>
      </c>
      <c r="G2611" t="n">
        <v>0.6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15926-2025</t>
        </is>
      </c>
      <c r="B2612" s="1" t="n">
        <v>45749.46471064815</v>
      </c>
      <c r="C2612" s="1" t="n">
        <v>45962</v>
      </c>
      <c r="D2612" t="inlineStr">
        <is>
          <t>JÖNKÖPINGS LÄN</t>
        </is>
      </c>
      <c r="E2612" t="inlineStr">
        <is>
          <t>VAGGERYD</t>
        </is>
      </c>
      <c r="F2612" t="inlineStr">
        <is>
          <t>Sveaskog</t>
        </is>
      </c>
      <c r="G2612" t="n">
        <v>2.8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15943-2025</t>
        </is>
      </c>
      <c r="B2613" s="1" t="n">
        <v>45749.48458333333</v>
      </c>
      <c r="C2613" s="1" t="n">
        <v>45962</v>
      </c>
      <c r="D2613" t="inlineStr">
        <is>
          <t>JÖNKÖPINGS LÄN</t>
        </is>
      </c>
      <c r="E2613" t="inlineStr">
        <is>
          <t>VAGGERYD</t>
        </is>
      </c>
      <c r="F2613" t="inlineStr">
        <is>
          <t>Sveaskog</t>
        </is>
      </c>
      <c r="G2613" t="n">
        <v>0.5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49493-2023</t>
        </is>
      </c>
      <c r="B2614" s="1" t="n">
        <v>45211.5600462963</v>
      </c>
      <c r="C2614" s="1" t="n">
        <v>45962</v>
      </c>
      <c r="D2614" t="inlineStr">
        <is>
          <t>JÖNKÖPINGS LÄN</t>
        </is>
      </c>
      <c r="E2614" t="inlineStr">
        <is>
          <t>GISLAVED</t>
        </is>
      </c>
      <c r="G2614" t="n">
        <v>0.5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61127-2024</t>
        </is>
      </c>
      <c r="B2615" s="1" t="n">
        <v>45645.57626157408</v>
      </c>
      <c r="C2615" s="1" t="n">
        <v>45962</v>
      </c>
      <c r="D2615" t="inlineStr">
        <is>
          <t>JÖNKÖPINGS LÄN</t>
        </is>
      </c>
      <c r="E2615" t="inlineStr">
        <is>
          <t>JÖNKÖPING</t>
        </is>
      </c>
      <c r="G2615" t="n">
        <v>3.9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10516-2024</t>
        </is>
      </c>
      <c r="B2616" s="1" t="n">
        <v>45366</v>
      </c>
      <c r="C2616" s="1" t="n">
        <v>45962</v>
      </c>
      <c r="D2616" t="inlineStr">
        <is>
          <t>JÖNKÖPINGS LÄN</t>
        </is>
      </c>
      <c r="E2616" t="inlineStr">
        <is>
          <t>SÄVSJÖ</t>
        </is>
      </c>
      <c r="G2616" t="n">
        <v>1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18833-2025</t>
        </is>
      </c>
      <c r="B2617" s="1" t="n">
        <v>45764.39450231481</v>
      </c>
      <c r="C2617" s="1" t="n">
        <v>45962</v>
      </c>
      <c r="D2617" t="inlineStr">
        <is>
          <t>JÖNKÖPINGS LÄN</t>
        </is>
      </c>
      <c r="E2617" t="inlineStr">
        <is>
          <t>GISLAVED</t>
        </is>
      </c>
      <c r="G2617" t="n">
        <v>1.8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18972-2025</t>
        </is>
      </c>
      <c r="B2618" s="1" t="n">
        <v>45764.53915509259</v>
      </c>
      <c r="C2618" s="1" t="n">
        <v>45962</v>
      </c>
      <c r="D2618" t="inlineStr">
        <is>
          <t>JÖNKÖPINGS LÄN</t>
        </is>
      </c>
      <c r="E2618" t="inlineStr">
        <is>
          <t>JÖNKÖPING</t>
        </is>
      </c>
      <c r="G2618" t="n">
        <v>1.4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11518-2025</t>
        </is>
      </c>
      <c r="B2619" s="1" t="n">
        <v>45726.90060185185</v>
      </c>
      <c r="C2619" s="1" t="n">
        <v>45962</v>
      </c>
      <c r="D2619" t="inlineStr">
        <is>
          <t>JÖNKÖPINGS LÄN</t>
        </is>
      </c>
      <c r="E2619" t="inlineStr">
        <is>
          <t>GISLAVED</t>
        </is>
      </c>
      <c r="G2619" t="n">
        <v>0.9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24502-2024</t>
        </is>
      </c>
      <c r="B2620" s="1" t="n">
        <v>45460.23820601852</v>
      </c>
      <c r="C2620" s="1" t="n">
        <v>45962</v>
      </c>
      <c r="D2620" t="inlineStr">
        <is>
          <t>JÖNKÖPINGS LÄN</t>
        </is>
      </c>
      <c r="E2620" t="inlineStr">
        <is>
          <t>NÄSSJÖ</t>
        </is>
      </c>
      <c r="G2620" t="n">
        <v>1.3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24554-2024</t>
        </is>
      </c>
      <c r="B2621" s="1" t="n">
        <v>45460.42804398148</v>
      </c>
      <c r="C2621" s="1" t="n">
        <v>45962</v>
      </c>
      <c r="D2621" t="inlineStr">
        <is>
          <t>JÖNKÖPINGS LÄN</t>
        </is>
      </c>
      <c r="E2621" t="inlineStr">
        <is>
          <t>JÖNKÖPING</t>
        </is>
      </c>
      <c r="G2621" t="n">
        <v>0.8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19353-2021</t>
        </is>
      </c>
      <c r="B2622" s="1" t="n">
        <v>44309.6172337963</v>
      </c>
      <c r="C2622" s="1" t="n">
        <v>45962</v>
      </c>
      <c r="D2622" t="inlineStr">
        <is>
          <t>JÖNKÖPINGS LÄN</t>
        </is>
      </c>
      <c r="E2622" t="inlineStr">
        <is>
          <t>EKSJÖ</t>
        </is>
      </c>
      <c r="F2622" t="inlineStr">
        <is>
          <t>Sveaskog</t>
        </is>
      </c>
      <c r="G2622" t="n">
        <v>1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69152-2020</t>
        </is>
      </c>
      <c r="B2623" s="1" t="n">
        <v>44188</v>
      </c>
      <c r="C2623" s="1" t="n">
        <v>45962</v>
      </c>
      <c r="D2623" t="inlineStr">
        <is>
          <t>JÖNKÖPINGS LÄN</t>
        </is>
      </c>
      <c r="E2623" t="inlineStr">
        <is>
          <t>VETLANDA</t>
        </is>
      </c>
      <c r="G2623" t="n">
        <v>2.3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46854-2024</t>
        </is>
      </c>
      <c r="B2624" s="1" t="n">
        <v>45583.61962962963</v>
      </c>
      <c r="C2624" s="1" t="n">
        <v>45962</v>
      </c>
      <c r="D2624" t="inlineStr">
        <is>
          <t>JÖNKÖPINGS LÄN</t>
        </is>
      </c>
      <c r="E2624" t="inlineStr">
        <is>
          <t>TRANÅS</t>
        </is>
      </c>
      <c r="G2624" t="n">
        <v>6.8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12474-2024</t>
        </is>
      </c>
      <c r="B2625" s="1" t="n">
        <v>45379.51564814815</v>
      </c>
      <c r="C2625" s="1" t="n">
        <v>45962</v>
      </c>
      <c r="D2625" t="inlineStr">
        <is>
          <t>JÖNKÖPINGS LÄN</t>
        </is>
      </c>
      <c r="E2625" t="inlineStr">
        <is>
          <t>TRANÅS</t>
        </is>
      </c>
      <c r="G2625" t="n">
        <v>1.1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12476-2024</t>
        </is>
      </c>
      <c r="B2626" s="1" t="n">
        <v>45379.51759259259</v>
      </c>
      <c r="C2626" s="1" t="n">
        <v>45962</v>
      </c>
      <c r="D2626" t="inlineStr">
        <is>
          <t>JÖNKÖPINGS LÄN</t>
        </is>
      </c>
      <c r="E2626" t="inlineStr">
        <is>
          <t>TRANÅS</t>
        </is>
      </c>
      <c r="G2626" t="n">
        <v>0.9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55369-2024</t>
        </is>
      </c>
      <c r="B2627" s="1" t="n">
        <v>45621.90494212963</v>
      </c>
      <c r="C2627" s="1" t="n">
        <v>45962</v>
      </c>
      <c r="D2627" t="inlineStr">
        <is>
          <t>JÖNKÖPINGS LÄN</t>
        </is>
      </c>
      <c r="E2627" t="inlineStr">
        <is>
          <t>HABO</t>
        </is>
      </c>
      <c r="G2627" t="n">
        <v>4.5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55370-2024</t>
        </is>
      </c>
      <c r="B2628" s="1" t="n">
        <v>45621.90680555555</v>
      </c>
      <c r="C2628" s="1" t="n">
        <v>45962</v>
      </c>
      <c r="D2628" t="inlineStr">
        <is>
          <t>JÖNKÖPINGS LÄN</t>
        </is>
      </c>
      <c r="E2628" t="inlineStr">
        <is>
          <t>HABO</t>
        </is>
      </c>
      <c r="G2628" t="n">
        <v>11.5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55376-2024</t>
        </is>
      </c>
      <c r="B2629" s="1" t="n">
        <v>45621.93943287037</v>
      </c>
      <c r="C2629" s="1" t="n">
        <v>45962</v>
      </c>
      <c r="D2629" t="inlineStr">
        <is>
          <t>JÖNKÖPINGS LÄN</t>
        </is>
      </c>
      <c r="E2629" t="inlineStr">
        <is>
          <t>HABO</t>
        </is>
      </c>
      <c r="G2629" t="n">
        <v>2.6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8719-2025</t>
        </is>
      </c>
      <c r="B2630" s="1" t="n">
        <v>45712.50383101852</v>
      </c>
      <c r="C2630" s="1" t="n">
        <v>45962</v>
      </c>
      <c r="D2630" t="inlineStr">
        <is>
          <t>JÖNKÖPINGS LÄN</t>
        </is>
      </c>
      <c r="E2630" t="inlineStr">
        <is>
          <t>VÄRNAMO</t>
        </is>
      </c>
      <c r="G2630" t="n">
        <v>2.2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10301-2024</t>
        </is>
      </c>
      <c r="B2631" s="1" t="n">
        <v>45365.50953703704</v>
      </c>
      <c r="C2631" s="1" t="n">
        <v>45962</v>
      </c>
      <c r="D2631" t="inlineStr">
        <is>
          <t>JÖNKÖPINGS LÄN</t>
        </is>
      </c>
      <c r="E2631" t="inlineStr">
        <is>
          <t>ANEBY</t>
        </is>
      </c>
      <c r="F2631" t="inlineStr">
        <is>
          <t>Sveaskog</t>
        </is>
      </c>
      <c r="G2631" t="n">
        <v>2.7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16032-2025</t>
        </is>
      </c>
      <c r="B2632" s="1" t="n">
        <v>45748</v>
      </c>
      <c r="C2632" s="1" t="n">
        <v>45962</v>
      </c>
      <c r="D2632" t="inlineStr">
        <is>
          <t>JÖNKÖPINGS LÄN</t>
        </is>
      </c>
      <c r="E2632" t="inlineStr">
        <is>
          <t>JÖNKÖPING</t>
        </is>
      </c>
      <c r="F2632" t="inlineStr">
        <is>
          <t>Kyrkan</t>
        </is>
      </c>
      <c r="G2632" t="n">
        <v>3.1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16033-2025</t>
        </is>
      </c>
      <c r="B2633" s="1" t="n">
        <v>45748</v>
      </c>
      <c r="C2633" s="1" t="n">
        <v>45962</v>
      </c>
      <c r="D2633" t="inlineStr">
        <is>
          <t>JÖNKÖPINGS LÄN</t>
        </is>
      </c>
      <c r="E2633" t="inlineStr">
        <is>
          <t>SÄVSJÖ</t>
        </is>
      </c>
      <c r="F2633" t="inlineStr">
        <is>
          <t>Kyrkan</t>
        </is>
      </c>
      <c r="G2633" t="n">
        <v>1.8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55207-2023</t>
        </is>
      </c>
      <c r="B2634" s="1" t="n">
        <v>45237.59287037037</v>
      </c>
      <c r="C2634" s="1" t="n">
        <v>45962</v>
      </c>
      <c r="D2634" t="inlineStr">
        <is>
          <t>JÖNKÖPINGS LÄN</t>
        </is>
      </c>
      <c r="E2634" t="inlineStr">
        <is>
          <t>EKSJÖ</t>
        </is>
      </c>
      <c r="G2634" t="n">
        <v>0.7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28907-2023</t>
        </is>
      </c>
      <c r="B2635" s="1" t="n">
        <v>45104.51045138889</v>
      </c>
      <c r="C2635" s="1" t="n">
        <v>45962</v>
      </c>
      <c r="D2635" t="inlineStr">
        <is>
          <t>JÖNKÖPINGS LÄN</t>
        </is>
      </c>
      <c r="E2635" t="inlineStr">
        <is>
          <t>VETLANDA</t>
        </is>
      </c>
      <c r="G2635" t="n">
        <v>0.9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2496-2025</t>
        </is>
      </c>
      <c r="B2636" s="1" t="n">
        <v>45674.5233912037</v>
      </c>
      <c r="C2636" s="1" t="n">
        <v>45962</v>
      </c>
      <c r="D2636" t="inlineStr">
        <is>
          <t>JÖNKÖPINGS LÄN</t>
        </is>
      </c>
      <c r="E2636" t="inlineStr">
        <is>
          <t>VETLANDA</t>
        </is>
      </c>
      <c r="G2636" t="n">
        <v>0.5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10360-2024</t>
        </is>
      </c>
      <c r="B2637" s="1" t="n">
        <v>45365.60637731481</v>
      </c>
      <c r="C2637" s="1" t="n">
        <v>45962</v>
      </c>
      <c r="D2637" t="inlineStr">
        <is>
          <t>JÖNKÖPINGS LÄN</t>
        </is>
      </c>
      <c r="E2637" t="inlineStr">
        <is>
          <t>ANEBY</t>
        </is>
      </c>
      <c r="F2637" t="inlineStr">
        <is>
          <t>Sveaskog</t>
        </is>
      </c>
      <c r="G2637" t="n">
        <v>1.4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16093-2025</t>
        </is>
      </c>
      <c r="B2638" s="1" t="n">
        <v>45749.91487268519</v>
      </c>
      <c r="C2638" s="1" t="n">
        <v>45962</v>
      </c>
      <c r="D2638" t="inlineStr">
        <is>
          <t>JÖNKÖPINGS LÄN</t>
        </is>
      </c>
      <c r="E2638" t="inlineStr">
        <is>
          <t>VAGGERYD</t>
        </is>
      </c>
      <c r="F2638" t="inlineStr">
        <is>
          <t>Sveaskog</t>
        </is>
      </c>
      <c r="G2638" t="n">
        <v>1.1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13710-2023</t>
        </is>
      </c>
      <c r="B2639" s="1" t="n">
        <v>45001</v>
      </c>
      <c r="C2639" s="1" t="n">
        <v>45962</v>
      </c>
      <c r="D2639" t="inlineStr">
        <is>
          <t>JÖNKÖPINGS LÄN</t>
        </is>
      </c>
      <c r="E2639" t="inlineStr">
        <is>
          <t>VETLANDA</t>
        </is>
      </c>
      <c r="F2639" t="inlineStr">
        <is>
          <t>Kyrkan</t>
        </is>
      </c>
      <c r="G2639" t="n">
        <v>1.1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3492-2025</t>
        </is>
      </c>
      <c r="B2640" s="1" t="n">
        <v>45680.55241898148</v>
      </c>
      <c r="C2640" s="1" t="n">
        <v>45962</v>
      </c>
      <c r="D2640" t="inlineStr">
        <is>
          <t>JÖNKÖPINGS LÄN</t>
        </is>
      </c>
      <c r="E2640" t="inlineStr">
        <is>
          <t>GISLAVED</t>
        </is>
      </c>
      <c r="G2640" t="n">
        <v>0.9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36390-2024</t>
        </is>
      </c>
      <c r="B2641" s="1" t="n">
        <v>45534.7590162037</v>
      </c>
      <c r="C2641" s="1" t="n">
        <v>45962</v>
      </c>
      <c r="D2641" t="inlineStr">
        <is>
          <t>JÖNKÖPINGS LÄN</t>
        </is>
      </c>
      <c r="E2641" t="inlineStr">
        <is>
          <t>SÄVSJÖ</t>
        </is>
      </c>
      <c r="G2641" t="n">
        <v>2.1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60971-2022</t>
        </is>
      </c>
      <c r="B2642" s="1" t="n">
        <v>44914.65731481482</v>
      </c>
      <c r="C2642" s="1" t="n">
        <v>45962</v>
      </c>
      <c r="D2642" t="inlineStr">
        <is>
          <t>JÖNKÖPINGS LÄN</t>
        </is>
      </c>
      <c r="E2642" t="inlineStr">
        <is>
          <t>HABO</t>
        </is>
      </c>
      <c r="G2642" t="n">
        <v>0.8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8571-2024</t>
        </is>
      </c>
      <c r="B2643" s="1" t="n">
        <v>45355</v>
      </c>
      <c r="C2643" s="1" t="n">
        <v>45962</v>
      </c>
      <c r="D2643" t="inlineStr">
        <is>
          <t>JÖNKÖPINGS LÄN</t>
        </is>
      </c>
      <c r="E2643" t="inlineStr">
        <is>
          <t>EKSJÖ</t>
        </is>
      </c>
      <c r="G2643" t="n">
        <v>1.5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51747-2024</t>
        </is>
      </c>
      <c r="B2644" s="1" t="n">
        <v>45607.42164351852</v>
      </c>
      <c r="C2644" s="1" t="n">
        <v>45962</v>
      </c>
      <c r="D2644" t="inlineStr">
        <is>
          <t>JÖNKÖPINGS LÄN</t>
        </is>
      </c>
      <c r="E2644" t="inlineStr">
        <is>
          <t>VAGGERYD</t>
        </is>
      </c>
      <c r="F2644" t="inlineStr">
        <is>
          <t>Sveaskog</t>
        </is>
      </c>
      <c r="G2644" t="n">
        <v>1.3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51792-2024</t>
        </is>
      </c>
      <c r="B2645" s="1" t="n">
        <v>45607.46381944444</v>
      </c>
      <c r="C2645" s="1" t="n">
        <v>45962</v>
      </c>
      <c r="D2645" t="inlineStr">
        <is>
          <t>JÖNKÖPINGS LÄN</t>
        </is>
      </c>
      <c r="E2645" t="inlineStr">
        <is>
          <t>GISLAVED</t>
        </is>
      </c>
      <c r="G2645" t="n">
        <v>0.9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4554-2025</t>
        </is>
      </c>
      <c r="B2646" s="1" t="n">
        <v>45687.4334375</v>
      </c>
      <c r="C2646" s="1" t="n">
        <v>45962</v>
      </c>
      <c r="D2646" t="inlineStr">
        <is>
          <t>JÖNKÖPINGS LÄN</t>
        </is>
      </c>
      <c r="E2646" t="inlineStr">
        <is>
          <t>VÄRNAMO</t>
        </is>
      </c>
      <c r="G2646" t="n">
        <v>0.8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16652-2023</t>
        </is>
      </c>
      <c r="B2647" s="1" t="n">
        <v>45030</v>
      </c>
      <c r="C2647" s="1" t="n">
        <v>45962</v>
      </c>
      <c r="D2647" t="inlineStr">
        <is>
          <t>JÖNKÖPINGS LÄN</t>
        </is>
      </c>
      <c r="E2647" t="inlineStr">
        <is>
          <t>JÖNKÖPING</t>
        </is>
      </c>
      <c r="G2647" t="n">
        <v>1.2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64048-2023</t>
        </is>
      </c>
      <c r="B2648" s="1" t="n">
        <v>45279.3218287037</v>
      </c>
      <c r="C2648" s="1" t="n">
        <v>45962</v>
      </c>
      <c r="D2648" t="inlineStr">
        <is>
          <t>JÖNKÖPINGS LÄN</t>
        </is>
      </c>
      <c r="E2648" t="inlineStr">
        <is>
          <t>VÄRNAMO</t>
        </is>
      </c>
      <c r="G2648" t="n">
        <v>1.1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7629-2022</t>
        </is>
      </c>
      <c r="B2649" s="1" t="n">
        <v>44607</v>
      </c>
      <c r="C2649" s="1" t="n">
        <v>45962</v>
      </c>
      <c r="D2649" t="inlineStr">
        <is>
          <t>JÖNKÖPINGS LÄN</t>
        </is>
      </c>
      <c r="E2649" t="inlineStr">
        <is>
          <t>GISLAVED</t>
        </is>
      </c>
      <c r="G2649" t="n">
        <v>4.7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8020-2025</t>
        </is>
      </c>
      <c r="B2650" s="1" t="n">
        <v>45707.569375</v>
      </c>
      <c r="C2650" s="1" t="n">
        <v>45962</v>
      </c>
      <c r="D2650" t="inlineStr">
        <is>
          <t>JÖNKÖPINGS LÄN</t>
        </is>
      </c>
      <c r="E2650" t="inlineStr">
        <is>
          <t>MULLSJÖ</t>
        </is>
      </c>
      <c r="G2650" t="n">
        <v>3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7727-2022</t>
        </is>
      </c>
      <c r="B2651" s="1" t="n">
        <v>44608</v>
      </c>
      <c r="C2651" s="1" t="n">
        <v>45962</v>
      </c>
      <c r="D2651" t="inlineStr">
        <is>
          <t>JÖNKÖPINGS LÄN</t>
        </is>
      </c>
      <c r="E2651" t="inlineStr">
        <is>
          <t>VÄRNAMO</t>
        </is>
      </c>
      <c r="G2651" t="n">
        <v>2.1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8554-2024</t>
        </is>
      </c>
      <c r="B2652" s="1" t="n">
        <v>45355.56604166667</v>
      </c>
      <c r="C2652" s="1" t="n">
        <v>45962</v>
      </c>
      <c r="D2652" t="inlineStr">
        <is>
          <t>JÖNKÖPINGS LÄN</t>
        </is>
      </c>
      <c r="E2652" t="inlineStr">
        <is>
          <t>JÖNKÖPING</t>
        </is>
      </c>
      <c r="G2652" t="n">
        <v>0.3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59758-2020</t>
        </is>
      </c>
      <c r="B2653" s="1" t="n">
        <v>44151</v>
      </c>
      <c r="C2653" s="1" t="n">
        <v>45962</v>
      </c>
      <c r="D2653" t="inlineStr">
        <is>
          <t>JÖNKÖPINGS LÄN</t>
        </is>
      </c>
      <c r="E2653" t="inlineStr">
        <is>
          <t>JÖNKÖPING</t>
        </is>
      </c>
      <c r="G2653" t="n">
        <v>3.4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39739-2024</t>
        </is>
      </c>
      <c r="B2654" s="1" t="n">
        <v>45552</v>
      </c>
      <c r="C2654" s="1" t="n">
        <v>45962</v>
      </c>
      <c r="D2654" t="inlineStr">
        <is>
          <t>JÖNKÖPINGS LÄN</t>
        </is>
      </c>
      <c r="E2654" t="inlineStr">
        <is>
          <t>NÄSSJÖ</t>
        </is>
      </c>
      <c r="G2654" t="n">
        <v>2.9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59578-2023</t>
        </is>
      </c>
      <c r="B2655" s="1" t="n">
        <v>45254.60143518518</v>
      </c>
      <c r="C2655" s="1" t="n">
        <v>45962</v>
      </c>
      <c r="D2655" t="inlineStr">
        <is>
          <t>JÖNKÖPINGS LÄN</t>
        </is>
      </c>
      <c r="E2655" t="inlineStr">
        <is>
          <t>VETLANDA</t>
        </is>
      </c>
      <c r="F2655" t="inlineStr">
        <is>
          <t>Övriga Aktiebolag</t>
        </is>
      </c>
      <c r="G2655" t="n">
        <v>1.1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17340-2024</t>
        </is>
      </c>
      <c r="B2656" s="1" t="n">
        <v>45414.57553240741</v>
      </c>
      <c r="C2656" s="1" t="n">
        <v>45962</v>
      </c>
      <c r="D2656" t="inlineStr">
        <is>
          <t>JÖNKÖPINGS LÄN</t>
        </is>
      </c>
      <c r="E2656" t="inlineStr">
        <is>
          <t>VAGGERYD</t>
        </is>
      </c>
      <c r="G2656" t="n">
        <v>0.6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6601-2023</t>
        </is>
      </c>
      <c r="B2657" s="1" t="n">
        <v>44966.52741898148</v>
      </c>
      <c r="C2657" s="1" t="n">
        <v>45962</v>
      </c>
      <c r="D2657" t="inlineStr">
        <is>
          <t>JÖNKÖPINGS LÄN</t>
        </is>
      </c>
      <c r="E2657" t="inlineStr">
        <is>
          <t>JÖNKÖPING</t>
        </is>
      </c>
      <c r="F2657" t="inlineStr">
        <is>
          <t>Kyrkan</t>
        </is>
      </c>
      <c r="G2657" t="n">
        <v>2.2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8501-2025</t>
        </is>
      </c>
      <c r="B2658" s="1" t="n">
        <v>45709.52268518518</v>
      </c>
      <c r="C2658" s="1" t="n">
        <v>45962</v>
      </c>
      <c r="D2658" t="inlineStr">
        <is>
          <t>JÖNKÖPINGS LÄN</t>
        </is>
      </c>
      <c r="E2658" t="inlineStr">
        <is>
          <t>VETLANDA</t>
        </is>
      </c>
      <c r="G2658" t="n">
        <v>1.3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14656-2023</t>
        </is>
      </c>
      <c r="B2659" s="1" t="n">
        <v>45013</v>
      </c>
      <c r="C2659" s="1" t="n">
        <v>45962</v>
      </c>
      <c r="D2659" t="inlineStr">
        <is>
          <t>JÖNKÖPINGS LÄN</t>
        </is>
      </c>
      <c r="E2659" t="inlineStr">
        <is>
          <t>NÄSSJÖ</t>
        </is>
      </c>
      <c r="G2659" t="n">
        <v>0.5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58356-2022</t>
        </is>
      </c>
      <c r="B2660" s="1" t="n">
        <v>44893</v>
      </c>
      <c r="C2660" s="1" t="n">
        <v>45962</v>
      </c>
      <c r="D2660" t="inlineStr">
        <is>
          <t>JÖNKÖPINGS LÄN</t>
        </is>
      </c>
      <c r="E2660" t="inlineStr">
        <is>
          <t>GNOSJÖ</t>
        </is>
      </c>
      <c r="G2660" t="n">
        <v>2.5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61095-2024</t>
        </is>
      </c>
      <c r="B2661" s="1" t="n">
        <v>45645.54453703704</v>
      </c>
      <c r="C2661" s="1" t="n">
        <v>45962</v>
      </c>
      <c r="D2661" t="inlineStr">
        <is>
          <t>JÖNKÖPINGS LÄN</t>
        </is>
      </c>
      <c r="E2661" t="inlineStr">
        <is>
          <t>VETLANDA</t>
        </is>
      </c>
      <c r="G2661" t="n">
        <v>0.8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47125-2022</t>
        </is>
      </c>
      <c r="B2662" s="1" t="n">
        <v>44852.52524305556</v>
      </c>
      <c r="C2662" s="1" t="n">
        <v>45962</v>
      </c>
      <c r="D2662" t="inlineStr">
        <is>
          <t>JÖNKÖPINGS LÄN</t>
        </is>
      </c>
      <c r="E2662" t="inlineStr">
        <is>
          <t>ANEBY</t>
        </is>
      </c>
      <c r="G2662" t="n">
        <v>1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25858-2023</t>
        </is>
      </c>
      <c r="B2663" s="1" t="n">
        <v>45090.59459490741</v>
      </c>
      <c r="C2663" s="1" t="n">
        <v>45962</v>
      </c>
      <c r="D2663" t="inlineStr">
        <is>
          <t>JÖNKÖPINGS LÄN</t>
        </is>
      </c>
      <c r="E2663" t="inlineStr">
        <is>
          <t>VETLANDA</t>
        </is>
      </c>
      <c r="G2663" t="n">
        <v>1.8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759-2025</t>
        </is>
      </c>
      <c r="B2664" s="1" t="n">
        <v>45665.44925925926</v>
      </c>
      <c r="C2664" s="1" t="n">
        <v>45962</v>
      </c>
      <c r="D2664" t="inlineStr">
        <is>
          <t>JÖNKÖPINGS LÄN</t>
        </is>
      </c>
      <c r="E2664" t="inlineStr">
        <is>
          <t>ANEBY</t>
        </is>
      </c>
      <c r="F2664" t="inlineStr">
        <is>
          <t>Sveaskog</t>
        </is>
      </c>
      <c r="G2664" t="n">
        <v>0.9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30961-2023</t>
        </is>
      </c>
      <c r="B2665" s="1" t="n">
        <v>45113.4774537037</v>
      </c>
      <c r="C2665" s="1" t="n">
        <v>45962</v>
      </c>
      <c r="D2665" t="inlineStr">
        <is>
          <t>JÖNKÖPINGS LÄN</t>
        </is>
      </c>
      <c r="E2665" t="inlineStr">
        <is>
          <t>GNOSJÖ</t>
        </is>
      </c>
      <c r="G2665" t="n">
        <v>2.7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20481-2022</t>
        </is>
      </c>
      <c r="B2666" s="1" t="n">
        <v>44699.66025462963</v>
      </c>
      <c r="C2666" s="1" t="n">
        <v>45962</v>
      </c>
      <c r="D2666" t="inlineStr">
        <is>
          <t>JÖNKÖPINGS LÄN</t>
        </is>
      </c>
      <c r="E2666" t="inlineStr">
        <is>
          <t>VÄRNAMO</t>
        </is>
      </c>
      <c r="G2666" t="n">
        <v>0.8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17381-2025</t>
        </is>
      </c>
      <c r="B2667" s="1" t="n">
        <v>45757.29700231482</v>
      </c>
      <c r="C2667" s="1" t="n">
        <v>45962</v>
      </c>
      <c r="D2667" t="inlineStr">
        <is>
          <t>JÖNKÖPINGS LÄN</t>
        </is>
      </c>
      <c r="E2667" t="inlineStr">
        <is>
          <t>JÖNKÖPING</t>
        </is>
      </c>
      <c r="G2667" t="n">
        <v>1.2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33681-2023</t>
        </is>
      </c>
      <c r="B2668" s="1" t="n">
        <v>45132.64173611111</v>
      </c>
      <c r="C2668" s="1" t="n">
        <v>45962</v>
      </c>
      <c r="D2668" t="inlineStr">
        <is>
          <t>JÖNKÖPINGS LÄN</t>
        </is>
      </c>
      <c r="E2668" t="inlineStr">
        <is>
          <t>VETLANDA</t>
        </is>
      </c>
      <c r="G2668" t="n">
        <v>2.1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49070-2023</t>
        </is>
      </c>
      <c r="B2669" s="1" t="n">
        <v>45204</v>
      </c>
      <c r="C2669" s="1" t="n">
        <v>45962</v>
      </c>
      <c r="D2669" t="inlineStr">
        <is>
          <t>JÖNKÖPINGS LÄN</t>
        </is>
      </c>
      <c r="E2669" t="inlineStr">
        <is>
          <t>ANEBY</t>
        </is>
      </c>
      <c r="F2669" t="inlineStr">
        <is>
          <t>Övriga Aktiebolag</t>
        </is>
      </c>
      <c r="G2669" t="n">
        <v>1.8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49073-2023</t>
        </is>
      </c>
      <c r="B2670" s="1" t="n">
        <v>45204</v>
      </c>
      <c r="C2670" s="1" t="n">
        <v>45962</v>
      </c>
      <c r="D2670" t="inlineStr">
        <is>
          <t>JÖNKÖPINGS LÄN</t>
        </is>
      </c>
      <c r="E2670" t="inlineStr">
        <is>
          <t>ANEBY</t>
        </is>
      </c>
      <c r="F2670" t="inlineStr">
        <is>
          <t>Övriga Aktiebolag</t>
        </is>
      </c>
      <c r="G2670" t="n">
        <v>3.4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19017-2025</t>
        </is>
      </c>
      <c r="B2671" s="1" t="n">
        <v>45764.60275462963</v>
      </c>
      <c r="C2671" s="1" t="n">
        <v>45962</v>
      </c>
      <c r="D2671" t="inlineStr">
        <is>
          <t>JÖNKÖPINGS LÄN</t>
        </is>
      </c>
      <c r="E2671" t="inlineStr">
        <is>
          <t>SÄVSJÖ</t>
        </is>
      </c>
      <c r="G2671" t="n">
        <v>2.1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8347-2023</t>
        </is>
      </c>
      <c r="B2672" s="1" t="n">
        <v>44977.26482638889</v>
      </c>
      <c r="C2672" s="1" t="n">
        <v>45962</v>
      </c>
      <c r="D2672" t="inlineStr">
        <is>
          <t>JÖNKÖPINGS LÄN</t>
        </is>
      </c>
      <c r="E2672" t="inlineStr">
        <is>
          <t>JÖNKÖPING</t>
        </is>
      </c>
      <c r="G2672" t="n">
        <v>0.7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8348-2023</t>
        </is>
      </c>
      <c r="B2673" s="1" t="n">
        <v>44977.31280092592</v>
      </c>
      <c r="C2673" s="1" t="n">
        <v>45962</v>
      </c>
      <c r="D2673" t="inlineStr">
        <is>
          <t>JÖNKÖPINGS LÄN</t>
        </is>
      </c>
      <c r="E2673" t="inlineStr">
        <is>
          <t>TRANÅS</t>
        </is>
      </c>
      <c r="G2673" t="n">
        <v>2.1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13610-2024</t>
        </is>
      </c>
      <c r="B2674" s="1" t="n">
        <v>45390.35407407407</v>
      </c>
      <c r="C2674" s="1" t="n">
        <v>45962</v>
      </c>
      <c r="D2674" t="inlineStr">
        <is>
          <t>JÖNKÖPINGS LÄN</t>
        </is>
      </c>
      <c r="E2674" t="inlineStr">
        <is>
          <t>GNOSJÖ</t>
        </is>
      </c>
      <c r="G2674" t="n">
        <v>1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65598-2020</t>
        </is>
      </c>
      <c r="B2675" s="1" t="n">
        <v>44173</v>
      </c>
      <c r="C2675" s="1" t="n">
        <v>45962</v>
      </c>
      <c r="D2675" t="inlineStr">
        <is>
          <t>JÖNKÖPINGS LÄN</t>
        </is>
      </c>
      <c r="E2675" t="inlineStr">
        <is>
          <t>SÄVSJÖ</t>
        </is>
      </c>
      <c r="G2675" t="n">
        <v>1.5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8087-2021</t>
        </is>
      </c>
      <c r="B2676" s="1" t="n">
        <v>44243</v>
      </c>
      <c r="C2676" s="1" t="n">
        <v>45962</v>
      </c>
      <c r="D2676" t="inlineStr">
        <is>
          <t>JÖNKÖPINGS LÄN</t>
        </is>
      </c>
      <c r="E2676" t="inlineStr">
        <is>
          <t>GISLAVED</t>
        </is>
      </c>
      <c r="G2676" t="n">
        <v>5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50967-2021</t>
        </is>
      </c>
      <c r="B2677" s="1" t="n">
        <v>44460.66883101852</v>
      </c>
      <c r="C2677" s="1" t="n">
        <v>45962</v>
      </c>
      <c r="D2677" t="inlineStr">
        <is>
          <t>JÖNKÖPINGS LÄN</t>
        </is>
      </c>
      <c r="E2677" t="inlineStr">
        <is>
          <t>EKSJÖ</t>
        </is>
      </c>
      <c r="G2677" t="n">
        <v>2.1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9042-2025</t>
        </is>
      </c>
      <c r="B2678" s="1" t="n">
        <v>45713.62721064815</v>
      </c>
      <c r="C2678" s="1" t="n">
        <v>45962</v>
      </c>
      <c r="D2678" t="inlineStr">
        <is>
          <t>JÖNKÖPINGS LÄN</t>
        </is>
      </c>
      <c r="E2678" t="inlineStr">
        <is>
          <t>VÄRNAMO</t>
        </is>
      </c>
      <c r="F2678" t="inlineStr">
        <is>
          <t>Sveaskog</t>
        </is>
      </c>
      <c r="G2678" t="n">
        <v>3.9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66479-2020</t>
        </is>
      </c>
      <c r="B2679" s="1" t="n">
        <v>44177</v>
      </c>
      <c r="C2679" s="1" t="n">
        <v>45962</v>
      </c>
      <c r="D2679" t="inlineStr">
        <is>
          <t>JÖNKÖPINGS LÄN</t>
        </is>
      </c>
      <c r="E2679" t="inlineStr">
        <is>
          <t>EKSJÖ</t>
        </is>
      </c>
      <c r="G2679" t="n">
        <v>3.3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66486-2020</t>
        </is>
      </c>
      <c r="B2680" s="1" t="n">
        <v>44177</v>
      </c>
      <c r="C2680" s="1" t="n">
        <v>45962</v>
      </c>
      <c r="D2680" t="inlineStr">
        <is>
          <t>JÖNKÖPINGS LÄN</t>
        </is>
      </c>
      <c r="E2680" t="inlineStr">
        <is>
          <t>VETLANDA</t>
        </is>
      </c>
      <c r="G2680" t="n">
        <v>2.3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58293-2023</t>
        </is>
      </c>
      <c r="B2681" s="1" t="n">
        <v>45250.54054398148</v>
      </c>
      <c r="C2681" s="1" t="n">
        <v>45962</v>
      </c>
      <c r="D2681" t="inlineStr">
        <is>
          <t>JÖNKÖPINGS LÄN</t>
        </is>
      </c>
      <c r="E2681" t="inlineStr">
        <is>
          <t>VÄRNAMO</t>
        </is>
      </c>
      <c r="G2681" t="n">
        <v>2.1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57851-2023</t>
        </is>
      </c>
      <c r="B2682" s="1" t="n">
        <v>45247.42733796296</v>
      </c>
      <c r="C2682" s="1" t="n">
        <v>45962</v>
      </c>
      <c r="D2682" t="inlineStr">
        <is>
          <t>JÖNKÖPINGS LÄN</t>
        </is>
      </c>
      <c r="E2682" t="inlineStr">
        <is>
          <t>SÄVSJÖ</t>
        </is>
      </c>
      <c r="G2682" t="n">
        <v>2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46006-2022</t>
        </is>
      </c>
      <c r="B2683" s="1" t="n">
        <v>44846</v>
      </c>
      <c r="C2683" s="1" t="n">
        <v>45962</v>
      </c>
      <c r="D2683" t="inlineStr">
        <is>
          <t>JÖNKÖPINGS LÄN</t>
        </is>
      </c>
      <c r="E2683" t="inlineStr">
        <is>
          <t>MULLSJÖ</t>
        </is>
      </c>
      <c r="G2683" t="n">
        <v>3.4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46012-2022</t>
        </is>
      </c>
      <c r="B2684" s="1" t="n">
        <v>44846</v>
      </c>
      <c r="C2684" s="1" t="n">
        <v>45962</v>
      </c>
      <c r="D2684" t="inlineStr">
        <is>
          <t>JÖNKÖPINGS LÄN</t>
        </is>
      </c>
      <c r="E2684" t="inlineStr">
        <is>
          <t>EKSJÖ</t>
        </is>
      </c>
      <c r="G2684" t="n">
        <v>1.3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46017-2022</t>
        </is>
      </c>
      <c r="B2685" s="1" t="n">
        <v>44846</v>
      </c>
      <c r="C2685" s="1" t="n">
        <v>45962</v>
      </c>
      <c r="D2685" t="inlineStr">
        <is>
          <t>JÖNKÖPINGS LÄN</t>
        </is>
      </c>
      <c r="E2685" t="inlineStr">
        <is>
          <t>EKSJÖ</t>
        </is>
      </c>
      <c r="G2685" t="n">
        <v>1.2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712-2024</t>
        </is>
      </c>
      <c r="B2686" s="1" t="n">
        <v>45300</v>
      </c>
      <c r="C2686" s="1" t="n">
        <v>45962</v>
      </c>
      <c r="D2686" t="inlineStr">
        <is>
          <t>JÖNKÖPINGS LÄN</t>
        </is>
      </c>
      <c r="E2686" t="inlineStr">
        <is>
          <t>VETLANDA</t>
        </is>
      </c>
      <c r="G2686" t="n">
        <v>1.7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5802-2024</t>
        </is>
      </c>
      <c r="B2687" s="1" t="n">
        <v>45335</v>
      </c>
      <c r="C2687" s="1" t="n">
        <v>45962</v>
      </c>
      <c r="D2687" t="inlineStr">
        <is>
          <t>JÖNKÖPINGS LÄN</t>
        </is>
      </c>
      <c r="E2687" t="inlineStr">
        <is>
          <t>VETLANDA</t>
        </is>
      </c>
      <c r="G2687" t="n">
        <v>0.6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36047-2024</t>
        </is>
      </c>
      <c r="B2688" s="1" t="n">
        <v>45533.61387731481</v>
      </c>
      <c r="C2688" s="1" t="n">
        <v>45962</v>
      </c>
      <c r="D2688" t="inlineStr">
        <is>
          <t>JÖNKÖPINGS LÄN</t>
        </is>
      </c>
      <c r="E2688" t="inlineStr">
        <is>
          <t>EKSJÖ</t>
        </is>
      </c>
      <c r="G2688" t="n">
        <v>1.4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1396-2021</t>
        </is>
      </c>
      <c r="B2689" s="1" t="n">
        <v>44208</v>
      </c>
      <c r="C2689" s="1" t="n">
        <v>45962</v>
      </c>
      <c r="D2689" t="inlineStr">
        <is>
          <t>JÖNKÖPINGS LÄN</t>
        </is>
      </c>
      <c r="E2689" t="inlineStr">
        <is>
          <t>HABO</t>
        </is>
      </c>
      <c r="G2689" t="n">
        <v>0.9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1412-2021</t>
        </is>
      </c>
      <c r="B2690" s="1" t="n">
        <v>44208</v>
      </c>
      <c r="C2690" s="1" t="n">
        <v>45962</v>
      </c>
      <c r="D2690" t="inlineStr">
        <is>
          <t>JÖNKÖPINGS LÄN</t>
        </is>
      </c>
      <c r="E2690" t="inlineStr">
        <is>
          <t>HABO</t>
        </is>
      </c>
      <c r="G2690" t="n">
        <v>1.1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10309-2024</t>
        </is>
      </c>
      <c r="B2691" s="1" t="n">
        <v>45365.52149305555</v>
      </c>
      <c r="C2691" s="1" t="n">
        <v>45962</v>
      </c>
      <c r="D2691" t="inlineStr">
        <is>
          <t>JÖNKÖPINGS LÄN</t>
        </is>
      </c>
      <c r="E2691" t="inlineStr">
        <is>
          <t>EKSJÖ</t>
        </is>
      </c>
      <c r="F2691" t="inlineStr">
        <is>
          <t>Sveaskog</t>
        </is>
      </c>
      <c r="G2691" t="n">
        <v>2.7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30001-2023</t>
        </is>
      </c>
      <c r="B2692" s="1" t="n">
        <v>45109.71393518519</v>
      </c>
      <c r="C2692" s="1" t="n">
        <v>45962</v>
      </c>
      <c r="D2692" t="inlineStr">
        <is>
          <t>JÖNKÖPINGS LÄN</t>
        </is>
      </c>
      <c r="E2692" t="inlineStr">
        <is>
          <t>NÄSSJÖ</t>
        </is>
      </c>
      <c r="G2692" t="n">
        <v>0.9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16349-2022</t>
        </is>
      </c>
      <c r="B2693" s="1" t="n">
        <v>44670</v>
      </c>
      <c r="C2693" s="1" t="n">
        <v>45962</v>
      </c>
      <c r="D2693" t="inlineStr">
        <is>
          <t>JÖNKÖPINGS LÄN</t>
        </is>
      </c>
      <c r="E2693" t="inlineStr">
        <is>
          <t>MULLSJÖ</t>
        </is>
      </c>
      <c r="G2693" t="n">
        <v>1.1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17639-2024</t>
        </is>
      </c>
      <c r="B2694" s="1" t="n">
        <v>45418.35512731481</v>
      </c>
      <c r="C2694" s="1" t="n">
        <v>45962</v>
      </c>
      <c r="D2694" t="inlineStr">
        <is>
          <t>JÖNKÖPINGS LÄN</t>
        </is>
      </c>
      <c r="E2694" t="inlineStr">
        <is>
          <t>GISLAVED</t>
        </is>
      </c>
      <c r="G2694" t="n">
        <v>1.6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4154-2022</t>
        </is>
      </c>
      <c r="B2695" s="1" t="n">
        <v>44588.50104166667</v>
      </c>
      <c r="C2695" s="1" t="n">
        <v>45962</v>
      </c>
      <c r="D2695" t="inlineStr">
        <is>
          <t>JÖNKÖPINGS LÄN</t>
        </is>
      </c>
      <c r="E2695" t="inlineStr">
        <is>
          <t>JÖNKÖPING</t>
        </is>
      </c>
      <c r="G2695" t="n">
        <v>0.8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16108-2024</t>
        </is>
      </c>
      <c r="B2696" s="1" t="n">
        <v>45406.46671296296</v>
      </c>
      <c r="C2696" s="1" t="n">
        <v>45962</v>
      </c>
      <c r="D2696" t="inlineStr">
        <is>
          <t>JÖNKÖPINGS LÄN</t>
        </is>
      </c>
      <c r="E2696" t="inlineStr">
        <is>
          <t>HABO</t>
        </is>
      </c>
      <c r="G2696" t="n">
        <v>0.8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54940-2022</t>
        </is>
      </c>
      <c r="B2697" s="1" t="n">
        <v>44886</v>
      </c>
      <c r="C2697" s="1" t="n">
        <v>45962</v>
      </c>
      <c r="D2697" t="inlineStr">
        <is>
          <t>JÖNKÖPINGS LÄN</t>
        </is>
      </c>
      <c r="E2697" t="inlineStr">
        <is>
          <t>SÄVSJÖ</t>
        </is>
      </c>
      <c r="G2697" t="n">
        <v>1.4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50734-2024</t>
        </is>
      </c>
      <c r="B2698" s="1" t="n">
        <v>45602.39266203704</v>
      </c>
      <c r="C2698" s="1" t="n">
        <v>45962</v>
      </c>
      <c r="D2698" t="inlineStr">
        <is>
          <t>JÖNKÖPINGS LÄN</t>
        </is>
      </c>
      <c r="E2698" t="inlineStr">
        <is>
          <t>NÄSSJÖ</t>
        </is>
      </c>
      <c r="G2698" t="n">
        <v>2.2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50759-2024</t>
        </is>
      </c>
      <c r="B2699" s="1" t="n">
        <v>45602.43329861111</v>
      </c>
      <c r="C2699" s="1" t="n">
        <v>45962</v>
      </c>
      <c r="D2699" t="inlineStr">
        <is>
          <t>JÖNKÖPINGS LÄN</t>
        </is>
      </c>
      <c r="E2699" t="inlineStr">
        <is>
          <t>VETLANDA</t>
        </is>
      </c>
      <c r="G2699" t="n">
        <v>2.1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37815-2024</t>
        </is>
      </c>
      <c r="B2700" s="1" t="n">
        <v>45544.31510416666</v>
      </c>
      <c r="C2700" s="1" t="n">
        <v>45962</v>
      </c>
      <c r="D2700" t="inlineStr">
        <is>
          <t>JÖNKÖPINGS LÄN</t>
        </is>
      </c>
      <c r="E2700" t="inlineStr">
        <is>
          <t>SÄVSJÖ</t>
        </is>
      </c>
      <c r="G2700" t="n">
        <v>1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34005-2021</t>
        </is>
      </c>
      <c r="B2701" s="1" t="n">
        <v>44379.33491898148</v>
      </c>
      <c r="C2701" s="1" t="n">
        <v>45962</v>
      </c>
      <c r="D2701" t="inlineStr">
        <is>
          <t>JÖNKÖPINGS LÄN</t>
        </is>
      </c>
      <c r="E2701" t="inlineStr">
        <is>
          <t>NÄSSJÖ</t>
        </is>
      </c>
      <c r="G2701" t="n">
        <v>3.1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58559-2021</t>
        </is>
      </c>
      <c r="B2702" s="1" t="n">
        <v>44488</v>
      </c>
      <c r="C2702" s="1" t="n">
        <v>45962</v>
      </c>
      <c r="D2702" t="inlineStr">
        <is>
          <t>JÖNKÖPINGS LÄN</t>
        </is>
      </c>
      <c r="E2702" t="inlineStr">
        <is>
          <t>JÖNKÖPING</t>
        </is>
      </c>
      <c r="G2702" t="n">
        <v>4.8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61005-2024</t>
        </is>
      </c>
      <c r="B2703" s="1" t="n">
        <v>45645</v>
      </c>
      <c r="C2703" s="1" t="n">
        <v>45962</v>
      </c>
      <c r="D2703" t="inlineStr">
        <is>
          <t>JÖNKÖPINGS LÄN</t>
        </is>
      </c>
      <c r="E2703" t="inlineStr">
        <is>
          <t>ANEBY</t>
        </is>
      </c>
      <c r="G2703" t="n">
        <v>2.1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5937-2023</t>
        </is>
      </c>
      <c r="B2704" s="1" t="n">
        <v>44963.8266087963</v>
      </c>
      <c r="C2704" s="1" t="n">
        <v>45962</v>
      </c>
      <c r="D2704" t="inlineStr">
        <is>
          <t>JÖNKÖPINGS LÄN</t>
        </is>
      </c>
      <c r="E2704" t="inlineStr">
        <is>
          <t>VETLANDA</t>
        </is>
      </c>
      <c r="G2704" t="n">
        <v>2.8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61017-2024</t>
        </is>
      </c>
      <c r="B2705" s="1" t="n">
        <v>45644</v>
      </c>
      <c r="C2705" s="1" t="n">
        <v>45962</v>
      </c>
      <c r="D2705" t="inlineStr">
        <is>
          <t>JÖNKÖPINGS LÄN</t>
        </is>
      </c>
      <c r="E2705" t="inlineStr">
        <is>
          <t>TRANÅS</t>
        </is>
      </c>
      <c r="G2705" t="n">
        <v>12.1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20078-2022</t>
        </is>
      </c>
      <c r="B2706" s="1" t="n">
        <v>44698.27141203704</v>
      </c>
      <c r="C2706" s="1" t="n">
        <v>45962</v>
      </c>
      <c r="D2706" t="inlineStr">
        <is>
          <t>JÖNKÖPINGS LÄN</t>
        </is>
      </c>
      <c r="E2706" t="inlineStr">
        <is>
          <t>GNOSJÖ</t>
        </is>
      </c>
      <c r="G2706" t="n">
        <v>1.7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28690-2024</t>
        </is>
      </c>
      <c r="B2707" s="1" t="n">
        <v>45478.49003472222</v>
      </c>
      <c r="C2707" s="1" t="n">
        <v>45962</v>
      </c>
      <c r="D2707" t="inlineStr">
        <is>
          <t>JÖNKÖPINGS LÄN</t>
        </is>
      </c>
      <c r="E2707" t="inlineStr">
        <is>
          <t>HABO</t>
        </is>
      </c>
      <c r="G2707" t="n">
        <v>1.4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21407-2023</t>
        </is>
      </c>
      <c r="B2708" s="1" t="n">
        <v>45063.37902777778</v>
      </c>
      <c r="C2708" s="1" t="n">
        <v>45962</v>
      </c>
      <c r="D2708" t="inlineStr">
        <is>
          <t>JÖNKÖPINGS LÄN</t>
        </is>
      </c>
      <c r="E2708" t="inlineStr">
        <is>
          <t>NÄSSJÖ</t>
        </is>
      </c>
      <c r="G2708" t="n">
        <v>1.1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28330-2023</t>
        </is>
      </c>
      <c r="B2709" s="1" t="n">
        <v>45099</v>
      </c>
      <c r="C2709" s="1" t="n">
        <v>45962</v>
      </c>
      <c r="D2709" t="inlineStr">
        <is>
          <t>JÖNKÖPINGS LÄN</t>
        </is>
      </c>
      <c r="E2709" t="inlineStr">
        <is>
          <t>VETLANDA</t>
        </is>
      </c>
      <c r="G2709" t="n">
        <v>1.2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17171-2023</t>
        </is>
      </c>
      <c r="B2710" s="1" t="n">
        <v>45034</v>
      </c>
      <c r="C2710" s="1" t="n">
        <v>45962</v>
      </c>
      <c r="D2710" t="inlineStr">
        <is>
          <t>JÖNKÖPINGS LÄN</t>
        </is>
      </c>
      <c r="E2710" t="inlineStr">
        <is>
          <t>JÖNKÖPING</t>
        </is>
      </c>
      <c r="G2710" t="n">
        <v>0.9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40051-2023</t>
        </is>
      </c>
      <c r="B2711" s="1" t="n">
        <v>45168.70575231482</v>
      </c>
      <c r="C2711" s="1" t="n">
        <v>45962</v>
      </c>
      <c r="D2711" t="inlineStr">
        <is>
          <t>JÖNKÖPINGS LÄN</t>
        </is>
      </c>
      <c r="E2711" t="inlineStr">
        <is>
          <t>VETLANDA</t>
        </is>
      </c>
      <c r="G2711" t="n">
        <v>1.1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40067-2023</t>
        </is>
      </c>
      <c r="B2712" s="1" t="n">
        <v>45168</v>
      </c>
      <c r="C2712" s="1" t="n">
        <v>45962</v>
      </c>
      <c r="D2712" t="inlineStr">
        <is>
          <t>JÖNKÖPINGS LÄN</t>
        </is>
      </c>
      <c r="E2712" t="inlineStr">
        <is>
          <t>GNOSJÖ</t>
        </is>
      </c>
      <c r="G2712" t="n">
        <v>0.6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29336-2021</t>
        </is>
      </c>
      <c r="B2713" s="1" t="n">
        <v>44361</v>
      </c>
      <c r="C2713" s="1" t="n">
        <v>45962</v>
      </c>
      <c r="D2713" t="inlineStr">
        <is>
          <t>JÖNKÖPINGS LÄN</t>
        </is>
      </c>
      <c r="E2713" t="inlineStr">
        <is>
          <t>JÖNKÖPING</t>
        </is>
      </c>
      <c r="G2713" t="n">
        <v>1.1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44919-2024</t>
        </is>
      </c>
      <c r="B2714" s="1" t="n">
        <v>45575</v>
      </c>
      <c r="C2714" s="1" t="n">
        <v>45962</v>
      </c>
      <c r="D2714" t="inlineStr">
        <is>
          <t>JÖNKÖPINGS LÄN</t>
        </is>
      </c>
      <c r="E2714" t="inlineStr">
        <is>
          <t>SÄVSJÖ</t>
        </is>
      </c>
      <c r="G2714" t="n">
        <v>4.2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60429-2023</t>
        </is>
      </c>
      <c r="B2715" s="1" t="n">
        <v>45259.51030092593</v>
      </c>
      <c r="C2715" s="1" t="n">
        <v>45962</v>
      </c>
      <c r="D2715" t="inlineStr">
        <is>
          <t>JÖNKÖPINGS LÄN</t>
        </is>
      </c>
      <c r="E2715" t="inlineStr">
        <is>
          <t>NÄSSJÖ</t>
        </is>
      </c>
      <c r="G2715" t="n">
        <v>1.9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15289-2024</t>
        </is>
      </c>
      <c r="B2716" s="1" t="n">
        <v>45400.6177662037</v>
      </c>
      <c r="C2716" s="1" t="n">
        <v>45962</v>
      </c>
      <c r="D2716" t="inlineStr">
        <is>
          <t>JÖNKÖPINGS LÄN</t>
        </is>
      </c>
      <c r="E2716" t="inlineStr">
        <is>
          <t>VETLANDA</t>
        </is>
      </c>
      <c r="G2716" t="n">
        <v>0.6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23183-2022</t>
        </is>
      </c>
      <c r="B2717" s="1" t="n">
        <v>44719.81275462963</v>
      </c>
      <c r="C2717" s="1" t="n">
        <v>45962</v>
      </c>
      <c r="D2717" t="inlineStr">
        <is>
          <t>JÖNKÖPINGS LÄN</t>
        </is>
      </c>
      <c r="E2717" t="inlineStr">
        <is>
          <t>EKSJÖ</t>
        </is>
      </c>
      <c r="G2717" t="n">
        <v>2.7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22650-2024</t>
        </is>
      </c>
      <c r="B2718" s="1" t="n">
        <v>45447.89599537037</v>
      </c>
      <c r="C2718" s="1" t="n">
        <v>45962</v>
      </c>
      <c r="D2718" t="inlineStr">
        <is>
          <t>JÖNKÖPINGS LÄN</t>
        </is>
      </c>
      <c r="E2718" t="inlineStr">
        <is>
          <t>GNOSJÖ</t>
        </is>
      </c>
      <c r="G2718" t="n">
        <v>7.9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26745-2024</t>
        </is>
      </c>
      <c r="B2719" s="1" t="n">
        <v>45470.45113425926</v>
      </c>
      <c r="C2719" s="1" t="n">
        <v>45962</v>
      </c>
      <c r="D2719" t="inlineStr">
        <is>
          <t>JÖNKÖPINGS LÄN</t>
        </is>
      </c>
      <c r="E2719" t="inlineStr">
        <is>
          <t>VAGGERYD</t>
        </is>
      </c>
      <c r="G2719" t="n">
        <v>1.9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26791-2024</t>
        </is>
      </c>
      <c r="B2720" s="1" t="n">
        <v>45470.49353009259</v>
      </c>
      <c r="C2720" s="1" t="n">
        <v>45962</v>
      </c>
      <c r="D2720" t="inlineStr">
        <is>
          <t>JÖNKÖPINGS LÄN</t>
        </is>
      </c>
      <c r="E2720" t="inlineStr">
        <is>
          <t>VETLANDA</t>
        </is>
      </c>
      <c r="G2720" t="n">
        <v>1.5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9820-2021</t>
        </is>
      </c>
      <c r="B2721" s="1" t="n">
        <v>44252</v>
      </c>
      <c r="C2721" s="1" t="n">
        <v>45962</v>
      </c>
      <c r="D2721" t="inlineStr">
        <is>
          <t>JÖNKÖPINGS LÄN</t>
        </is>
      </c>
      <c r="E2721" t="inlineStr">
        <is>
          <t>JÖNKÖPING</t>
        </is>
      </c>
      <c r="G2721" t="n">
        <v>0.9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65080-2020</t>
        </is>
      </c>
      <c r="B2722" s="1" t="n">
        <v>44172</v>
      </c>
      <c r="C2722" s="1" t="n">
        <v>45962</v>
      </c>
      <c r="D2722" t="inlineStr">
        <is>
          <t>JÖNKÖPINGS LÄN</t>
        </is>
      </c>
      <c r="E2722" t="inlineStr">
        <is>
          <t>JÖNKÖPING</t>
        </is>
      </c>
      <c r="G2722" t="n">
        <v>4.2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57306-2022</t>
        </is>
      </c>
      <c r="B2723" s="1" t="n">
        <v>44896.30283564814</v>
      </c>
      <c r="C2723" s="1" t="n">
        <v>45962</v>
      </c>
      <c r="D2723" t="inlineStr">
        <is>
          <t>JÖNKÖPINGS LÄN</t>
        </is>
      </c>
      <c r="E2723" t="inlineStr">
        <is>
          <t>VAGGERYD</t>
        </is>
      </c>
      <c r="G2723" t="n">
        <v>0.4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58701-2024</t>
        </is>
      </c>
      <c r="B2724" s="1" t="n">
        <v>45635.63982638889</v>
      </c>
      <c r="C2724" s="1" t="n">
        <v>45962</v>
      </c>
      <c r="D2724" t="inlineStr">
        <is>
          <t>JÖNKÖPINGS LÄN</t>
        </is>
      </c>
      <c r="E2724" t="inlineStr">
        <is>
          <t>GISLAVED</t>
        </is>
      </c>
      <c r="G2724" t="n">
        <v>0.7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58739-2024</t>
        </is>
      </c>
      <c r="B2725" s="1" t="n">
        <v>45635.69366898148</v>
      </c>
      <c r="C2725" s="1" t="n">
        <v>45962</v>
      </c>
      <c r="D2725" t="inlineStr">
        <is>
          <t>JÖNKÖPINGS LÄN</t>
        </is>
      </c>
      <c r="E2725" t="inlineStr">
        <is>
          <t>VÄRNAMO</t>
        </is>
      </c>
      <c r="G2725" t="n">
        <v>1.3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44559-2022</t>
        </is>
      </c>
      <c r="B2726" s="1" t="n">
        <v>44840.48019675926</v>
      </c>
      <c r="C2726" s="1" t="n">
        <v>45962</v>
      </c>
      <c r="D2726" t="inlineStr">
        <is>
          <t>JÖNKÖPINGS LÄN</t>
        </is>
      </c>
      <c r="E2726" t="inlineStr">
        <is>
          <t>GISLAVED</t>
        </is>
      </c>
      <c r="G2726" t="n">
        <v>1.7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57071-2021</t>
        </is>
      </c>
      <c r="B2727" s="1" t="n">
        <v>44481</v>
      </c>
      <c r="C2727" s="1" t="n">
        <v>45962</v>
      </c>
      <c r="D2727" t="inlineStr">
        <is>
          <t>JÖNKÖPINGS LÄN</t>
        </is>
      </c>
      <c r="E2727" t="inlineStr">
        <is>
          <t>VETLANDA</t>
        </is>
      </c>
      <c r="G2727" t="n">
        <v>1.3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4327-2025</t>
        </is>
      </c>
      <c r="B2728" s="1" t="n">
        <v>45685.7355787037</v>
      </c>
      <c r="C2728" s="1" t="n">
        <v>45962</v>
      </c>
      <c r="D2728" t="inlineStr">
        <is>
          <t>JÖNKÖPINGS LÄN</t>
        </is>
      </c>
      <c r="E2728" t="inlineStr">
        <is>
          <t>NÄSSJÖ</t>
        </is>
      </c>
      <c r="G2728" t="n">
        <v>2.4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7069-2021</t>
        </is>
      </c>
      <c r="B2729" s="1" t="n">
        <v>44237</v>
      </c>
      <c r="C2729" s="1" t="n">
        <v>45962</v>
      </c>
      <c r="D2729" t="inlineStr">
        <is>
          <t>JÖNKÖPINGS LÄN</t>
        </is>
      </c>
      <c r="E2729" t="inlineStr">
        <is>
          <t>HABO</t>
        </is>
      </c>
      <c r="G2729" t="n">
        <v>2.4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21410-2024</t>
        </is>
      </c>
      <c r="B2730" s="1" t="n">
        <v>45441.36291666667</v>
      </c>
      <c r="C2730" s="1" t="n">
        <v>45962</v>
      </c>
      <c r="D2730" t="inlineStr">
        <is>
          <t>JÖNKÖPINGS LÄN</t>
        </is>
      </c>
      <c r="E2730" t="inlineStr">
        <is>
          <t>VAGGERYD</t>
        </is>
      </c>
      <c r="G2730" t="n">
        <v>9.5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49734-2024</t>
        </is>
      </c>
      <c r="B2731" s="1" t="n">
        <v>45596.84884259259</v>
      </c>
      <c r="C2731" s="1" t="n">
        <v>45962</v>
      </c>
      <c r="D2731" t="inlineStr">
        <is>
          <t>JÖNKÖPINGS LÄN</t>
        </is>
      </c>
      <c r="E2731" t="inlineStr">
        <is>
          <t>MULLSJÖ</t>
        </is>
      </c>
      <c r="G2731" t="n">
        <v>4.1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49758-2024</t>
        </is>
      </c>
      <c r="B2732" s="1" t="n">
        <v>45597.30930555556</v>
      </c>
      <c r="C2732" s="1" t="n">
        <v>45962</v>
      </c>
      <c r="D2732" t="inlineStr">
        <is>
          <t>JÖNKÖPINGS LÄN</t>
        </is>
      </c>
      <c r="E2732" t="inlineStr">
        <is>
          <t>GNOSJÖ</t>
        </is>
      </c>
      <c r="G2732" t="n">
        <v>2.5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6321-2021</t>
        </is>
      </c>
      <c r="B2733" s="1" t="n">
        <v>44235</v>
      </c>
      <c r="C2733" s="1" t="n">
        <v>45962</v>
      </c>
      <c r="D2733" t="inlineStr">
        <is>
          <t>JÖNKÖPINGS LÄN</t>
        </is>
      </c>
      <c r="E2733" t="inlineStr">
        <is>
          <t>VETLANDA</t>
        </is>
      </c>
      <c r="G2733" t="n">
        <v>1.7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4233-2025</t>
        </is>
      </c>
      <c r="B2734" s="1" t="n">
        <v>45685</v>
      </c>
      <c r="C2734" s="1" t="n">
        <v>45962</v>
      </c>
      <c r="D2734" t="inlineStr">
        <is>
          <t>JÖNKÖPINGS LÄN</t>
        </is>
      </c>
      <c r="E2734" t="inlineStr">
        <is>
          <t>TRANÅS</t>
        </is>
      </c>
      <c r="G2734" t="n">
        <v>6.3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49181-2021</t>
        </is>
      </c>
      <c r="B2735" s="1" t="n">
        <v>44454</v>
      </c>
      <c r="C2735" s="1" t="n">
        <v>45962</v>
      </c>
      <c r="D2735" t="inlineStr">
        <is>
          <t>JÖNKÖPINGS LÄN</t>
        </is>
      </c>
      <c r="E2735" t="inlineStr">
        <is>
          <t>GISLAVED</t>
        </is>
      </c>
      <c r="G2735" t="n">
        <v>2.1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31149-2024</t>
        </is>
      </c>
      <c r="B2736" s="1" t="n">
        <v>45503.29950231482</v>
      </c>
      <c r="C2736" s="1" t="n">
        <v>45962</v>
      </c>
      <c r="D2736" t="inlineStr">
        <is>
          <t>JÖNKÖPINGS LÄN</t>
        </is>
      </c>
      <c r="E2736" t="inlineStr">
        <is>
          <t>GISLAVED</t>
        </is>
      </c>
      <c r="G2736" t="n">
        <v>3.7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31172-2024</t>
        </is>
      </c>
      <c r="B2737" s="1" t="n">
        <v>45503</v>
      </c>
      <c r="C2737" s="1" t="n">
        <v>45962</v>
      </c>
      <c r="D2737" t="inlineStr">
        <is>
          <t>JÖNKÖPINGS LÄN</t>
        </is>
      </c>
      <c r="E2737" t="inlineStr">
        <is>
          <t>NÄSSJÖ</t>
        </is>
      </c>
      <c r="G2737" t="n">
        <v>0.7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65452-2020</t>
        </is>
      </c>
      <c r="B2738" s="1" t="n">
        <v>44169</v>
      </c>
      <c r="C2738" s="1" t="n">
        <v>45962</v>
      </c>
      <c r="D2738" t="inlineStr">
        <is>
          <t>JÖNKÖPINGS LÄN</t>
        </is>
      </c>
      <c r="E2738" t="inlineStr">
        <is>
          <t>ANEBY</t>
        </is>
      </c>
      <c r="G2738" t="n">
        <v>4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16153-2023</t>
        </is>
      </c>
      <c r="B2739" s="1" t="n">
        <v>45027</v>
      </c>
      <c r="C2739" s="1" t="n">
        <v>45962</v>
      </c>
      <c r="D2739" t="inlineStr">
        <is>
          <t>JÖNKÖPINGS LÄN</t>
        </is>
      </c>
      <c r="E2739" t="inlineStr">
        <is>
          <t>TRANÅS</t>
        </is>
      </c>
      <c r="F2739" t="inlineStr">
        <is>
          <t>Allmännings- och besparingsskogar</t>
        </is>
      </c>
      <c r="G2739" t="n">
        <v>14.5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48890-2023</t>
        </is>
      </c>
      <c r="B2740" s="1" t="n">
        <v>45209.48993055556</v>
      </c>
      <c r="C2740" s="1" t="n">
        <v>45962</v>
      </c>
      <c r="D2740" t="inlineStr">
        <is>
          <t>JÖNKÖPINGS LÄN</t>
        </is>
      </c>
      <c r="E2740" t="inlineStr">
        <is>
          <t>NÄSSJÖ</t>
        </is>
      </c>
      <c r="G2740" t="n">
        <v>0.7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48893-2023</t>
        </is>
      </c>
      <c r="B2741" s="1" t="n">
        <v>45209.49479166666</v>
      </c>
      <c r="C2741" s="1" t="n">
        <v>45962</v>
      </c>
      <c r="D2741" t="inlineStr">
        <is>
          <t>JÖNKÖPINGS LÄN</t>
        </is>
      </c>
      <c r="E2741" t="inlineStr">
        <is>
          <t>SÄVSJÖ</t>
        </is>
      </c>
      <c r="G2741" t="n">
        <v>1.4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44331-2023</t>
        </is>
      </c>
      <c r="B2742" s="1" t="n">
        <v>45188.66708333333</v>
      </c>
      <c r="C2742" s="1" t="n">
        <v>45962</v>
      </c>
      <c r="D2742" t="inlineStr">
        <is>
          <t>JÖNKÖPINGS LÄN</t>
        </is>
      </c>
      <c r="E2742" t="inlineStr">
        <is>
          <t>VETLANDA</t>
        </is>
      </c>
      <c r="G2742" t="n">
        <v>1.6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2503-2023</t>
        </is>
      </c>
      <c r="B2743" s="1" t="n">
        <v>44943.56219907408</v>
      </c>
      <c r="C2743" s="1" t="n">
        <v>45962</v>
      </c>
      <c r="D2743" t="inlineStr">
        <is>
          <t>JÖNKÖPINGS LÄN</t>
        </is>
      </c>
      <c r="E2743" t="inlineStr">
        <is>
          <t>GISLAVED</t>
        </is>
      </c>
      <c r="G2743" t="n">
        <v>2.7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10186-2025</t>
        </is>
      </c>
      <c r="B2744" s="1" t="n">
        <v>45719.68841435185</v>
      </c>
      <c r="C2744" s="1" t="n">
        <v>45962</v>
      </c>
      <c r="D2744" t="inlineStr">
        <is>
          <t>JÖNKÖPINGS LÄN</t>
        </is>
      </c>
      <c r="E2744" t="inlineStr">
        <is>
          <t>GISLAVED</t>
        </is>
      </c>
      <c r="G2744" t="n">
        <v>2.2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10188-2025</t>
        </is>
      </c>
      <c r="B2745" s="1" t="n">
        <v>45719.69400462963</v>
      </c>
      <c r="C2745" s="1" t="n">
        <v>45962</v>
      </c>
      <c r="D2745" t="inlineStr">
        <is>
          <t>JÖNKÖPINGS LÄN</t>
        </is>
      </c>
      <c r="E2745" t="inlineStr">
        <is>
          <t>GISLAVED</t>
        </is>
      </c>
      <c r="G2745" t="n">
        <v>0.6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46462-2023</t>
        </is>
      </c>
      <c r="B2746" s="1" t="n">
        <v>45197</v>
      </c>
      <c r="C2746" s="1" t="n">
        <v>45962</v>
      </c>
      <c r="D2746" t="inlineStr">
        <is>
          <t>JÖNKÖPINGS LÄN</t>
        </is>
      </c>
      <c r="E2746" t="inlineStr">
        <is>
          <t>JÖNKÖPING</t>
        </is>
      </c>
      <c r="G2746" t="n">
        <v>3.3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46468-2023</t>
        </is>
      </c>
      <c r="B2747" s="1" t="n">
        <v>45197</v>
      </c>
      <c r="C2747" s="1" t="n">
        <v>45962</v>
      </c>
      <c r="D2747" t="inlineStr">
        <is>
          <t>JÖNKÖPINGS LÄN</t>
        </is>
      </c>
      <c r="E2747" t="inlineStr">
        <is>
          <t>VÄRNAMO</t>
        </is>
      </c>
      <c r="G2747" t="n">
        <v>6.9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46471-2023</t>
        </is>
      </c>
      <c r="B2748" s="1" t="n">
        <v>45197.63068287037</v>
      </c>
      <c r="C2748" s="1" t="n">
        <v>45962</v>
      </c>
      <c r="D2748" t="inlineStr">
        <is>
          <t>JÖNKÖPINGS LÄN</t>
        </is>
      </c>
      <c r="E2748" t="inlineStr">
        <is>
          <t>VÄRNAMO</t>
        </is>
      </c>
      <c r="G2748" t="n">
        <v>0.7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2070-2024</t>
        </is>
      </c>
      <c r="B2749" s="1" t="n">
        <v>45309</v>
      </c>
      <c r="C2749" s="1" t="n">
        <v>45962</v>
      </c>
      <c r="D2749" t="inlineStr">
        <is>
          <t>JÖNKÖPINGS LÄN</t>
        </is>
      </c>
      <c r="E2749" t="inlineStr">
        <is>
          <t>VETLANDA</t>
        </is>
      </c>
      <c r="G2749" t="n">
        <v>0.6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38256-2024</t>
        </is>
      </c>
      <c r="B2750" s="1" t="n">
        <v>45545.59177083334</v>
      </c>
      <c r="C2750" s="1" t="n">
        <v>45962</v>
      </c>
      <c r="D2750" t="inlineStr">
        <is>
          <t>JÖNKÖPINGS LÄN</t>
        </is>
      </c>
      <c r="E2750" t="inlineStr">
        <is>
          <t>GISLAVED</t>
        </is>
      </c>
      <c r="G2750" t="n">
        <v>0.4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11281-2024</t>
        </is>
      </c>
      <c r="B2751" s="1" t="n">
        <v>45371.71887731482</v>
      </c>
      <c r="C2751" s="1" t="n">
        <v>45962</v>
      </c>
      <c r="D2751" t="inlineStr">
        <is>
          <t>JÖNKÖPINGS LÄN</t>
        </is>
      </c>
      <c r="E2751" t="inlineStr">
        <is>
          <t>MULLSJÖ</t>
        </is>
      </c>
      <c r="G2751" t="n">
        <v>2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2156-2024</t>
        </is>
      </c>
      <c r="B2752" s="1" t="n">
        <v>45309.59212962963</v>
      </c>
      <c r="C2752" s="1" t="n">
        <v>45962</v>
      </c>
      <c r="D2752" t="inlineStr">
        <is>
          <t>JÖNKÖPINGS LÄN</t>
        </is>
      </c>
      <c r="E2752" t="inlineStr">
        <is>
          <t>VETLANDA</t>
        </is>
      </c>
      <c r="G2752" t="n">
        <v>1.2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38919-2024</t>
        </is>
      </c>
      <c r="B2753" s="1" t="n">
        <v>45547.84315972222</v>
      </c>
      <c r="C2753" s="1" t="n">
        <v>45962</v>
      </c>
      <c r="D2753" t="inlineStr">
        <is>
          <t>JÖNKÖPINGS LÄN</t>
        </is>
      </c>
      <c r="E2753" t="inlineStr">
        <is>
          <t>JÖNKÖPING</t>
        </is>
      </c>
      <c r="F2753" t="inlineStr">
        <is>
          <t>Sveaskog</t>
        </is>
      </c>
      <c r="G2753" t="n">
        <v>0.7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50710-2023</t>
        </is>
      </c>
      <c r="B2754" s="1" t="n">
        <v>45217.56189814815</v>
      </c>
      <c r="C2754" s="1" t="n">
        <v>45962</v>
      </c>
      <c r="D2754" t="inlineStr">
        <is>
          <t>JÖNKÖPINGS LÄN</t>
        </is>
      </c>
      <c r="E2754" t="inlineStr">
        <is>
          <t>HABO</t>
        </is>
      </c>
      <c r="G2754" t="n">
        <v>1.4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51500-2023</t>
        </is>
      </c>
      <c r="B2755" s="1" t="n">
        <v>45222.35112268518</v>
      </c>
      <c r="C2755" s="1" t="n">
        <v>45962</v>
      </c>
      <c r="D2755" t="inlineStr">
        <is>
          <t>JÖNKÖPINGS LÄN</t>
        </is>
      </c>
      <c r="E2755" t="inlineStr">
        <is>
          <t>GISLAVED</t>
        </is>
      </c>
      <c r="G2755" t="n">
        <v>0.7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1752-2023</t>
        </is>
      </c>
      <c r="B2756" s="1" t="n">
        <v>44938.53719907408</v>
      </c>
      <c r="C2756" s="1" t="n">
        <v>45962</v>
      </c>
      <c r="D2756" t="inlineStr">
        <is>
          <t>JÖNKÖPINGS LÄN</t>
        </is>
      </c>
      <c r="E2756" t="inlineStr">
        <is>
          <t>JÖNKÖPING</t>
        </is>
      </c>
      <c r="F2756" t="inlineStr">
        <is>
          <t>Kyrkan</t>
        </is>
      </c>
      <c r="G2756" t="n">
        <v>1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31545-2023</t>
        </is>
      </c>
      <c r="B2757" s="1" t="n">
        <v>45117.35921296296</v>
      </c>
      <c r="C2757" s="1" t="n">
        <v>45962</v>
      </c>
      <c r="D2757" t="inlineStr">
        <is>
          <t>JÖNKÖPINGS LÄN</t>
        </is>
      </c>
      <c r="E2757" t="inlineStr">
        <is>
          <t>GISLAVED</t>
        </is>
      </c>
      <c r="G2757" t="n">
        <v>1.2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16350-2022</t>
        </is>
      </c>
      <c r="B2758" s="1" t="n">
        <v>44670</v>
      </c>
      <c r="C2758" s="1" t="n">
        <v>45962</v>
      </c>
      <c r="D2758" t="inlineStr">
        <is>
          <t>JÖNKÖPINGS LÄN</t>
        </is>
      </c>
      <c r="E2758" t="inlineStr">
        <is>
          <t>MULLSJÖ</t>
        </is>
      </c>
      <c r="G2758" t="n">
        <v>1.4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15653-2025</t>
        </is>
      </c>
      <c r="B2759" s="1" t="n">
        <v>45748.40296296297</v>
      </c>
      <c r="C2759" s="1" t="n">
        <v>45962</v>
      </c>
      <c r="D2759" t="inlineStr">
        <is>
          <t>JÖNKÖPINGS LÄN</t>
        </is>
      </c>
      <c r="E2759" t="inlineStr">
        <is>
          <t>GNOSJÖ</t>
        </is>
      </c>
      <c r="G2759" t="n">
        <v>0.6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24531-2024</t>
        </is>
      </c>
      <c r="B2760" s="1" t="n">
        <v>45460.38153935185</v>
      </c>
      <c r="C2760" s="1" t="n">
        <v>45962</v>
      </c>
      <c r="D2760" t="inlineStr">
        <is>
          <t>JÖNKÖPINGS LÄN</t>
        </is>
      </c>
      <c r="E2760" t="inlineStr">
        <is>
          <t>NÄSSJÖ</t>
        </is>
      </c>
      <c r="G2760" t="n">
        <v>2.2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3589-2024</t>
        </is>
      </c>
      <c r="B2761" s="1" t="n">
        <v>45320.69017361111</v>
      </c>
      <c r="C2761" s="1" t="n">
        <v>45962</v>
      </c>
      <c r="D2761" t="inlineStr">
        <is>
          <t>JÖNKÖPINGS LÄN</t>
        </is>
      </c>
      <c r="E2761" t="inlineStr">
        <is>
          <t>NÄSSJÖ</t>
        </is>
      </c>
      <c r="G2761" t="n">
        <v>0.6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27445-2023</t>
        </is>
      </c>
      <c r="B2762" s="1" t="n">
        <v>45097.40740740741</v>
      </c>
      <c r="C2762" s="1" t="n">
        <v>45962</v>
      </c>
      <c r="D2762" t="inlineStr">
        <is>
          <t>JÖNKÖPINGS LÄN</t>
        </is>
      </c>
      <c r="E2762" t="inlineStr">
        <is>
          <t>VETLANDA</t>
        </is>
      </c>
      <c r="G2762" t="n">
        <v>3.3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62294-2023</t>
        </is>
      </c>
      <c r="B2763" s="1" t="n">
        <v>45267</v>
      </c>
      <c r="C2763" s="1" t="n">
        <v>45962</v>
      </c>
      <c r="D2763" t="inlineStr">
        <is>
          <t>JÖNKÖPINGS LÄN</t>
        </is>
      </c>
      <c r="E2763" t="inlineStr">
        <is>
          <t>VÄRNAMO</t>
        </is>
      </c>
      <c r="G2763" t="n">
        <v>1.2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69072-2020</t>
        </is>
      </c>
      <c r="B2764" s="1" t="n">
        <v>44187</v>
      </c>
      <c r="C2764" s="1" t="n">
        <v>45962</v>
      </c>
      <c r="D2764" t="inlineStr">
        <is>
          <t>JÖNKÖPINGS LÄN</t>
        </is>
      </c>
      <c r="E2764" t="inlineStr">
        <is>
          <t>VETLANDA</t>
        </is>
      </c>
      <c r="G2764" t="n">
        <v>1.7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62953-2023</t>
        </is>
      </c>
      <c r="B2765" s="1" t="n">
        <v>45272</v>
      </c>
      <c r="C2765" s="1" t="n">
        <v>45962</v>
      </c>
      <c r="D2765" t="inlineStr">
        <is>
          <t>JÖNKÖPINGS LÄN</t>
        </is>
      </c>
      <c r="E2765" t="inlineStr">
        <is>
          <t>VETLANDA</t>
        </is>
      </c>
      <c r="G2765" t="n">
        <v>1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15700-2024</t>
        </is>
      </c>
      <c r="B2766" s="1" t="n">
        <v>45404.46775462963</v>
      </c>
      <c r="C2766" s="1" t="n">
        <v>45962</v>
      </c>
      <c r="D2766" t="inlineStr">
        <is>
          <t>JÖNKÖPINGS LÄN</t>
        </is>
      </c>
      <c r="E2766" t="inlineStr">
        <is>
          <t>GISLAVED</t>
        </is>
      </c>
      <c r="G2766" t="n">
        <v>0.9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15708-2024</t>
        </is>
      </c>
      <c r="B2767" s="1" t="n">
        <v>45404.475</v>
      </c>
      <c r="C2767" s="1" t="n">
        <v>45962</v>
      </c>
      <c r="D2767" t="inlineStr">
        <is>
          <t>JÖNKÖPINGS LÄN</t>
        </is>
      </c>
      <c r="E2767" t="inlineStr">
        <is>
          <t>GISLAVED</t>
        </is>
      </c>
      <c r="G2767" t="n">
        <v>0.5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53256-2021</t>
        </is>
      </c>
      <c r="B2768" s="1" t="n">
        <v>44468</v>
      </c>
      <c r="C2768" s="1" t="n">
        <v>45962</v>
      </c>
      <c r="D2768" t="inlineStr">
        <is>
          <t>JÖNKÖPINGS LÄN</t>
        </is>
      </c>
      <c r="E2768" t="inlineStr">
        <is>
          <t>JÖNKÖPING</t>
        </is>
      </c>
      <c r="G2768" t="n">
        <v>1.9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596-2023</t>
        </is>
      </c>
      <c r="B2769" s="1" t="n">
        <v>44925</v>
      </c>
      <c r="C2769" s="1" t="n">
        <v>45962</v>
      </c>
      <c r="D2769" t="inlineStr">
        <is>
          <t>JÖNKÖPINGS LÄN</t>
        </is>
      </c>
      <c r="E2769" t="inlineStr">
        <is>
          <t>EKSJÖ</t>
        </is>
      </c>
      <c r="G2769" t="n">
        <v>3.5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29625-2024</t>
        </is>
      </c>
      <c r="B2770" s="1" t="n">
        <v>45484.65953703703</v>
      </c>
      <c r="C2770" s="1" t="n">
        <v>45962</v>
      </c>
      <c r="D2770" t="inlineStr">
        <is>
          <t>JÖNKÖPINGS LÄN</t>
        </is>
      </c>
      <c r="E2770" t="inlineStr">
        <is>
          <t>GISLAVED</t>
        </is>
      </c>
      <c r="F2770" t="inlineStr">
        <is>
          <t>Kyrkan</t>
        </is>
      </c>
      <c r="G2770" t="n">
        <v>0.6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3850-2023</t>
        </is>
      </c>
      <c r="B2771" s="1" t="n">
        <v>44951.68246527778</v>
      </c>
      <c r="C2771" s="1" t="n">
        <v>45962</v>
      </c>
      <c r="D2771" t="inlineStr">
        <is>
          <t>JÖNKÖPINGS LÄN</t>
        </is>
      </c>
      <c r="E2771" t="inlineStr">
        <is>
          <t>GISLAVED</t>
        </is>
      </c>
      <c r="G2771" t="n">
        <v>8.6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29408-2023</t>
        </is>
      </c>
      <c r="B2772" s="1" t="n">
        <v>45106</v>
      </c>
      <c r="C2772" s="1" t="n">
        <v>45962</v>
      </c>
      <c r="D2772" t="inlineStr">
        <is>
          <t>JÖNKÖPINGS LÄN</t>
        </is>
      </c>
      <c r="E2772" t="inlineStr">
        <is>
          <t>HABO</t>
        </is>
      </c>
      <c r="G2772" t="n">
        <v>1.2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22788-2024</t>
        </is>
      </c>
      <c r="B2773" s="1" t="n">
        <v>45448</v>
      </c>
      <c r="C2773" s="1" t="n">
        <v>45962</v>
      </c>
      <c r="D2773" t="inlineStr">
        <is>
          <t>JÖNKÖPINGS LÄN</t>
        </is>
      </c>
      <c r="E2773" t="inlineStr">
        <is>
          <t>NÄSSJÖ</t>
        </is>
      </c>
      <c r="G2773" t="n">
        <v>2.4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22296-2024</t>
        </is>
      </c>
      <c r="B2774" s="1" t="n">
        <v>45446.56206018518</v>
      </c>
      <c r="C2774" s="1" t="n">
        <v>45962</v>
      </c>
      <c r="D2774" t="inlineStr">
        <is>
          <t>JÖNKÖPINGS LÄN</t>
        </is>
      </c>
      <c r="E2774" t="inlineStr">
        <is>
          <t>VÄRNAMO</t>
        </is>
      </c>
      <c r="G2774" t="n">
        <v>1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11346-2024</t>
        </is>
      </c>
      <c r="B2775" s="1" t="n">
        <v>45372.33732638889</v>
      </c>
      <c r="C2775" s="1" t="n">
        <v>45962</v>
      </c>
      <c r="D2775" t="inlineStr">
        <is>
          <t>JÖNKÖPINGS LÄN</t>
        </is>
      </c>
      <c r="E2775" t="inlineStr">
        <is>
          <t>ANEBY</t>
        </is>
      </c>
      <c r="G2775" t="n">
        <v>0.8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9868-2024</t>
        </is>
      </c>
      <c r="B2776" s="1" t="n">
        <v>45363</v>
      </c>
      <c r="C2776" s="1" t="n">
        <v>45962</v>
      </c>
      <c r="D2776" t="inlineStr">
        <is>
          <t>JÖNKÖPINGS LÄN</t>
        </is>
      </c>
      <c r="E2776" t="inlineStr">
        <is>
          <t>VETLANDA</t>
        </is>
      </c>
      <c r="F2776" t="inlineStr">
        <is>
          <t>Kyrkan</t>
        </is>
      </c>
      <c r="G2776" t="n">
        <v>0.6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11480-2024</t>
        </is>
      </c>
      <c r="B2777" s="1" t="n">
        <v>45372</v>
      </c>
      <c r="C2777" s="1" t="n">
        <v>45962</v>
      </c>
      <c r="D2777" t="inlineStr">
        <is>
          <t>JÖNKÖPINGS LÄN</t>
        </is>
      </c>
      <c r="E2777" t="inlineStr">
        <is>
          <t>NÄSSJÖ</t>
        </is>
      </c>
      <c r="G2777" t="n">
        <v>1.9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9873-2024</t>
        </is>
      </c>
      <c r="B2778" s="1" t="n">
        <v>45363.44353009259</v>
      </c>
      <c r="C2778" s="1" t="n">
        <v>45962</v>
      </c>
      <c r="D2778" t="inlineStr">
        <is>
          <t>JÖNKÖPINGS LÄN</t>
        </is>
      </c>
      <c r="E2778" t="inlineStr">
        <is>
          <t>ANEBY</t>
        </is>
      </c>
      <c r="G2778" t="n">
        <v>1.5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14642-2025</t>
        </is>
      </c>
      <c r="B2779" s="1" t="n">
        <v>45742</v>
      </c>
      <c r="C2779" s="1" t="n">
        <v>45962</v>
      </c>
      <c r="D2779" t="inlineStr">
        <is>
          <t>JÖNKÖPINGS LÄN</t>
        </is>
      </c>
      <c r="E2779" t="inlineStr">
        <is>
          <t>NÄSSJÖ</t>
        </is>
      </c>
      <c r="G2779" t="n">
        <v>1.3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2549-2024</t>
        </is>
      </c>
      <c r="B2780" s="1" t="n">
        <v>45313</v>
      </c>
      <c r="C2780" s="1" t="n">
        <v>45962</v>
      </c>
      <c r="D2780" t="inlineStr">
        <is>
          <t>JÖNKÖPINGS LÄN</t>
        </is>
      </c>
      <c r="E2780" t="inlineStr">
        <is>
          <t>VETLANDA</t>
        </is>
      </c>
      <c r="G2780" t="n">
        <v>1.2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11489-2024</t>
        </is>
      </c>
      <c r="B2781" s="1" t="n">
        <v>45372</v>
      </c>
      <c r="C2781" s="1" t="n">
        <v>45962</v>
      </c>
      <c r="D2781" t="inlineStr">
        <is>
          <t>JÖNKÖPINGS LÄN</t>
        </is>
      </c>
      <c r="E2781" t="inlineStr">
        <is>
          <t>NÄSSJÖ</t>
        </is>
      </c>
      <c r="G2781" t="n">
        <v>2.1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32245-2023</t>
        </is>
      </c>
      <c r="B2782" s="1" t="n">
        <v>45119.99208333333</v>
      </c>
      <c r="C2782" s="1" t="n">
        <v>45962</v>
      </c>
      <c r="D2782" t="inlineStr">
        <is>
          <t>JÖNKÖPINGS LÄN</t>
        </is>
      </c>
      <c r="E2782" t="inlineStr">
        <is>
          <t>HABO</t>
        </is>
      </c>
      <c r="G2782" t="n">
        <v>0.7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32246-2023</t>
        </is>
      </c>
      <c r="B2783" s="1" t="n">
        <v>45120</v>
      </c>
      <c r="C2783" s="1" t="n">
        <v>45962</v>
      </c>
      <c r="D2783" t="inlineStr">
        <is>
          <t>JÖNKÖPINGS LÄN</t>
        </is>
      </c>
      <c r="E2783" t="inlineStr">
        <is>
          <t>HABO</t>
        </is>
      </c>
      <c r="G2783" t="n">
        <v>0.6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32247-2023</t>
        </is>
      </c>
      <c r="B2784" s="1" t="n">
        <v>45120.00594907408</v>
      </c>
      <c r="C2784" s="1" t="n">
        <v>45962</v>
      </c>
      <c r="D2784" t="inlineStr">
        <is>
          <t>JÖNKÖPINGS LÄN</t>
        </is>
      </c>
      <c r="E2784" t="inlineStr">
        <is>
          <t>HABO</t>
        </is>
      </c>
      <c r="G2784" t="n">
        <v>0.6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32253-2023</t>
        </is>
      </c>
      <c r="B2785" s="1" t="n">
        <v>45120.05320601852</v>
      </c>
      <c r="C2785" s="1" t="n">
        <v>45962</v>
      </c>
      <c r="D2785" t="inlineStr">
        <is>
          <t>JÖNKÖPINGS LÄN</t>
        </is>
      </c>
      <c r="E2785" t="inlineStr">
        <is>
          <t>HABO</t>
        </is>
      </c>
      <c r="G2785" t="n">
        <v>2.9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28402-2023</t>
        </is>
      </c>
      <c r="B2786" s="1" t="n">
        <v>45100.56320601852</v>
      </c>
      <c r="C2786" s="1" t="n">
        <v>45962</v>
      </c>
      <c r="D2786" t="inlineStr">
        <is>
          <t>JÖNKÖPINGS LÄN</t>
        </is>
      </c>
      <c r="E2786" t="inlineStr">
        <is>
          <t>GISLAVED</t>
        </is>
      </c>
      <c r="G2786" t="n">
        <v>3.9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16122-2025</t>
        </is>
      </c>
      <c r="B2787" s="1" t="n">
        <v>45750.40476851852</v>
      </c>
      <c r="C2787" s="1" t="n">
        <v>45962</v>
      </c>
      <c r="D2787" t="inlineStr">
        <is>
          <t>JÖNKÖPINGS LÄN</t>
        </is>
      </c>
      <c r="E2787" t="inlineStr">
        <is>
          <t>JÖNKÖPING</t>
        </is>
      </c>
      <c r="G2787" t="n">
        <v>1.5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55808-2023</t>
        </is>
      </c>
      <c r="B2788" s="1" t="n">
        <v>45239.57196759259</v>
      </c>
      <c r="C2788" s="1" t="n">
        <v>45962</v>
      </c>
      <c r="D2788" t="inlineStr">
        <is>
          <t>JÖNKÖPINGS LÄN</t>
        </is>
      </c>
      <c r="E2788" t="inlineStr">
        <is>
          <t>EKSJÖ</t>
        </is>
      </c>
      <c r="G2788" t="n">
        <v>4.1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43156-2024</t>
        </is>
      </c>
      <c r="B2789" s="1" t="n">
        <v>45567.64372685185</v>
      </c>
      <c r="C2789" s="1" t="n">
        <v>45962</v>
      </c>
      <c r="D2789" t="inlineStr">
        <is>
          <t>JÖNKÖPINGS LÄN</t>
        </is>
      </c>
      <c r="E2789" t="inlineStr">
        <is>
          <t>NÄSSJÖ</t>
        </is>
      </c>
      <c r="G2789" t="n">
        <v>1.3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46609-2023</t>
        </is>
      </c>
      <c r="B2790" s="1" t="n">
        <v>45198.39920138889</v>
      </c>
      <c r="C2790" s="1" t="n">
        <v>45962</v>
      </c>
      <c r="D2790" t="inlineStr">
        <is>
          <t>JÖNKÖPINGS LÄN</t>
        </is>
      </c>
      <c r="E2790" t="inlineStr">
        <is>
          <t>SÄVSJÖ</t>
        </is>
      </c>
      <c r="G2790" t="n">
        <v>1.4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19229-2025</t>
        </is>
      </c>
      <c r="B2791" s="1" t="n">
        <v>45769.45645833333</v>
      </c>
      <c r="C2791" s="1" t="n">
        <v>45962</v>
      </c>
      <c r="D2791" t="inlineStr">
        <is>
          <t>JÖNKÖPINGS LÄN</t>
        </is>
      </c>
      <c r="E2791" t="inlineStr">
        <is>
          <t>VÄRNAMO</t>
        </is>
      </c>
      <c r="G2791" t="n">
        <v>0.7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1587-2025</t>
        </is>
      </c>
      <c r="B2792" s="1" t="n">
        <v>45670.57783564815</v>
      </c>
      <c r="C2792" s="1" t="n">
        <v>45962</v>
      </c>
      <c r="D2792" t="inlineStr">
        <is>
          <t>JÖNKÖPINGS LÄN</t>
        </is>
      </c>
      <c r="E2792" t="inlineStr">
        <is>
          <t>VETLANDA</t>
        </is>
      </c>
      <c r="G2792" t="n">
        <v>0.7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7885-2024</t>
        </is>
      </c>
      <c r="B2793" s="1" t="n">
        <v>45349</v>
      </c>
      <c r="C2793" s="1" t="n">
        <v>45962</v>
      </c>
      <c r="D2793" t="inlineStr">
        <is>
          <t>JÖNKÖPINGS LÄN</t>
        </is>
      </c>
      <c r="E2793" t="inlineStr">
        <is>
          <t>JÖNKÖPING</t>
        </is>
      </c>
      <c r="G2793" t="n">
        <v>0.7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8968-2024</t>
        </is>
      </c>
      <c r="B2794" s="1" t="n">
        <v>45357</v>
      </c>
      <c r="C2794" s="1" t="n">
        <v>45962</v>
      </c>
      <c r="D2794" t="inlineStr">
        <is>
          <t>JÖNKÖPINGS LÄN</t>
        </is>
      </c>
      <c r="E2794" t="inlineStr">
        <is>
          <t>VÄRNAMO</t>
        </is>
      </c>
      <c r="F2794" t="inlineStr">
        <is>
          <t>Sveaskog</t>
        </is>
      </c>
      <c r="G2794" t="n">
        <v>4.8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9070-2024</t>
        </is>
      </c>
      <c r="B2795" s="1" t="n">
        <v>45357</v>
      </c>
      <c r="C2795" s="1" t="n">
        <v>45962</v>
      </c>
      <c r="D2795" t="inlineStr">
        <is>
          <t>JÖNKÖPINGS LÄN</t>
        </is>
      </c>
      <c r="E2795" t="inlineStr">
        <is>
          <t>ANEBY</t>
        </is>
      </c>
      <c r="G2795" t="n">
        <v>2.7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3933-2023</t>
        </is>
      </c>
      <c r="B2796" s="1" t="n">
        <v>44952.35163194445</v>
      </c>
      <c r="C2796" s="1" t="n">
        <v>45962</v>
      </c>
      <c r="D2796" t="inlineStr">
        <is>
          <t>JÖNKÖPINGS LÄN</t>
        </is>
      </c>
      <c r="E2796" t="inlineStr">
        <is>
          <t>ANEBY</t>
        </is>
      </c>
      <c r="G2796" t="n">
        <v>0.5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50379-2022</t>
        </is>
      </c>
      <c r="B2797" s="1" t="n">
        <v>44866.37520833333</v>
      </c>
      <c r="C2797" s="1" t="n">
        <v>45962</v>
      </c>
      <c r="D2797" t="inlineStr">
        <is>
          <t>JÖNKÖPINGS LÄN</t>
        </is>
      </c>
      <c r="E2797" t="inlineStr">
        <is>
          <t>VAGGERYD</t>
        </is>
      </c>
      <c r="G2797" t="n">
        <v>1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49885-2023</t>
        </is>
      </c>
      <c r="B2798" s="1" t="n">
        <v>45213</v>
      </c>
      <c r="C2798" s="1" t="n">
        <v>45962</v>
      </c>
      <c r="D2798" t="inlineStr">
        <is>
          <t>JÖNKÖPINGS LÄN</t>
        </is>
      </c>
      <c r="E2798" t="inlineStr">
        <is>
          <t>VAGGERYD</t>
        </is>
      </c>
      <c r="G2798" t="n">
        <v>5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58578-2022</t>
        </is>
      </c>
      <c r="B2799" s="1" t="n">
        <v>44902.52461805556</v>
      </c>
      <c r="C2799" s="1" t="n">
        <v>45962</v>
      </c>
      <c r="D2799" t="inlineStr">
        <is>
          <t>JÖNKÖPINGS LÄN</t>
        </is>
      </c>
      <c r="E2799" t="inlineStr">
        <is>
          <t>VETLANDA</t>
        </is>
      </c>
      <c r="G2799" t="n">
        <v>0.6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11507-2021</t>
        </is>
      </c>
      <c r="B2800" s="1" t="n">
        <v>44264</v>
      </c>
      <c r="C2800" s="1" t="n">
        <v>45962</v>
      </c>
      <c r="D2800" t="inlineStr">
        <is>
          <t>JÖNKÖPINGS LÄN</t>
        </is>
      </c>
      <c r="E2800" t="inlineStr">
        <is>
          <t>VETLANDA</t>
        </is>
      </c>
      <c r="G2800" t="n">
        <v>0.7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13798-2025</t>
        </is>
      </c>
      <c r="B2801" s="1" t="n">
        <v>45737.48446759259</v>
      </c>
      <c r="C2801" s="1" t="n">
        <v>45962</v>
      </c>
      <c r="D2801" t="inlineStr">
        <is>
          <t>JÖNKÖPINGS LÄN</t>
        </is>
      </c>
      <c r="E2801" t="inlineStr">
        <is>
          <t>GISLAVED</t>
        </is>
      </c>
      <c r="F2801" t="inlineStr">
        <is>
          <t>Sveaskog</t>
        </is>
      </c>
      <c r="G2801" t="n">
        <v>2.3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4621-2025</t>
        </is>
      </c>
      <c r="B2802" s="1" t="n">
        <v>45687.61872685186</v>
      </c>
      <c r="C2802" s="1" t="n">
        <v>45962</v>
      </c>
      <c r="D2802" t="inlineStr">
        <is>
          <t>JÖNKÖPINGS LÄN</t>
        </is>
      </c>
      <c r="E2802" t="inlineStr">
        <is>
          <t>GISLAVED</t>
        </is>
      </c>
      <c r="G2802" t="n">
        <v>1.9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2513-2023</t>
        </is>
      </c>
      <c r="B2803" s="1" t="n">
        <v>44943</v>
      </c>
      <c r="C2803" s="1" t="n">
        <v>45962</v>
      </c>
      <c r="D2803" t="inlineStr">
        <is>
          <t>JÖNKÖPINGS LÄN</t>
        </is>
      </c>
      <c r="E2803" t="inlineStr">
        <is>
          <t>JÖNKÖPING</t>
        </is>
      </c>
      <c r="G2803" t="n">
        <v>3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14674-2022</t>
        </is>
      </c>
      <c r="B2804" s="1" t="n">
        <v>44655</v>
      </c>
      <c r="C2804" s="1" t="n">
        <v>45962</v>
      </c>
      <c r="D2804" t="inlineStr">
        <is>
          <t>JÖNKÖPINGS LÄN</t>
        </is>
      </c>
      <c r="E2804" t="inlineStr">
        <is>
          <t>VETLANDA</t>
        </is>
      </c>
      <c r="G2804" t="n">
        <v>1.2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7900-2025</t>
        </is>
      </c>
      <c r="B2805" s="1" t="n">
        <v>45707.31686342593</v>
      </c>
      <c r="C2805" s="1" t="n">
        <v>45962</v>
      </c>
      <c r="D2805" t="inlineStr">
        <is>
          <t>JÖNKÖPINGS LÄN</t>
        </is>
      </c>
      <c r="E2805" t="inlineStr">
        <is>
          <t>VÄRNAMO</t>
        </is>
      </c>
      <c r="G2805" t="n">
        <v>1.4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7901-2025</t>
        </is>
      </c>
      <c r="B2806" s="1" t="n">
        <v>45707.32047453704</v>
      </c>
      <c r="C2806" s="1" t="n">
        <v>45962</v>
      </c>
      <c r="D2806" t="inlineStr">
        <is>
          <t>JÖNKÖPINGS LÄN</t>
        </is>
      </c>
      <c r="E2806" t="inlineStr">
        <is>
          <t>VÄRNAMO</t>
        </is>
      </c>
      <c r="G2806" t="n">
        <v>1.1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2547-2023</t>
        </is>
      </c>
      <c r="B2807" s="1" t="n">
        <v>44943.65971064815</v>
      </c>
      <c r="C2807" s="1" t="n">
        <v>45962</v>
      </c>
      <c r="D2807" t="inlineStr">
        <is>
          <t>JÖNKÖPINGS LÄN</t>
        </is>
      </c>
      <c r="E2807" t="inlineStr">
        <is>
          <t>VÄRNAMO</t>
        </is>
      </c>
      <c r="G2807" t="n">
        <v>7.6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7945-2025</t>
        </is>
      </c>
      <c r="B2808" s="1" t="n">
        <v>45707.40759259259</v>
      </c>
      <c r="C2808" s="1" t="n">
        <v>45962</v>
      </c>
      <c r="D2808" t="inlineStr">
        <is>
          <t>JÖNKÖPINGS LÄN</t>
        </is>
      </c>
      <c r="E2808" t="inlineStr">
        <is>
          <t>ANEBY</t>
        </is>
      </c>
      <c r="G2808" t="n">
        <v>8.9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67449-2020</t>
        </is>
      </c>
      <c r="B2809" s="1" t="n">
        <v>44181</v>
      </c>
      <c r="C2809" s="1" t="n">
        <v>45962</v>
      </c>
      <c r="D2809" t="inlineStr">
        <is>
          <t>JÖNKÖPINGS LÄN</t>
        </is>
      </c>
      <c r="E2809" t="inlineStr">
        <is>
          <t>EKSJÖ</t>
        </is>
      </c>
      <c r="G2809" t="n">
        <v>4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35359-2023</t>
        </is>
      </c>
      <c r="B2810" s="1" t="n">
        <v>45146</v>
      </c>
      <c r="C2810" s="1" t="n">
        <v>45962</v>
      </c>
      <c r="D2810" t="inlineStr">
        <is>
          <t>JÖNKÖPINGS LÄN</t>
        </is>
      </c>
      <c r="E2810" t="inlineStr">
        <is>
          <t>VÄRNAMO</t>
        </is>
      </c>
      <c r="G2810" t="n">
        <v>0.8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47893-2023</t>
        </is>
      </c>
      <c r="B2811" s="1" t="n">
        <v>45204</v>
      </c>
      <c r="C2811" s="1" t="n">
        <v>45962</v>
      </c>
      <c r="D2811" t="inlineStr">
        <is>
          <t>JÖNKÖPINGS LÄN</t>
        </is>
      </c>
      <c r="E2811" t="inlineStr">
        <is>
          <t>SÄVSJÖ</t>
        </is>
      </c>
      <c r="G2811" t="n">
        <v>1.2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7145-2025</t>
        </is>
      </c>
      <c r="B2812" s="1" t="n">
        <v>45702.37709490741</v>
      </c>
      <c r="C2812" s="1" t="n">
        <v>45962</v>
      </c>
      <c r="D2812" t="inlineStr">
        <is>
          <t>JÖNKÖPINGS LÄN</t>
        </is>
      </c>
      <c r="E2812" t="inlineStr">
        <is>
          <t>NÄSSJÖ</t>
        </is>
      </c>
      <c r="G2812" t="n">
        <v>1.5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7158-2025</t>
        </is>
      </c>
      <c r="B2813" s="1" t="n">
        <v>45702.38725694444</v>
      </c>
      <c r="C2813" s="1" t="n">
        <v>45962</v>
      </c>
      <c r="D2813" t="inlineStr">
        <is>
          <t>JÖNKÖPINGS LÄN</t>
        </is>
      </c>
      <c r="E2813" t="inlineStr">
        <is>
          <t>NÄSSJÖ</t>
        </is>
      </c>
      <c r="G2813" t="n">
        <v>2.8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117-2022</t>
        </is>
      </c>
      <c r="B2814" s="1" t="n">
        <v>44564</v>
      </c>
      <c r="C2814" s="1" t="n">
        <v>45962</v>
      </c>
      <c r="D2814" t="inlineStr">
        <is>
          <t>JÖNKÖPINGS LÄN</t>
        </is>
      </c>
      <c r="E2814" t="inlineStr">
        <is>
          <t>VETLANDA</t>
        </is>
      </c>
      <c r="F2814" t="inlineStr">
        <is>
          <t>Övriga Aktiebolag</t>
        </is>
      </c>
      <c r="G2814" t="n">
        <v>1.6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4699-2024</t>
        </is>
      </c>
      <c r="B2815" s="1" t="n">
        <v>45328.54533564814</v>
      </c>
      <c r="C2815" s="1" t="n">
        <v>45962</v>
      </c>
      <c r="D2815" t="inlineStr">
        <is>
          <t>JÖNKÖPINGS LÄN</t>
        </is>
      </c>
      <c r="E2815" t="inlineStr">
        <is>
          <t>NÄSSJÖ</t>
        </is>
      </c>
      <c r="G2815" t="n">
        <v>0.5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9977-2024</t>
        </is>
      </c>
      <c r="B2816" s="1" t="n">
        <v>45363</v>
      </c>
      <c r="C2816" s="1" t="n">
        <v>45962</v>
      </c>
      <c r="D2816" t="inlineStr">
        <is>
          <t>JÖNKÖPINGS LÄN</t>
        </is>
      </c>
      <c r="E2816" t="inlineStr">
        <is>
          <t>VÄRNAMO</t>
        </is>
      </c>
      <c r="F2816" t="inlineStr">
        <is>
          <t>Kyrkan</t>
        </is>
      </c>
      <c r="G2816" t="n">
        <v>2.1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47902-2022</t>
        </is>
      </c>
      <c r="B2817" s="1" t="n">
        <v>44855</v>
      </c>
      <c r="C2817" s="1" t="n">
        <v>45962</v>
      </c>
      <c r="D2817" t="inlineStr">
        <is>
          <t>JÖNKÖPINGS LÄN</t>
        </is>
      </c>
      <c r="E2817" t="inlineStr">
        <is>
          <t>TRANÅS</t>
        </is>
      </c>
      <c r="G2817" t="n">
        <v>0.7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47924-2022</t>
        </is>
      </c>
      <c r="B2818" s="1" t="n">
        <v>44855.51054398148</v>
      </c>
      <c r="C2818" s="1" t="n">
        <v>45962</v>
      </c>
      <c r="D2818" t="inlineStr">
        <is>
          <t>JÖNKÖPINGS LÄN</t>
        </is>
      </c>
      <c r="E2818" t="inlineStr">
        <is>
          <t>VAGGERYD</t>
        </is>
      </c>
      <c r="G2818" t="n">
        <v>0.6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18337-2025</t>
        </is>
      </c>
      <c r="B2819" s="1" t="n">
        <v>45762.50909722222</v>
      </c>
      <c r="C2819" s="1" t="n">
        <v>45962</v>
      </c>
      <c r="D2819" t="inlineStr">
        <is>
          <t>JÖNKÖPINGS LÄN</t>
        </is>
      </c>
      <c r="E2819" t="inlineStr">
        <is>
          <t>EKSJÖ</t>
        </is>
      </c>
      <c r="G2819" t="n">
        <v>1.4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7833-2023</t>
        </is>
      </c>
      <c r="B2820" s="1" t="n">
        <v>44970</v>
      </c>
      <c r="C2820" s="1" t="n">
        <v>45962</v>
      </c>
      <c r="D2820" t="inlineStr">
        <is>
          <t>JÖNKÖPINGS LÄN</t>
        </is>
      </c>
      <c r="E2820" t="inlineStr">
        <is>
          <t>VETLANDA</t>
        </is>
      </c>
      <c r="G2820" t="n">
        <v>0.6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4551-2025</t>
        </is>
      </c>
      <c r="B2821" s="1" t="n">
        <v>45687.41087962963</v>
      </c>
      <c r="C2821" s="1" t="n">
        <v>45962</v>
      </c>
      <c r="D2821" t="inlineStr">
        <is>
          <t>JÖNKÖPINGS LÄN</t>
        </is>
      </c>
      <c r="E2821" t="inlineStr">
        <is>
          <t>HABO</t>
        </is>
      </c>
      <c r="G2821" t="n">
        <v>0.4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1004-2022</t>
        </is>
      </c>
      <c r="B2822" s="1" t="n">
        <v>44571.60380787037</v>
      </c>
      <c r="C2822" s="1" t="n">
        <v>45962</v>
      </c>
      <c r="D2822" t="inlineStr">
        <is>
          <t>JÖNKÖPINGS LÄN</t>
        </is>
      </c>
      <c r="E2822" t="inlineStr">
        <is>
          <t>HABO</t>
        </is>
      </c>
      <c r="G2822" t="n">
        <v>2.3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73166-2021</t>
        </is>
      </c>
      <c r="B2823" s="1" t="n">
        <v>44550</v>
      </c>
      <c r="C2823" s="1" t="n">
        <v>45962</v>
      </c>
      <c r="D2823" t="inlineStr">
        <is>
          <t>JÖNKÖPINGS LÄN</t>
        </is>
      </c>
      <c r="E2823" t="inlineStr">
        <is>
          <t>ANEBY</t>
        </is>
      </c>
      <c r="G2823" t="n">
        <v>1.5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28825-2022</t>
        </is>
      </c>
      <c r="B2824" s="1" t="n">
        <v>44749</v>
      </c>
      <c r="C2824" s="1" t="n">
        <v>45962</v>
      </c>
      <c r="D2824" t="inlineStr">
        <is>
          <t>JÖNKÖPINGS LÄN</t>
        </is>
      </c>
      <c r="E2824" t="inlineStr">
        <is>
          <t>HABO</t>
        </is>
      </c>
      <c r="G2824" t="n">
        <v>1.7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11517-2025</t>
        </is>
      </c>
      <c r="B2825" s="1" t="n">
        <v>45726.8953587963</v>
      </c>
      <c r="C2825" s="1" t="n">
        <v>45962</v>
      </c>
      <c r="D2825" t="inlineStr">
        <is>
          <t>JÖNKÖPINGS LÄN</t>
        </is>
      </c>
      <c r="E2825" t="inlineStr">
        <is>
          <t>GISLAVED</t>
        </is>
      </c>
      <c r="G2825" t="n">
        <v>3.4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13342-2021</t>
        </is>
      </c>
      <c r="B2826" s="1" t="n">
        <v>44273</v>
      </c>
      <c r="C2826" s="1" t="n">
        <v>45962</v>
      </c>
      <c r="D2826" t="inlineStr">
        <is>
          <t>JÖNKÖPINGS LÄN</t>
        </is>
      </c>
      <c r="E2826" t="inlineStr">
        <is>
          <t>JÖNKÖPING</t>
        </is>
      </c>
      <c r="G2826" t="n">
        <v>3.4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51598-2024</t>
        </is>
      </c>
      <c r="B2827" s="1" t="n">
        <v>45604.66521990741</v>
      </c>
      <c r="C2827" s="1" t="n">
        <v>45962</v>
      </c>
      <c r="D2827" t="inlineStr">
        <is>
          <t>JÖNKÖPINGS LÄN</t>
        </is>
      </c>
      <c r="E2827" t="inlineStr">
        <is>
          <t>VAGGERYD</t>
        </is>
      </c>
      <c r="F2827" t="inlineStr">
        <is>
          <t>Sveaskog</t>
        </is>
      </c>
      <c r="G2827" t="n">
        <v>2.8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4964-2024</t>
        </is>
      </c>
      <c r="B2828" s="1" t="n">
        <v>45329</v>
      </c>
      <c r="C2828" s="1" t="n">
        <v>45962</v>
      </c>
      <c r="D2828" t="inlineStr">
        <is>
          <t>JÖNKÖPINGS LÄN</t>
        </is>
      </c>
      <c r="E2828" t="inlineStr">
        <is>
          <t>VETLANDA</t>
        </is>
      </c>
      <c r="G2828" t="n">
        <v>0.5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12892-2022</t>
        </is>
      </c>
      <c r="B2829" s="1" t="n">
        <v>44642</v>
      </c>
      <c r="C2829" s="1" t="n">
        <v>45962</v>
      </c>
      <c r="D2829" t="inlineStr">
        <is>
          <t>JÖNKÖPINGS LÄN</t>
        </is>
      </c>
      <c r="E2829" t="inlineStr">
        <is>
          <t>VÄRNAMO</t>
        </is>
      </c>
      <c r="G2829" t="n">
        <v>1.1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15042-2021</t>
        </is>
      </c>
      <c r="B2830" s="1" t="n">
        <v>44281.61100694445</v>
      </c>
      <c r="C2830" s="1" t="n">
        <v>45962</v>
      </c>
      <c r="D2830" t="inlineStr">
        <is>
          <t>JÖNKÖPINGS LÄN</t>
        </is>
      </c>
      <c r="E2830" t="inlineStr">
        <is>
          <t>EKSJÖ</t>
        </is>
      </c>
      <c r="F2830" t="inlineStr">
        <is>
          <t>Sveaskog</t>
        </is>
      </c>
      <c r="G2830" t="n">
        <v>1.6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32294-2021</t>
        </is>
      </c>
      <c r="B2831" s="1" t="n">
        <v>44371</v>
      </c>
      <c r="C2831" s="1" t="n">
        <v>45962</v>
      </c>
      <c r="D2831" t="inlineStr">
        <is>
          <t>JÖNKÖPINGS LÄN</t>
        </is>
      </c>
      <c r="E2831" t="inlineStr">
        <is>
          <t>TRANÅS</t>
        </is>
      </c>
      <c r="F2831" t="inlineStr">
        <is>
          <t>Kyrkan</t>
        </is>
      </c>
      <c r="G2831" t="n">
        <v>5.3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17220-2025</t>
        </is>
      </c>
      <c r="B2832" s="1" t="n">
        <v>45756.45248842592</v>
      </c>
      <c r="C2832" s="1" t="n">
        <v>45962</v>
      </c>
      <c r="D2832" t="inlineStr">
        <is>
          <t>JÖNKÖPINGS LÄN</t>
        </is>
      </c>
      <c r="E2832" t="inlineStr">
        <is>
          <t>VÄRNAMO</t>
        </is>
      </c>
      <c r="G2832" t="n">
        <v>2.2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42838-2023</t>
        </is>
      </c>
      <c r="B2833" s="1" t="n">
        <v>45182</v>
      </c>
      <c r="C2833" s="1" t="n">
        <v>45962</v>
      </c>
      <c r="D2833" t="inlineStr">
        <is>
          <t>JÖNKÖPINGS LÄN</t>
        </is>
      </c>
      <c r="E2833" t="inlineStr">
        <is>
          <t>JÖNKÖPING</t>
        </is>
      </c>
      <c r="G2833" t="n">
        <v>1.3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12106-2024</t>
        </is>
      </c>
      <c r="B2834" s="1" t="n">
        <v>45376</v>
      </c>
      <c r="C2834" s="1" t="n">
        <v>45962</v>
      </c>
      <c r="D2834" t="inlineStr">
        <is>
          <t>JÖNKÖPINGS LÄN</t>
        </is>
      </c>
      <c r="E2834" t="inlineStr">
        <is>
          <t>NÄSSJÖ</t>
        </is>
      </c>
      <c r="G2834" t="n">
        <v>1.3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46143-2022</t>
        </is>
      </c>
      <c r="B2835" s="1" t="n">
        <v>44847.45596064815</v>
      </c>
      <c r="C2835" s="1" t="n">
        <v>45962</v>
      </c>
      <c r="D2835" t="inlineStr">
        <is>
          <t>JÖNKÖPINGS LÄN</t>
        </is>
      </c>
      <c r="E2835" t="inlineStr">
        <is>
          <t>VETLANDA</t>
        </is>
      </c>
      <c r="G2835" t="n">
        <v>5.5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31307-2023</t>
        </is>
      </c>
      <c r="B2836" s="1" t="n">
        <v>45114.44476851852</v>
      </c>
      <c r="C2836" s="1" t="n">
        <v>45962</v>
      </c>
      <c r="D2836" t="inlineStr">
        <is>
          <t>JÖNKÖPINGS LÄN</t>
        </is>
      </c>
      <c r="E2836" t="inlineStr">
        <is>
          <t>EKSJÖ</t>
        </is>
      </c>
      <c r="G2836" t="n">
        <v>2.1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62798-2023</t>
        </is>
      </c>
      <c r="B2837" s="1" t="n">
        <v>45271</v>
      </c>
      <c r="C2837" s="1" t="n">
        <v>45962</v>
      </c>
      <c r="D2837" t="inlineStr">
        <is>
          <t>JÖNKÖPINGS LÄN</t>
        </is>
      </c>
      <c r="E2837" t="inlineStr">
        <is>
          <t>VÄRNAMO</t>
        </is>
      </c>
      <c r="F2837" t="inlineStr">
        <is>
          <t>Kommuner</t>
        </is>
      </c>
      <c r="G2837" t="n">
        <v>0.9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31591-2022</t>
        </is>
      </c>
      <c r="B2838" s="1" t="n">
        <v>44775.56290509259</v>
      </c>
      <c r="C2838" s="1" t="n">
        <v>45962</v>
      </c>
      <c r="D2838" t="inlineStr">
        <is>
          <t>JÖNKÖPINGS LÄN</t>
        </is>
      </c>
      <c r="E2838" t="inlineStr">
        <is>
          <t>HABO</t>
        </is>
      </c>
      <c r="G2838" t="n">
        <v>0.5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2988-2023</t>
        </is>
      </c>
      <c r="B2839" s="1" t="n">
        <v>44945</v>
      </c>
      <c r="C2839" s="1" t="n">
        <v>45962</v>
      </c>
      <c r="D2839" t="inlineStr">
        <is>
          <t>JÖNKÖPINGS LÄN</t>
        </is>
      </c>
      <c r="E2839" t="inlineStr">
        <is>
          <t>NÄSSJÖ</t>
        </is>
      </c>
      <c r="G2839" t="n">
        <v>0.7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31675-2022</t>
        </is>
      </c>
      <c r="B2840" s="1" t="n">
        <v>44776.36688657408</v>
      </c>
      <c r="C2840" s="1" t="n">
        <v>45962</v>
      </c>
      <c r="D2840" t="inlineStr">
        <is>
          <t>JÖNKÖPINGS LÄN</t>
        </is>
      </c>
      <c r="E2840" t="inlineStr">
        <is>
          <t>GISLAVED</t>
        </is>
      </c>
      <c r="G2840" t="n">
        <v>2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7087-2024</t>
        </is>
      </c>
      <c r="B2841" s="1" t="n">
        <v>45343</v>
      </c>
      <c r="C2841" s="1" t="n">
        <v>45962</v>
      </c>
      <c r="D2841" t="inlineStr">
        <is>
          <t>JÖNKÖPINGS LÄN</t>
        </is>
      </c>
      <c r="E2841" t="inlineStr">
        <is>
          <t>NÄSSJÖ</t>
        </is>
      </c>
      <c r="G2841" t="n">
        <v>0.5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44452-2023</t>
        </is>
      </c>
      <c r="B2842" s="1" t="n">
        <v>45189.38503472223</v>
      </c>
      <c r="C2842" s="1" t="n">
        <v>45962</v>
      </c>
      <c r="D2842" t="inlineStr">
        <is>
          <t>JÖNKÖPINGS LÄN</t>
        </is>
      </c>
      <c r="E2842" t="inlineStr">
        <is>
          <t>VAGGERYD</t>
        </is>
      </c>
      <c r="G2842" t="n">
        <v>0.6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63030-2020</t>
        </is>
      </c>
      <c r="B2843" s="1" t="n">
        <v>44162.52068287037</v>
      </c>
      <c r="C2843" s="1" t="n">
        <v>45962</v>
      </c>
      <c r="D2843" t="inlineStr">
        <is>
          <t>JÖNKÖPINGS LÄN</t>
        </is>
      </c>
      <c r="E2843" t="inlineStr">
        <is>
          <t>ANEBY</t>
        </is>
      </c>
      <c r="G2843" t="n">
        <v>0.7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59167-2024</t>
        </is>
      </c>
      <c r="B2844" s="1" t="n">
        <v>45637.48994212963</v>
      </c>
      <c r="C2844" s="1" t="n">
        <v>45962</v>
      </c>
      <c r="D2844" t="inlineStr">
        <is>
          <t>JÖNKÖPINGS LÄN</t>
        </is>
      </c>
      <c r="E2844" t="inlineStr">
        <is>
          <t>NÄSSJÖ</t>
        </is>
      </c>
      <c r="G2844" t="n">
        <v>2.6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13684-2022</t>
        </is>
      </c>
      <c r="B2845" s="1" t="n">
        <v>44648</v>
      </c>
      <c r="C2845" s="1" t="n">
        <v>45962</v>
      </c>
      <c r="D2845" t="inlineStr">
        <is>
          <t>JÖNKÖPINGS LÄN</t>
        </is>
      </c>
      <c r="E2845" t="inlineStr">
        <is>
          <t>VAGGERYD</t>
        </is>
      </c>
      <c r="G2845" t="n">
        <v>1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55158-2024</t>
        </is>
      </c>
      <c r="B2846" s="1" t="n">
        <v>45621.50383101852</v>
      </c>
      <c r="C2846" s="1" t="n">
        <v>45962</v>
      </c>
      <c r="D2846" t="inlineStr">
        <is>
          <t>JÖNKÖPINGS LÄN</t>
        </is>
      </c>
      <c r="E2846" t="inlineStr">
        <is>
          <t>EKSJÖ</t>
        </is>
      </c>
      <c r="F2846" t="inlineStr">
        <is>
          <t>Sveaskog</t>
        </is>
      </c>
      <c r="G2846" t="n">
        <v>1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44464-2023</t>
        </is>
      </c>
      <c r="B2847" s="1" t="n">
        <v>45189.39834490741</v>
      </c>
      <c r="C2847" s="1" t="n">
        <v>45962</v>
      </c>
      <c r="D2847" t="inlineStr">
        <is>
          <t>JÖNKÖPINGS LÄN</t>
        </is>
      </c>
      <c r="E2847" t="inlineStr">
        <is>
          <t>VETLANDA</t>
        </is>
      </c>
      <c r="F2847" t="inlineStr">
        <is>
          <t>Sveaskog</t>
        </is>
      </c>
      <c r="G2847" t="n">
        <v>3.2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44469-2023</t>
        </is>
      </c>
      <c r="B2848" s="1" t="n">
        <v>45189</v>
      </c>
      <c r="C2848" s="1" t="n">
        <v>45962</v>
      </c>
      <c r="D2848" t="inlineStr">
        <is>
          <t>JÖNKÖPINGS LÄN</t>
        </is>
      </c>
      <c r="E2848" t="inlineStr">
        <is>
          <t>GISLAVED</t>
        </is>
      </c>
      <c r="G2848" t="n">
        <v>2.3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5123-2025</t>
        </is>
      </c>
      <c r="B2849" s="1" t="n">
        <v>45691.5603125</v>
      </c>
      <c r="C2849" s="1" t="n">
        <v>45962</v>
      </c>
      <c r="D2849" t="inlineStr">
        <is>
          <t>JÖNKÖPINGS LÄN</t>
        </is>
      </c>
      <c r="E2849" t="inlineStr">
        <is>
          <t>JÖNKÖPING</t>
        </is>
      </c>
      <c r="G2849" t="n">
        <v>4.9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5194-2025</t>
        </is>
      </c>
      <c r="B2850" s="1" t="n">
        <v>45691.65603009259</v>
      </c>
      <c r="C2850" s="1" t="n">
        <v>45962</v>
      </c>
      <c r="D2850" t="inlineStr">
        <is>
          <t>JÖNKÖPINGS LÄN</t>
        </is>
      </c>
      <c r="E2850" t="inlineStr">
        <is>
          <t>VETLANDA</t>
        </is>
      </c>
      <c r="G2850" t="n">
        <v>3.7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23084-2021</t>
        </is>
      </c>
      <c r="B2851" s="1" t="n">
        <v>44330</v>
      </c>
      <c r="C2851" s="1" t="n">
        <v>45962</v>
      </c>
      <c r="D2851" t="inlineStr">
        <is>
          <t>JÖNKÖPINGS LÄN</t>
        </is>
      </c>
      <c r="E2851" t="inlineStr">
        <is>
          <t>NÄSSJÖ</t>
        </is>
      </c>
      <c r="G2851" t="n">
        <v>1.5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18508-2025</t>
        </is>
      </c>
      <c r="B2852" s="1" t="n">
        <v>45763.37837962963</v>
      </c>
      <c r="C2852" s="1" t="n">
        <v>45962</v>
      </c>
      <c r="D2852" t="inlineStr">
        <is>
          <t>JÖNKÖPINGS LÄN</t>
        </is>
      </c>
      <c r="E2852" t="inlineStr">
        <is>
          <t>VETLANDA</t>
        </is>
      </c>
      <c r="G2852" t="n">
        <v>2.2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18607-2025</t>
        </is>
      </c>
      <c r="B2853" s="1" t="n">
        <v>45763.49402777778</v>
      </c>
      <c r="C2853" s="1" t="n">
        <v>45962</v>
      </c>
      <c r="D2853" t="inlineStr">
        <is>
          <t>JÖNKÖPINGS LÄN</t>
        </is>
      </c>
      <c r="E2853" t="inlineStr">
        <is>
          <t>JÖNKÖPING</t>
        </is>
      </c>
      <c r="G2853" t="n">
        <v>1.2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58368-2021</t>
        </is>
      </c>
      <c r="B2854" s="1" t="n">
        <v>44488</v>
      </c>
      <c r="C2854" s="1" t="n">
        <v>45962</v>
      </c>
      <c r="D2854" t="inlineStr">
        <is>
          <t>JÖNKÖPINGS LÄN</t>
        </is>
      </c>
      <c r="E2854" t="inlineStr">
        <is>
          <t>GISLAVED</t>
        </is>
      </c>
      <c r="F2854" t="inlineStr">
        <is>
          <t>Kyrkan</t>
        </is>
      </c>
      <c r="G2854" t="n">
        <v>7.4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55844-2024</t>
        </is>
      </c>
      <c r="B2855" s="1" t="n">
        <v>45623.50226851852</v>
      </c>
      <c r="C2855" s="1" t="n">
        <v>45962</v>
      </c>
      <c r="D2855" t="inlineStr">
        <is>
          <t>JÖNKÖPINGS LÄN</t>
        </is>
      </c>
      <c r="E2855" t="inlineStr">
        <is>
          <t>VETLANDA</t>
        </is>
      </c>
      <c r="G2855" t="n">
        <v>2.3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69314-2020</t>
        </is>
      </c>
      <c r="B2856" s="1" t="n">
        <v>44188</v>
      </c>
      <c r="C2856" s="1" t="n">
        <v>45962</v>
      </c>
      <c r="D2856" t="inlineStr">
        <is>
          <t>JÖNKÖPINGS LÄN</t>
        </is>
      </c>
      <c r="E2856" t="inlineStr">
        <is>
          <t>VÄRNAMO</t>
        </is>
      </c>
      <c r="G2856" t="n">
        <v>2.3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42493-2023</t>
        </is>
      </c>
      <c r="B2857" s="1" t="n">
        <v>45180.88775462963</v>
      </c>
      <c r="C2857" s="1" t="n">
        <v>45962</v>
      </c>
      <c r="D2857" t="inlineStr">
        <is>
          <t>JÖNKÖPINGS LÄN</t>
        </is>
      </c>
      <c r="E2857" t="inlineStr">
        <is>
          <t>VETLANDA</t>
        </is>
      </c>
      <c r="G2857" t="n">
        <v>0.7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15619-2024</t>
        </is>
      </c>
      <c r="B2858" s="1" t="n">
        <v>45402.23002314815</v>
      </c>
      <c r="C2858" s="1" t="n">
        <v>45962</v>
      </c>
      <c r="D2858" t="inlineStr">
        <is>
          <t>JÖNKÖPINGS LÄN</t>
        </is>
      </c>
      <c r="E2858" t="inlineStr">
        <is>
          <t>EKSJÖ</t>
        </is>
      </c>
      <c r="G2858" t="n">
        <v>3.4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35256-2024</t>
        </is>
      </c>
      <c r="B2859" s="1" t="n">
        <v>45530.57877314815</v>
      </c>
      <c r="C2859" s="1" t="n">
        <v>45962</v>
      </c>
      <c r="D2859" t="inlineStr">
        <is>
          <t>JÖNKÖPINGS LÄN</t>
        </is>
      </c>
      <c r="E2859" t="inlineStr">
        <is>
          <t>EKSJÖ</t>
        </is>
      </c>
      <c r="G2859" t="n">
        <v>0.6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35283-2024</t>
        </is>
      </c>
      <c r="B2860" s="1" t="n">
        <v>45530.64133101852</v>
      </c>
      <c r="C2860" s="1" t="n">
        <v>45962</v>
      </c>
      <c r="D2860" t="inlineStr">
        <is>
          <t>JÖNKÖPINGS LÄN</t>
        </is>
      </c>
      <c r="E2860" t="inlineStr">
        <is>
          <t>VÄRNAMO</t>
        </is>
      </c>
      <c r="G2860" t="n">
        <v>1.1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46408-2023</t>
        </is>
      </c>
      <c r="B2861" s="1" t="n">
        <v>45197.51347222222</v>
      </c>
      <c r="C2861" s="1" t="n">
        <v>45962</v>
      </c>
      <c r="D2861" t="inlineStr">
        <is>
          <t>JÖNKÖPINGS LÄN</t>
        </is>
      </c>
      <c r="E2861" t="inlineStr">
        <is>
          <t>SÄVSJÖ</t>
        </is>
      </c>
      <c r="G2861" t="n">
        <v>0.6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57226-2024</t>
        </is>
      </c>
      <c r="B2862" s="1" t="n">
        <v>45629.53239583333</v>
      </c>
      <c r="C2862" s="1" t="n">
        <v>45962</v>
      </c>
      <c r="D2862" t="inlineStr">
        <is>
          <t>JÖNKÖPINGS LÄN</t>
        </is>
      </c>
      <c r="E2862" t="inlineStr">
        <is>
          <t>GISLAVED</t>
        </is>
      </c>
      <c r="G2862" t="n">
        <v>1.4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40884-2023</t>
        </is>
      </c>
      <c r="B2863" s="1" t="n">
        <v>45173</v>
      </c>
      <c r="C2863" s="1" t="n">
        <v>45962</v>
      </c>
      <c r="D2863" t="inlineStr">
        <is>
          <t>JÖNKÖPINGS LÄN</t>
        </is>
      </c>
      <c r="E2863" t="inlineStr">
        <is>
          <t>VETLANDA</t>
        </is>
      </c>
      <c r="G2863" t="n">
        <v>4.6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40890-2023</t>
        </is>
      </c>
      <c r="B2864" s="1" t="n">
        <v>45173</v>
      </c>
      <c r="C2864" s="1" t="n">
        <v>45962</v>
      </c>
      <c r="D2864" t="inlineStr">
        <is>
          <t>JÖNKÖPINGS LÄN</t>
        </is>
      </c>
      <c r="E2864" t="inlineStr">
        <is>
          <t>VETLANDA</t>
        </is>
      </c>
      <c r="G2864" t="n">
        <v>0.5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40927-2023</t>
        </is>
      </c>
      <c r="B2865" s="1" t="n">
        <v>45169</v>
      </c>
      <c r="C2865" s="1" t="n">
        <v>45962</v>
      </c>
      <c r="D2865" t="inlineStr">
        <is>
          <t>JÖNKÖPINGS LÄN</t>
        </is>
      </c>
      <c r="E2865" t="inlineStr">
        <is>
          <t>NÄSSJÖ</t>
        </is>
      </c>
      <c r="G2865" t="n">
        <v>0.5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59370-2023</t>
        </is>
      </c>
      <c r="B2866" s="1" t="n">
        <v>45253.73424768518</v>
      </c>
      <c r="C2866" s="1" t="n">
        <v>45962</v>
      </c>
      <c r="D2866" t="inlineStr">
        <is>
          <t>JÖNKÖPINGS LÄN</t>
        </is>
      </c>
      <c r="E2866" t="inlineStr">
        <is>
          <t>JÖNKÖPING</t>
        </is>
      </c>
      <c r="G2866" t="n">
        <v>1.2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57620-2022</t>
        </is>
      </c>
      <c r="B2867" s="1" t="n">
        <v>44897.3564699074</v>
      </c>
      <c r="C2867" s="1" t="n">
        <v>45962</v>
      </c>
      <c r="D2867" t="inlineStr">
        <is>
          <t>JÖNKÖPINGS LÄN</t>
        </is>
      </c>
      <c r="E2867" t="inlineStr">
        <is>
          <t>JÖNKÖPING</t>
        </is>
      </c>
      <c r="F2867" t="inlineStr">
        <is>
          <t>Kyrkan</t>
        </is>
      </c>
      <c r="G2867" t="n">
        <v>4.5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61454-2022</t>
        </is>
      </c>
      <c r="B2868" s="1" t="n">
        <v>44916.41415509259</v>
      </c>
      <c r="C2868" s="1" t="n">
        <v>45962</v>
      </c>
      <c r="D2868" t="inlineStr">
        <is>
          <t>JÖNKÖPINGS LÄN</t>
        </is>
      </c>
      <c r="E2868" t="inlineStr">
        <is>
          <t>VETLANDA</t>
        </is>
      </c>
      <c r="G2868" t="n">
        <v>1.4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11851-2022</t>
        </is>
      </c>
      <c r="B2869" s="1" t="n">
        <v>44635.29614583333</v>
      </c>
      <c r="C2869" s="1" t="n">
        <v>45962</v>
      </c>
      <c r="D2869" t="inlineStr">
        <is>
          <t>JÖNKÖPINGS LÄN</t>
        </is>
      </c>
      <c r="E2869" t="inlineStr">
        <is>
          <t>NÄSSJÖ</t>
        </is>
      </c>
      <c r="G2869" t="n">
        <v>0.9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62838-2020</t>
        </is>
      </c>
      <c r="B2870" s="1" t="n">
        <v>44161</v>
      </c>
      <c r="C2870" s="1" t="n">
        <v>45962</v>
      </c>
      <c r="D2870" t="inlineStr">
        <is>
          <t>JÖNKÖPINGS LÄN</t>
        </is>
      </c>
      <c r="E2870" t="inlineStr">
        <is>
          <t>GISLAVED</t>
        </is>
      </c>
      <c r="G2870" t="n">
        <v>1.5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12379-2021</t>
        </is>
      </c>
      <c r="B2871" s="1" t="n">
        <v>44267</v>
      </c>
      <c r="C2871" s="1" t="n">
        <v>45962</v>
      </c>
      <c r="D2871" t="inlineStr">
        <is>
          <t>JÖNKÖPINGS LÄN</t>
        </is>
      </c>
      <c r="E2871" t="inlineStr">
        <is>
          <t>VETLANDA</t>
        </is>
      </c>
      <c r="G2871" t="n">
        <v>19.4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60037-2022</t>
        </is>
      </c>
      <c r="B2872" s="1" t="n">
        <v>44909</v>
      </c>
      <c r="C2872" s="1" t="n">
        <v>45962</v>
      </c>
      <c r="D2872" t="inlineStr">
        <is>
          <t>JÖNKÖPINGS LÄN</t>
        </is>
      </c>
      <c r="E2872" t="inlineStr">
        <is>
          <t>VÄRNAMO</t>
        </is>
      </c>
      <c r="G2872" t="n">
        <v>2.6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10481-2023</t>
        </is>
      </c>
      <c r="B2873" s="1" t="n">
        <v>44981</v>
      </c>
      <c r="C2873" s="1" t="n">
        <v>45962</v>
      </c>
      <c r="D2873" t="inlineStr">
        <is>
          <t>JÖNKÖPINGS LÄN</t>
        </is>
      </c>
      <c r="E2873" t="inlineStr">
        <is>
          <t>ANEBY</t>
        </is>
      </c>
      <c r="G2873" t="n">
        <v>3.1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43408-2021</t>
        </is>
      </c>
      <c r="B2874" s="1" t="n">
        <v>44432.60353009259</v>
      </c>
      <c r="C2874" s="1" t="n">
        <v>45962</v>
      </c>
      <c r="D2874" t="inlineStr">
        <is>
          <t>JÖNKÖPINGS LÄN</t>
        </is>
      </c>
      <c r="E2874" t="inlineStr">
        <is>
          <t>GISLAVED</t>
        </is>
      </c>
      <c r="G2874" t="n">
        <v>2.5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4672-2022</t>
        </is>
      </c>
      <c r="B2875" s="1" t="n">
        <v>44592</v>
      </c>
      <c r="C2875" s="1" t="n">
        <v>45962</v>
      </c>
      <c r="D2875" t="inlineStr">
        <is>
          <t>JÖNKÖPINGS LÄN</t>
        </is>
      </c>
      <c r="E2875" t="inlineStr">
        <is>
          <t>VETLANDA</t>
        </is>
      </c>
      <c r="G2875" t="n">
        <v>1.1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17831-2025</t>
        </is>
      </c>
      <c r="B2876" s="1" t="n">
        <v>45758</v>
      </c>
      <c r="C2876" s="1" t="n">
        <v>45962</v>
      </c>
      <c r="D2876" t="inlineStr">
        <is>
          <t>JÖNKÖPINGS LÄN</t>
        </is>
      </c>
      <c r="E2876" t="inlineStr">
        <is>
          <t>JÖNKÖPING</t>
        </is>
      </c>
      <c r="F2876" t="inlineStr">
        <is>
          <t>Kyrkan</t>
        </is>
      </c>
      <c r="G2876" t="n">
        <v>3.2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8923-2025</t>
        </is>
      </c>
      <c r="B2877" s="1" t="n">
        <v>45713.43780092592</v>
      </c>
      <c r="C2877" s="1" t="n">
        <v>45962</v>
      </c>
      <c r="D2877" t="inlineStr">
        <is>
          <t>JÖNKÖPINGS LÄN</t>
        </is>
      </c>
      <c r="E2877" t="inlineStr">
        <is>
          <t>EKSJÖ</t>
        </is>
      </c>
      <c r="G2877" t="n">
        <v>1.4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31010-2023</t>
        </is>
      </c>
      <c r="B2878" s="1" t="n">
        <v>45113.56304398148</v>
      </c>
      <c r="C2878" s="1" t="n">
        <v>45962</v>
      </c>
      <c r="D2878" t="inlineStr">
        <is>
          <t>JÖNKÖPINGS LÄN</t>
        </is>
      </c>
      <c r="E2878" t="inlineStr">
        <is>
          <t>VETLANDA</t>
        </is>
      </c>
      <c r="G2878" t="n">
        <v>1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1239-2023</t>
        </is>
      </c>
      <c r="B2879" s="1" t="n">
        <v>44936</v>
      </c>
      <c r="C2879" s="1" t="n">
        <v>45962</v>
      </c>
      <c r="D2879" t="inlineStr">
        <is>
          <t>JÖNKÖPINGS LÄN</t>
        </is>
      </c>
      <c r="E2879" t="inlineStr">
        <is>
          <t>VÄRNAMO</t>
        </is>
      </c>
      <c r="G2879" t="n">
        <v>0.9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42685-2024</t>
        </is>
      </c>
      <c r="B2880" s="1" t="n">
        <v>45566.3941550926</v>
      </c>
      <c r="C2880" s="1" t="n">
        <v>45962</v>
      </c>
      <c r="D2880" t="inlineStr">
        <is>
          <t>JÖNKÖPINGS LÄN</t>
        </is>
      </c>
      <c r="E2880" t="inlineStr">
        <is>
          <t>NÄSSJÖ</t>
        </is>
      </c>
      <c r="G2880" t="n">
        <v>2.1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23625-2022</t>
        </is>
      </c>
      <c r="B2881" s="1" t="n">
        <v>44721.63243055555</v>
      </c>
      <c r="C2881" s="1" t="n">
        <v>45962</v>
      </c>
      <c r="D2881" t="inlineStr">
        <is>
          <t>JÖNKÖPINGS LÄN</t>
        </is>
      </c>
      <c r="E2881" t="inlineStr">
        <is>
          <t>GNOSJÖ</t>
        </is>
      </c>
      <c r="G2881" t="n">
        <v>1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18829-2025</t>
        </is>
      </c>
      <c r="B2882" s="1" t="n">
        <v>45764.38697916667</v>
      </c>
      <c r="C2882" s="1" t="n">
        <v>45962</v>
      </c>
      <c r="D2882" t="inlineStr">
        <is>
          <t>JÖNKÖPINGS LÄN</t>
        </is>
      </c>
      <c r="E2882" t="inlineStr">
        <is>
          <t>GISLAVED</t>
        </is>
      </c>
      <c r="G2882" t="n">
        <v>1.8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18836-2025</t>
        </is>
      </c>
      <c r="B2883" s="1" t="n">
        <v>45764.3996412037</v>
      </c>
      <c r="C2883" s="1" t="n">
        <v>45962</v>
      </c>
      <c r="D2883" t="inlineStr">
        <is>
          <t>JÖNKÖPINGS LÄN</t>
        </is>
      </c>
      <c r="E2883" t="inlineStr">
        <is>
          <t>JÖNKÖPING</t>
        </is>
      </c>
      <c r="G2883" t="n">
        <v>1.5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18851-2025</t>
        </is>
      </c>
      <c r="B2884" s="1" t="n">
        <v>45764.42006944444</v>
      </c>
      <c r="C2884" s="1" t="n">
        <v>45962</v>
      </c>
      <c r="D2884" t="inlineStr">
        <is>
          <t>JÖNKÖPINGS LÄN</t>
        </is>
      </c>
      <c r="E2884" t="inlineStr">
        <is>
          <t>JÖNKÖPING</t>
        </is>
      </c>
      <c r="G2884" t="n">
        <v>4.8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5291-2024</t>
        </is>
      </c>
      <c r="B2885" s="1" t="n">
        <v>45331</v>
      </c>
      <c r="C2885" s="1" t="n">
        <v>45962</v>
      </c>
      <c r="D2885" t="inlineStr">
        <is>
          <t>JÖNKÖPINGS LÄN</t>
        </is>
      </c>
      <c r="E2885" t="inlineStr">
        <is>
          <t>JÖNKÖPING</t>
        </is>
      </c>
      <c r="G2885" t="n">
        <v>8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5318-2024</t>
        </is>
      </c>
      <c r="B2886" s="1" t="n">
        <v>45330</v>
      </c>
      <c r="C2886" s="1" t="n">
        <v>45962</v>
      </c>
      <c r="D2886" t="inlineStr">
        <is>
          <t>JÖNKÖPINGS LÄN</t>
        </is>
      </c>
      <c r="E2886" t="inlineStr">
        <is>
          <t>VAGGERYD</t>
        </is>
      </c>
      <c r="G2886" t="n">
        <v>1.3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59040-2021</t>
        </is>
      </c>
      <c r="B2887" s="1" t="n">
        <v>44490.35384259259</v>
      </c>
      <c r="C2887" s="1" t="n">
        <v>45962</v>
      </c>
      <c r="D2887" t="inlineStr">
        <is>
          <t>JÖNKÖPINGS LÄN</t>
        </is>
      </c>
      <c r="E2887" t="inlineStr">
        <is>
          <t>VAGGERYD</t>
        </is>
      </c>
      <c r="F2887" t="inlineStr">
        <is>
          <t>Sveaskog</t>
        </is>
      </c>
      <c r="G2887" t="n">
        <v>0.6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18858-2025</t>
        </is>
      </c>
      <c r="B2888" s="1" t="n">
        <v>45764.42517361111</v>
      </c>
      <c r="C2888" s="1" t="n">
        <v>45962</v>
      </c>
      <c r="D2888" t="inlineStr">
        <is>
          <t>JÖNKÖPINGS LÄN</t>
        </is>
      </c>
      <c r="E2888" t="inlineStr">
        <is>
          <t>JÖNKÖPING</t>
        </is>
      </c>
      <c r="G2888" t="n">
        <v>1.3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5319-2024</t>
        </is>
      </c>
      <c r="B2889" s="1" t="n">
        <v>45330</v>
      </c>
      <c r="C2889" s="1" t="n">
        <v>45962</v>
      </c>
      <c r="D2889" t="inlineStr">
        <is>
          <t>JÖNKÖPINGS LÄN</t>
        </is>
      </c>
      <c r="E2889" t="inlineStr">
        <is>
          <t>VAGGERYD</t>
        </is>
      </c>
      <c r="G2889" t="n">
        <v>0.7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13272-2025</t>
        </is>
      </c>
      <c r="B2890" s="1" t="n">
        <v>45735.54525462963</v>
      </c>
      <c r="C2890" s="1" t="n">
        <v>45962</v>
      </c>
      <c r="D2890" t="inlineStr">
        <is>
          <t>JÖNKÖPINGS LÄN</t>
        </is>
      </c>
      <c r="E2890" t="inlineStr">
        <is>
          <t>VÄRNAMO</t>
        </is>
      </c>
      <c r="G2890" t="n">
        <v>0.5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13278-2025</t>
        </is>
      </c>
      <c r="B2891" s="1" t="n">
        <v>45735.55263888889</v>
      </c>
      <c r="C2891" s="1" t="n">
        <v>45962</v>
      </c>
      <c r="D2891" t="inlineStr">
        <is>
          <t>JÖNKÖPINGS LÄN</t>
        </is>
      </c>
      <c r="E2891" t="inlineStr">
        <is>
          <t>VÄRNAMO</t>
        </is>
      </c>
      <c r="G2891" t="n">
        <v>0.6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4633-2024</t>
        </is>
      </c>
      <c r="B2892" s="1" t="n">
        <v>45328.40877314815</v>
      </c>
      <c r="C2892" s="1" t="n">
        <v>45962</v>
      </c>
      <c r="D2892" t="inlineStr">
        <is>
          <t>JÖNKÖPINGS LÄN</t>
        </is>
      </c>
      <c r="E2892" t="inlineStr">
        <is>
          <t>NÄSSJÖ</t>
        </is>
      </c>
      <c r="G2892" t="n">
        <v>0.4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4793-2024</t>
        </is>
      </c>
      <c r="B2893" s="1" t="n">
        <v>45328.8227662037</v>
      </c>
      <c r="C2893" s="1" t="n">
        <v>45962</v>
      </c>
      <c r="D2893" t="inlineStr">
        <is>
          <t>JÖNKÖPINGS LÄN</t>
        </is>
      </c>
      <c r="E2893" t="inlineStr">
        <is>
          <t>VÄRNAMO</t>
        </is>
      </c>
      <c r="G2893" t="n">
        <v>1.5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3310-2023</t>
        </is>
      </c>
      <c r="B2894" s="1" t="n">
        <v>44949.40520833333</v>
      </c>
      <c r="C2894" s="1" t="n">
        <v>45962</v>
      </c>
      <c r="D2894" t="inlineStr">
        <is>
          <t>JÖNKÖPINGS LÄN</t>
        </is>
      </c>
      <c r="E2894" t="inlineStr">
        <is>
          <t>VETLANDA</t>
        </is>
      </c>
      <c r="G2894" t="n">
        <v>0.4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55493-2022</t>
        </is>
      </c>
      <c r="B2895" s="1" t="n">
        <v>44887</v>
      </c>
      <c r="C2895" s="1" t="n">
        <v>45962</v>
      </c>
      <c r="D2895" t="inlineStr">
        <is>
          <t>JÖNKÖPINGS LÄN</t>
        </is>
      </c>
      <c r="E2895" t="inlineStr">
        <is>
          <t>VÄRNAMO</t>
        </is>
      </c>
      <c r="G2895" t="n">
        <v>2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35325-2023</t>
        </is>
      </c>
      <c r="B2896" s="1" t="n">
        <v>45146.43876157407</v>
      </c>
      <c r="C2896" s="1" t="n">
        <v>45962</v>
      </c>
      <c r="D2896" t="inlineStr">
        <is>
          <t>JÖNKÖPINGS LÄN</t>
        </is>
      </c>
      <c r="E2896" t="inlineStr">
        <is>
          <t>GNOSJÖ</t>
        </is>
      </c>
      <c r="G2896" t="n">
        <v>0.7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10463-2022</t>
        </is>
      </c>
      <c r="B2897" s="1" t="n">
        <v>44623</v>
      </c>
      <c r="C2897" s="1" t="n">
        <v>45962</v>
      </c>
      <c r="D2897" t="inlineStr">
        <is>
          <t>JÖNKÖPINGS LÄN</t>
        </is>
      </c>
      <c r="E2897" t="inlineStr">
        <is>
          <t>ANEBY</t>
        </is>
      </c>
      <c r="G2897" t="n">
        <v>1.5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40689-2024</t>
        </is>
      </c>
      <c r="B2898" s="1" t="n">
        <v>45558</v>
      </c>
      <c r="C2898" s="1" t="n">
        <v>45962</v>
      </c>
      <c r="D2898" t="inlineStr">
        <is>
          <t>JÖNKÖPINGS LÄN</t>
        </is>
      </c>
      <c r="E2898" t="inlineStr">
        <is>
          <t>EKSJÖ</t>
        </is>
      </c>
      <c r="G2898" t="n">
        <v>2.3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50069-2024</t>
        </is>
      </c>
      <c r="B2899" s="1" t="n">
        <v>45600.35842592592</v>
      </c>
      <c r="C2899" s="1" t="n">
        <v>45962</v>
      </c>
      <c r="D2899" t="inlineStr">
        <is>
          <t>JÖNKÖPINGS LÄN</t>
        </is>
      </c>
      <c r="E2899" t="inlineStr">
        <is>
          <t>ANEBY</t>
        </is>
      </c>
      <c r="G2899" t="n">
        <v>0.4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60372-2020</t>
        </is>
      </c>
      <c r="B2900" s="1" t="n">
        <v>44152</v>
      </c>
      <c r="C2900" s="1" t="n">
        <v>45962</v>
      </c>
      <c r="D2900" t="inlineStr">
        <is>
          <t>JÖNKÖPINGS LÄN</t>
        </is>
      </c>
      <c r="E2900" t="inlineStr">
        <is>
          <t>VETLANDA</t>
        </is>
      </c>
      <c r="G2900" t="n">
        <v>5.9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40841-2024</t>
        </is>
      </c>
      <c r="B2901" s="1" t="n">
        <v>45558</v>
      </c>
      <c r="C2901" s="1" t="n">
        <v>45962</v>
      </c>
      <c r="D2901" t="inlineStr">
        <is>
          <t>JÖNKÖPINGS LÄN</t>
        </is>
      </c>
      <c r="E2901" t="inlineStr">
        <is>
          <t>VÄRNAMO</t>
        </is>
      </c>
      <c r="G2901" t="n">
        <v>0.6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61638-2024</t>
        </is>
      </c>
      <c r="B2902" s="1" t="n">
        <v>45646.67994212963</v>
      </c>
      <c r="C2902" s="1" t="n">
        <v>45962</v>
      </c>
      <c r="D2902" t="inlineStr">
        <is>
          <t>JÖNKÖPINGS LÄN</t>
        </is>
      </c>
      <c r="E2902" t="inlineStr">
        <is>
          <t>JÖNKÖPING</t>
        </is>
      </c>
      <c r="G2902" t="n">
        <v>0.5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40847-2024</t>
        </is>
      </c>
      <c r="B2903" s="1" t="n">
        <v>45558</v>
      </c>
      <c r="C2903" s="1" t="n">
        <v>45962</v>
      </c>
      <c r="D2903" t="inlineStr">
        <is>
          <t>JÖNKÖPINGS LÄN</t>
        </is>
      </c>
      <c r="E2903" t="inlineStr">
        <is>
          <t>VÄRNAMO</t>
        </is>
      </c>
      <c r="G2903" t="n">
        <v>1.3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51452-2021</t>
        </is>
      </c>
      <c r="B2904" s="1" t="n">
        <v>44460</v>
      </c>
      <c r="C2904" s="1" t="n">
        <v>45962</v>
      </c>
      <c r="D2904" t="inlineStr">
        <is>
          <t>JÖNKÖPINGS LÄN</t>
        </is>
      </c>
      <c r="E2904" t="inlineStr">
        <is>
          <t>ANEBY</t>
        </is>
      </c>
      <c r="F2904" t="inlineStr">
        <is>
          <t>Övriga Aktiebolag</t>
        </is>
      </c>
      <c r="G2904" t="n">
        <v>4.8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43624-2023</t>
        </is>
      </c>
      <c r="B2905" s="1" t="n">
        <v>45184</v>
      </c>
      <c r="C2905" s="1" t="n">
        <v>45962</v>
      </c>
      <c r="D2905" t="inlineStr">
        <is>
          <t>JÖNKÖPINGS LÄN</t>
        </is>
      </c>
      <c r="E2905" t="inlineStr">
        <is>
          <t>JÖNKÖPING</t>
        </is>
      </c>
      <c r="G2905" t="n">
        <v>4.1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43625-2023</t>
        </is>
      </c>
      <c r="B2906" s="1" t="n">
        <v>45184</v>
      </c>
      <c r="C2906" s="1" t="n">
        <v>45962</v>
      </c>
      <c r="D2906" t="inlineStr">
        <is>
          <t>JÖNKÖPINGS LÄN</t>
        </is>
      </c>
      <c r="E2906" t="inlineStr">
        <is>
          <t>NÄSSJÖ</t>
        </is>
      </c>
      <c r="G2906" t="n">
        <v>1.4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73961-2021</t>
        </is>
      </c>
      <c r="B2907" s="1" t="n">
        <v>44553.68085648148</v>
      </c>
      <c r="C2907" s="1" t="n">
        <v>45962</v>
      </c>
      <c r="D2907" t="inlineStr">
        <is>
          <t>JÖNKÖPINGS LÄN</t>
        </is>
      </c>
      <c r="E2907" t="inlineStr">
        <is>
          <t>GNOSJÖ</t>
        </is>
      </c>
      <c r="F2907" t="inlineStr">
        <is>
          <t>Sveaskog</t>
        </is>
      </c>
      <c r="G2907" t="n">
        <v>5.1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41739-2023</t>
        </is>
      </c>
      <c r="B2908" s="1" t="n">
        <v>45176</v>
      </c>
      <c r="C2908" s="1" t="n">
        <v>45962</v>
      </c>
      <c r="D2908" t="inlineStr">
        <is>
          <t>JÖNKÖPINGS LÄN</t>
        </is>
      </c>
      <c r="E2908" t="inlineStr">
        <is>
          <t>EKSJÖ</t>
        </is>
      </c>
      <c r="G2908" t="n">
        <v>1.3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4794-2023</t>
        </is>
      </c>
      <c r="B2909" s="1" t="n">
        <v>44957.61083333333</v>
      </c>
      <c r="C2909" s="1" t="n">
        <v>45962</v>
      </c>
      <c r="D2909" t="inlineStr">
        <is>
          <t>JÖNKÖPINGS LÄN</t>
        </is>
      </c>
      <c r="E2909" t="inlineStr">
        <is>
          <t>VETLANDA</t>
        </is>
      </c>
      <c r="G2909" t="n">
        <v>0.7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6385-2023</t>
        </is>
      </c>
      <c r="B2910" s="1" t="n">
        <v>44960</v>
      </c>
      <c r="C2910" s="1" t="n">
        <v>45962</v>
      </c>
      <c r="D2910" t="inlineStr">
        <is>
          <t>JÖNKÖPINGS LÄN</t>
        </is>
      </c>
      <c r="E2910" t="inlineStr">
        <is>
          <t>VAGGERYD</t>
        </is>
      </c>
      <c r="G2910" t="n">
        <v>3.1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6402-2023</t>
        </is>
      </c>
      <c r="B2911" s="1" t="n">
        <v>44965.67059027778</v>
      </c>
      <c r="C2911" s="1" t="n">
        <v>45962</v>
      </c>
      <c r="D2911" t="inlineStr">
        <is>
          <t>JÖNKÖPINGS LÄN</t>
        </is>
      </c>
      <c r="E2911" t="inlineStr">
        <is>
          <t>NÄSSJÖ</t>
        </is>
      </c>
      <c r="G2911" t="n">
        <v>1.1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62177-2023</t>
        </is>
      </c>
      <c r="B2912" s="1" t="n">
        <v>45267.43850694445</v>
      </c>
      <c r="C2912" s="1" t="n">
        <v>45962</v>
      </c>
      <c r="D2912" t="inlineStr">
        <is>
          <t>JÖNKÖPINGS LÄN</t>
        </is>
      </c>
      <c r="E2912" t="inlineStr">
        <is>
          <t>SÄVSJÖ</t>
        </is>
      </c>
      <c r="G2912" t="n">
        <v>0.4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17967-2023</t>
        </is>
      </c>
      <c r="B2913" s="1" t="n">
        <v>45040</v>
      </c>
      <c r="C2913" s="1" t="n">
        <v>45962</v>
      </c>
      <c r="D2913" t="inlineStr">
        <is>
          <t>JÖNKÖPINGS LÄN</t>
        </is>
      </c>
      <c r="E2913" t="inlineStr">
        <is>
          <t>VAGGERYD</t>
        </is>
      </c>
      <c r="G2913" t="n">
        <v>1.6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38315-2024</t>
        </is>
      </c>
      <c r="B2914" s="1" t="n">
        <v>45545.65415509259</v>
      </c>
      <c r="C2914" s="1" t="n">
        <v>45962</v>
      </c>
      <c r="D2914" t="inlineStr">
        <is>
          <t>JÖNKÖPINGS LÄN</t>
        </is>
      </c>
      <c r="E2914" t="inlineStr">
        <is>
          <t>JÖNKÖPING</t>
        </is>
      </c>
      <c r="F2914" t="inlineStr">
        <is>
          <t>Sveaskog</t>
        </is>
      </c>
      <c r="G2914" t="n">
        <v>5.9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16303-2023</t>
        </is>
      </c>
      <c r="B2915" s="1" t="n">
        <v>45028</v>
      </c>
      <c r="C2915" s="1" t="n">
        <v>45962</v>
      </c>
      <c r="D2915" t="inlineStr">
        <is>
          <t>JÖNKÖPINGS LÄN</t>
        </is>
      </c>
      <c r="E2915" t="inlineStr">
        <is>
          <t>GNOSJÖ</t>
        </is>
      </c>
      <c r="G2915" t="n">
        <v>6.3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57228-2024</t>
        </is>
      </c>
      <c r="B2916" s="1" t="n">
        <v>45629.53693287037</v>
      </c>
      <c r="C2916" s="1" t="n">
        <v>45962</v>
      </c>
      <c r="D2916" t="inlineStr">
        <is>
          <t>JÖNKÖPINGS LÄN</t>
        </is>
      </c>
      <c r="E2916" t="inlineStr">
        <is>
          <t>GISLAVED</t>
        </is>
      </c>
      <c r="G2916" t="n">
        <v>1.5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18438-2025</t>
        </is>
      </c>
      <c r="B2917" s="1" t="n">
        <v>45762</v>
      </c>
      <c r="C2917" s="1" t="n">
        <v>45962</v>
      </c>
      <c r="D2917" t="inlineStr">
        <is>
          <t>JÖNKÖPINGS LÄN</t>
        </is>
      </c>
      <c r="E2917" t="inlineStr">
        <is>
          <t>ANEBY</t>
        </is>
      </c>
      <c r="F2917" t="inlineStr">
        <is>
          <t>Övriga Aktiebolag</t>
        </is>
      </c>
      <c r="G2917" t="n">
        <v>1.2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38873-2023</t>
        </is>
      </c>
      <c r="B2918" s="1" t="n">
        <v>45161</v>
      </c>
      <c r="C2918" s="1" t="n">
        <v>45962</v>
      </c>
      <c r="D2918" t="inlineStr">
        <is>
          <t>JÖNKÖPINGS LÄN</t>
        </is>
      </c>
      <c r="E2918" t="inlineStr">
        <is>
          <t>ANEBY</t>
        </is>
      </c>
      <c r="G2918" t="n">
        <v>1.1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2670-2024</t>
        </is>
      </c>
      <c r="B2919" s="1" t="n">
        <v>45314</v>
      </c>
      <c r="C2919" s="1" t="n">
        <v>45962</v>
      </c>
      <c r="D2919" t="inlineStr">
        <is>
          <t>JÖNKÖPINGS LÄN</t>
        </is>
      </c>
      <c r="E2919" t="inlineStr">
        <is>
          <t>EKSJÖ</t>
        </is>
      </c>
      <c r="G2919" t="n">
        <v>1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2690-2024</t>
        </is>
      </c>
      <c r="B2920" s="1" t="n">
        <v>45314</v>
      </c>
      <c r="C2920" s="1" t="n">
        <v>45962</v>
      </c>
      <c r="D2920" t="inlineStr">
        <is>
          <t>JÖNKÖPINGS LÄN</t>
        </is>
      </c>
      <c r="E2920" t="inlineStr">
        <is>
          <t>EKSJÖ</t>
        </is>
      </c>
      <c r="G2920" t="n">
        <v>1.2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8997-2025</t>
        </is>
      </c>
      <c r="B2921" s="1" t="n">
        <v>45713.55327546296</v>
      </c>
      <c r="C2921" s="1" t="n">
        <v>45962</v>
      </c>
      <c r="D2921" t="inlineStr">
        <is>
          <t>JÖNKÖPINGS LÄN</t>
        </is>
      </c>
      <c r="E2921" t="inlineStr">
        <is>
          <t>NÄSSJÖ</t>
        </is>
      </c>
      <c r="G2921" t="n">
        <v>5.8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61608-2023</t>
        </is>
      </c>
      <c r="B2922" s="1" t="n">
        <v>45265.51501157408</v>
      </c>
      <c r="C2922" s="1" t="n">
        <v>45962</v>
      </c>
      <c r="D2922" t="inlineStr">
        <is>
          <t>JÖNKÖPINGS LÄN</t>
        </is>
      </c>
      <c r="E2922" t="inlineStr">
        <is>
          <t>VÄRNAMO</t>
        </is>
      </c>
      <c r="G2922" t="n">
        <v>2.2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395-2022</t>
        </is>
      </c>
      <c r="B2923" s="1" t="n">
        <v>44565.70857638889</v>
      </c>
      <c r="C2923" s="1" t="n">
        <v>45962</v>
      </c>
      <c r="D2923" t="inlineStr">
        <is>
          <t>JÖNKÖPINGS LÄN</t>
        </is>
      </c>
      <c r="E2923" t="inlineStr">
        <is>
          <t>ANEBY</t>
        </is>
      </c>
      <c r="G2923" t="n">
        <v>0.7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7366-2024</t>
        </is>
      </c>
      <c r="B2924" s="1" t="n">
        <v>45345.48063657407</v>
      </c>
      <c r="C2924" s="1" t="n">
        <v>45962</v>
      </c>
      <c r="D2924" t="inlineStr">
        <is>
          <t>JÖNKÖPINGS LÄN</t>
        </is>
      </c>
      <c r="E2924" t="inlineStr">
        <is>
          <t>VETLANDA</t>
        </is>
      </c>
      <c r="G2924" t="n">
        <v>0.6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7369-2024</t>
        </is>
      </c>
      <c r="B2925" s="1" t="n">
        <v>45345</v>
      </c>
      <c r="C2925" s="1" t="n">
        <v>45962</v>
      </c>
      <c r="D2925" t="inlineStr">
        <is>
          <t>JÖNKÖPINGS LÄN</t>
        </is>
      </c>
      <c r="E2925" t="inlineStr">
        <is>
          <t>GISLAVED</t>
        </is>
      </c>
      <c r="G2925" t="n">
        <v>1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23349-2023</t>
        </is>
      </c>
      <c r="B2926" s="1" t="n">
        <v>45076</v>
      </c>
      <c r="C2926" s="1" t="n">
        <v>45962</v>
      </c>
      <c r="D2926" t="inlineStr">
        <is>
          <t>JÖNKÖPINGS LÄN</t>
        </is>
      </c>
      <c r="E2926" t="inlineStr">
        <is>
          <t>ANEBY</t>
        </is>
      </c>
      <c r="G2926" t="n">
        <v>0.4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2162-2024</t>
        </is>
      </c>
      <c r="B2927" s="1" t="n">
        <v>45309.60319444445</v>
      </c>
      <c r="C2927" s="1" t="n">
        <v>45962</v>
      </c>
      <c r="D2927" t="inlineStr">
        <is>
          <t>JÖNKÖPINGS LÄN</t>
        </is>
      </c>
      <c r="E2927" t="inlineStr">
        <is>
          <t>VETLANDA</t>
        </is>
      </c>
      <c r="G2927" t="n">
        <v>5.5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17991-2021</t>
        </is>
      </c>
      <c r="B2928" s="1" t="n">
        <v>44301.75015046296</v>
      </c>
      <c r="C2928" s="1" t="n">
        <v>45962</v>
      </c>
      <c r="D2928" t="inlineStr">
        <is>
          <t>JÖNKÖPINGS LÄN</t>
        </is>
      </c>
      <c r="E2928" t="inlineStr">
        <is>
          <t>VETLANDA</t>
        </is>
      </c>
      <c r="G2928" t="n">
        <v>0.8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36945-2023</t>
        </is>
      </c>
      <c r="B2929" s="1" t="n">
        <v>45154</v>
      </c>
      <c r="C2929" s="1" t="n">
        <v>45962</v>
      </c>
      <c r="D2929" t="inlineStr">
        <is>
          <t>JÖNKÖPINGS LÄN</t>
        </is>
      </c>
      <c r="E2929" t="inlineStr">
        <is>
          <t>NÄSSJÖ</t>
        </is>
      </c>
      <c r="G2929" t="n">
        <v>0.8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36950-2023</t>
        </is>
      </c>
      <c r="B2930" s="1" t="n">
        <v>45154</v>
      </c>
      <c r="C2930" s="1" t="n">
        <v>45962</v>
      </c>
      <c r="D2930" t="inlineStr">
        <is>
          <t>JÖNKÖPINGS LÄN</t>
        </is>
      </c>
      <c r="E2930" t="inlineStr">
        <is>
          <t>NÄSSJÖ</t>
        </is>
      </c>
      <c r="G2930" t="n">
        <v>1.4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58102-2021</t>
        </is>
      </c>
      <c r="B2931" s="1" t="n">
        <v>44487</v>
      </c>
      <c r="C2931" s="1" t="n">
        <v>45962</v>
      </c>
      <c r="D2931" t="inlineStr">
        <is>
          <t>JÖNKÖPINGS LÄN</t>
        </is>
      </c>
      <c r="E2931" t="inlineStr">
        <is>
          <t>VETLANDA</t>
        </is>
      </c>
      <c r="G2931" t="n">
        <v>1.9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34799-2024</t>
        </is>
      </c>
      <c r="B2932" s="1" t="n">
        <v>45526.67918981481</v>
      </c>
      <c r="C2932" s="1" t="n">
        <v>45962</v>
      </c>
      <c r="D2932" t="inlineStr">
        <is>
          <t>JÖNKÖPINGS LÄN</t>
        </is>
      </c>
      <c r="E2932" t="inlineStr">
        <is>
          <t>VETLANDA</t>
        </is>
      </c>
      <c r="G2932" t="n">
        <v>0.9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12304-2023</t>
        </is>
      </c>
      <c r="B2933" s="1" t="n">
        <v>44998</v>
      </c>
      <c r="C2933" s="1" t="n">
        <v>45962</v>
      </c>
      <c r="D2933" t="inlineStr">
        <is>
          <t>JÖNKÖPINGS LÄN</t>
        </is>
      </c>
      <c r="E2933" t="inlineStr">
        <is>
          <t>VÄRNAMO</t>
        </is>
      </c>
      <c r="G2933" t="n">
        <v>2.1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12305-2023</t>
        </is>
      </c>
      <c r="B2934" s="1" t="n">
        <v>44998</v>
      </c>
      <c r="C2934" s="1" t="n">
        <v>45962</v>
      </c>
      <c r="D2934" t="inlineStr">
        <is>
          <t>JÖNKÖPINGS LÄN</t>
        </is>
      </c>
      <c r="E2934" t="inlineStr">
        <is>
          <t>VÄRNAMO</t>
        </is>
      </c>
      <c r="G2934" t="n">
        <v>3.7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9366-2025</t>
        </is>
      </c>
      <c r="B2935" s="1" t="n">
        <v>45715.32063657408</v>
      </c>
      <c r="C2935" s="1" t="n">
        <v>45962</v>
      </c>
      <c r="D2935" t="inlineStr">
        <is>
          <t>JÖNKÖPINGS LÄN</t>
        </is>
      </c>
      <c r="E2935" t="inlineStr">
        <is>
          <t>SÄVSJÖ</t>
        </is>
      </c>
      <c r="G2935" t="n">
        <v>1.6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9368-2025</t>
        </is>
      </c>
      <c r="B2936" s="1" t="n">
        <v>45715.32331018519</v>
      </c>
      <c r="C2936" s="1" t="n">
        <v>45962</v>
      </c>
      <c r="D2936" t="inlineStr">
        <is>
          <t>JÖNKÖPINGS LÄN</t>
        </is>
      </c>
      <c r="E2936" t="inlineStr">
        <is>
          <t>SÄVSJÖ</t>
        </is>
      </c>
      <c r="G2936" t="n">
        <v>2.1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6383-2021</t>
        </is>
      </c>
      <c r="B2937" s="1" t="n">
        <v>44235</v>
      </c>
      <c r="C2937" s="1" t="n">
        <v>45962</v>
      </c>
      <c r="D2937" t="inlineStr">
        <is>
          <t>JÖNKÖPINGS LÄN</t>
        </is>
      </c>
      <c r="E2937" t="inlineStr">
        <is>
          <t>GNOSJÖ</t>
        </is>
      </c>
      <c r="G2937" t="n">
        <v>1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6406-2021</t>
        </is>
      </c>
      <c r="B2938" s="1" t="n">
        <v>44235</v>
      </c>
      <c r="C2938" s="1" t="n">
        <v>45962</v>
      </c>
      <c r="D2938" t="inlineStr">
        <is>
          <t>JÖNKÖPINGS LÄN</t>
        </is>
      </c>
      <c r="E2938" t="inlineStr">
        <is>
          <t>EKSJÖ</t>
        </is>
      </c>
      <c r="G2938" t="n">
        <v>1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44696-2023</t>
        </is>
      </c>
      <c r="B2939" s="1" t="n">
        <v>45184</v>
      </c>
      <c r="C2939" s="1" t="n">
        <v>45962</v>
      </c>
      <c r="D2939" t="inlineStr">
        <is>
          <t>JÖNKÖPINGS LÄN</t>
        </is>
      </c>
      <c r="E2939" t="inlineStr">
        <is>
          <t>JÖNKÖPING</t>
        </is>
      </c>
      <c r="G2939" t="n">
        <v>2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40273-2023</t>
        </is>
      </c>
      <c r="B2940" s="1" t="n">
        <v>45169</v>
      </c>
      <c r="C2940" s="1" t="n">
        <v>45962</v>
      </c>
      <c r="D2940" t="inlineStr">
        <is>
          <t>JÖNKÖPINGS LÄN</t>
        </is>
      </c>
      <c r="E2940" t="inlineStr">
        <is>
          <t>JÖNKÖPING</t>
        </is>
      </c>
      <c r="G2940" t="n">
        <v>2.6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7338-2022</t>
        </is>
      </c>
      <c r="B2941" s="1" t="n">
        <v>44606</v>
      </c>
      <c r="C2941" s="1" t="n">
        <v>45962</v>
      </c>
      <c r="D2941" t="inlineStr">
        <is>
          <t>JÖNKÖPINGS LÄN</t>
        </is>
      </c>
      <c r="E2941" t="inlineStr">
        <is>
          <t>GISLAVED</t>
        </is>
      </c>
      <c r="G2941" t="n">
        <v>0.7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12032-2022</t>
        </is>
      </c>
      <c r="B2942" s="1" t="n">
        <v>44636.34431712963</v>
      </c>
      <c r="C2942" s="1" t="n">
        <v>45962</v>
      </c>
      <c r="D2942" t="inlineStr">
        <is>
          <t>JÖNKÖPINGS LÄN</t>
        </is>
      </c>
      <c r="E2942" t="inlineStr">
        <is>
          <t>VETLANDA</t>
        </is>
      </c>
      <c r="G2942" t="n">
        <v>1.6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40448-2023</t>
        </is>
      </c>
      <c r="B2943" s="1" t="n">
        <v>45170.31317129629</v>
      </c>
      <c r="C2943" s="1" t="n">
        <v>45962</v>
      </c>
      <c r="D2943" t="inlineStr">
        <is>
          <t>JÖNKÖPINGS LÄN</t>
        </is>
      </c>
      <c r="E2943" t="inlineStr">
        <is>
          <t>VETLANDA</t>
        </is>
      </c>
      <c r="G2943" t="n">
        <v>0.5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71504-2021</t>
        </is>
      </c>
      <c r="B2944" s="1" t="n">
        <v>44540.57753472222</v>
      </c>
      <c r="C2944" s="1" t="n">
        <v>45962</v>
      </c>
      <c r="D2944" t="inlineStr">
        <is>
          <t>JÖNKÖPINGS LÄN</t>
        </is>
      </c>
      <c r="E2944" t="inlineStr">
        <is>
          <t>JÖNKÖPING</t>
        </is>
      </c>
      <c r="G2944" t="n">
        <v>6.9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40163-2023</t>
        </is>
      </c>
      <c r="B2945" s="1" t="n">
        <v>45169.38410879629</v>
      </c>
      <c r="C2945" s="1" t="n">
        <v>45962</v>
      </c>
      <c r="D2945" t="inlineStr">
        <is>
          <t>JÖNKÖPINGS LÄN</t>
        </is>
      </c>
      <c r="E2945" t="inlineStr">
        <is>
          <t>JÖNKÖPING</t>
        </is>
      </c>
      <c r="G2945" t="n">
        <v>2.8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40453-2023</t>
        </is>
      </c>
      <c r="B2946" s="1" t="n">
        <v>45170.3212037037</v>
      </c>
      <c r="C2946" s="1" t="n">
        <v>45962</v>
      </c>
      <c r="D2946" t="inlineStr">
        <is>
          <t>JÖNKÖPINGS LÄN</t>
        </is>
      </c>
      <c r="E2946" t="inlineStr">
        <is>
          <t>VETLANDA</t>
        </is>
      </c>
      <c r="G2946" t="n">
        <v>3.9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21149-2022</t>
        </is>
      </c>
      <c r="B2947" s="1" t="n">
        <v>44704.65815972222</v>
      </c>
      <c r="C2947" s="1" t="n">
        <v>45962</v>
      </c>
      <c r="D2947" t="inlineStr">
        <is>
          <t>JÖNKÖPINGS LÄN</t>
        </is>
      </c>
      <c r="E2947" t="inlineStr">
        <is>
          <t>JÖNKÖPING</t>
        </is>
      </c>
      <c r="G2947" t="n">
        <v>2.1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15517-2023</t>
        </is>
      </c>
      <c r="B2948" s="1" t="n">
        <v>45020</v>
      </c>
      <c r="C2948" s="1" t="n">
        <v>45962</v>
      </c>
      <c r="D2948" t="inlineStr">
        <is>
          <t>JÖNKÖPINGS LÄN</t>
        </is>
      </c>
      <c r="E2948" t="inlineStr">
        <is>
          <t>HABO</t>
        </is>
      </c>
      <c r="G2948" t="n">
        <v>1.3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25620-2024</t>
        </is>
      </c>
      <c r="B2949" s="1" t="n">
        <v>45463.64256944445</v>
      </c>
      <c r="C2949" s="1" t="n">
        <v>45962</v>
      </c>
      <c r="D2949" t="inlineStr">
        <is>
          <t>JÖNKÖPINGS LÄN</t>
        </is>
      </c>
      <c r="E2949" t="inlineStr">
        <is>
          <t>VAGGERYD</t>
        </is>
      </c>
      <c r="F2949" t="inlineStr">
        <is>
          <t>Sveaskog</t>
        </is>
      </c>
      <c r="G2949" t="n">
        <v>0.7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29382-2024</t>
        </is>
      </c>
      <c r="B2950" s="1" t="n">
        <v>45483</v>
      </c>
      <c r="C2950" s="1" t="n">
        <v>45962</v>
      </c>
      <c r="D2950" t="inlineStr">
        <is>
          <t>JÖNKÖPINGS LÄN</t>
        </is>
      </c>
      <c r="E2950" t="inlineStr">
        <is>
          <t>VÄRNAMO</t>
        </is>
      </c>
      <c r="G2950" t="n">
        <v>0.2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49598-2023</t>
        </is>
      </c>
      <c r="B2951" s="1" t="n">
        <v>45211.70143518518</v>
      </c>
      <c r="C2951" s="1" t="n">
        <v>45962</v>
      </c>
      <c r="D2951" t="inlineStr">
        <is>
          <t>JÖNKÖPINGS LÄN</t>
        </is>
      </c>
      <c r="E2951" t="inlineStr">
        <is>
          <t>SÄVSJÖ</t>
        </is>
      </c>
      <c r="G2951" t="n">
        <v>1.5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39485-2024</t>
        </is>
      </c>
      <c r="B2952" s="1" t="n">
        <v>45551.65130787037</v>
      </c>
      <c r="C2952" s="1" t="n">
        <v>45962</v>
      </c>
      <c r="D2952" t="inlineStr">
        <is>
          <t>JÖNKÖPINGS LÄN</t>
        </is>
      </c>
      <c r="E2952" t="inlineStr">
        <is>
          <t>NÄSSJÖ</t>
        </is>
      </c>
      <c r="G2952" t="n">
        <v>3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15587-2025</t>
        </is>
      </c>
      <c r="B2953" s="1" t="n">
        <v>45747</v>
      </c>
      <c r="C2953" s="1" t="n">
        <v>45962</v>
      </c>
      <c r="D2953" t="inlineStr">
        <is>
          <t>JÖNKÖPINGS LÄN</t>
        </is>
      </c>
      <c r="E2953" t="inlineStr">
        <is>
          <t>HABO</t>
        </is>
      </c>
      <c r="G2953" t="n">
        <v>1.7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17945-2025</t>
        </is>
      </c>
      <c r="B2954" s="1" t="n">
        <v>45760</v>
      </c>
      <c r="C2954" s="1" t="n">
        <v>45962</v>
      </c>
      <c r="D2954" t="inlineStr">
        <is>
          <t>JÖNKÖPINGS LÄN</t>
        </is>
      </c>
      <c r="E2954" t="inlineStr">
        <is>
          <t>NÄSSJÖ</t>
        </is>
      </c>
      <c r="G2954" t="n">
        <v>3.3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703-2024</t>
        </is>
      </c>
      <c r="B2955" s="1" t="n">
        <v>45300</v>
      </c>
      <c r="C2955" s="1" t="n">
        <v>45962</v>
      </c>
      <c r="D2955" t="inlineStr">
        <is>
          <t>JÖNKÖPINGS LÄN</t>
        </is>
      </c>
      <c r="E2955" t="inlineStr">
        <is>
          <t>ANEBY</t>
        </is>
      </c>
      <c r="G2955" t="n">
        <v>0.4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57423-2023</t>
        </is>
      </c>
      <c r="B2956" s="1" t="n">
        <v>45246.22380787037</v>
      </c>
      <c r="C2956" s="1" t="n">
        <v>45962</v>
      </c>
      <c r="D2956" t="inlineStr">
        <is>
          <t>JÖNKÖPINGS LÄN</t>
        </is>
      </c>
      <c r="E2956" t="inlineStr">
        <is>
          <t>MULLSJÖ</t>
        </is>
      </c>
      <c r="G2956" t="n">
        <v>0.7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15455-2024</t>
        </is>
      </c>
      <c r="B2957" s="1" t="n">
        <v>45401</v>
      </c>
      <c r="C2957" s="1" t="n">
        <v>45962</v>
      </c>
      <c r="D2957" t="inlineStr">
        <is>
          <t>JÖNKÖPINGS LÄN</t>
        </is>
      </c>
      <c r="E2957" t="inlineStr">
        <is>
          <t>JÖNKÖPING</t>
        </is>
      </c>
      <c r="F2957" t="inlineStr">
        <is>
          <t>Kommuner</t>
        </is>
      </c>
      <c r="G2957" t="n">
        <v>0.5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52172-2024</t>
        </is>
      </c>
      <c r="B2958" s="1" t="n">
        <v>45608.54881944445</v>
      </c>
      <c r="C2958" s="1" t="n">
        <v>45962</v>
      </c>
      <c r="D2958" t="inlineStr">
        <is>
          <t>JÖNKÖPINGS LÄN</t>
        </is>
      </c>
      <c r="E2958" t="inlineStr">
        <is>
          <t>VETLANDA</t>
        </is>
      </c>
      <c r="G2958" t="n">
        <v>1.8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38156-2023</t>
        </is>
      </c>
      <c r="B2959" s="1" t="n">
        <v>45161.39702546296</v>
      </c>
      <c r="C2959" s="1" t="n">
        <v>45962</v>
      </c>
      <c r="D2959" t="inlineStr">
        <is>
          <t>JÖNKÖPINGS LÄN</t>
        </is>
      </c>
      <c r="E2959" t="inlineStr">
        <is>
          <t>VÄRNAMO</t>
        </is>
      </c>
      <c r="G2959" t="n">
        <v>1.4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1903-2025</t>
        </is>
      </c>
      <c r="B2960" s="1" t="n">
        <v>45671.64480324074</v>
      </c>
      <c r="C2960" s="1" t="n">
        <v>45962</v>
      </c>
      <c r="D2960" t="inlineStr">
        <is>
          <t>JÖNKÖPINGS LÄN</t>
        </is>
      </c>
      <c r="E2960" t="inlineStr">
        <is>
          <t>EKSJÖ</t>
        </is>
      </c>
      <c r="G2960" t="n">
        <v>1.9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38196-2023</t>
        </is>
      </c>
      <c r="B2961" s="1" t="n">
        <v>45161.49346064815</v>
      </c>
      <c r="C2961" s="1" t="n">
        <v>45962</v>
      </c>
      <c r="D2961" t="inlineStr">
        <is>
          <t>JÖNKÖPINGS LÄN</t>
        </is>
      </c>
      <c r="E2961" t="inlineStr">
        <is>
          <t>VETLANDA</t>
        </is>
      </c>
      <c r="G2961" t="n">
        <v>0.5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38198-2023</t>
        </is>
      </c>
      <c r="B2962" s="1" t="n">
        <v>45161</v>
      </c>
      <c r="C2962" s="1" t="n">
        <v>45962</v>
      </c>
      <c r="D2962" t="inlineStr">
        <is>
          <t>JÖNKÖPINGS LÄN</t>
        </is>
      </c>
      <c r="E2962" t="inlineStr">
        <is>
          <t>EKSJÖ</t>
        </is>
      </c>
      <c r="G2962" t="n">
        <v>8.300000000000001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38199-2023</t>
        </is>
      </c>
      <c r="B2963" s="1" t="n">
        <v>45161.51387731481</v>
      </c>
      <c r="C2963" s="1" t="n">
        <v>45962</v>
      </c>
      <c r="D2963" t="inlineStr">
        <is>
          <t>JÖNKÖPINGS LÄN</t>
        </is>
      </c>
      <c r="E2963" t="inlineStr">
        <is>
          <t>EKSJÖ</t>
        </is>
      </c>
      <c r="G2963" t="n">
        <v>2.8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48229-2022</t>
        </is>
      </c>
      <c r="B2964" s="1" t="n">
        <v>44858</v>
      </c>
      <c r="C2964" s="1" t="n">
        <v>45962</v>
      </c>
      <c r="D2964" t="inlineStr">
        <is>
          <t>JÖNKÖPINGS LÄN</t>
        </is>
      </c>
      <c r="E2964" t="inlineStr">
        <is>
          <t>GNOSJÖ</t>
        </is>
      </c>
      <c r="G2964" t="n">
        <v>3.6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14880-2022</t>
        </is>
      </c>
      <c r="B2965" s="1" t="n">
        <v>44656.81189814815</v>
      </c>
      <c r="C2965" s="1" t="n">
        <v>45962</v>
      </c>
      <c r="D2965" t="inlineStr">
        <is>
          <t>JÖNKÖPINGS LÄN</t>
        </is>
      </c>
      <c r="E2965" t="inlineStr">
        <is>
          <t>SÄVSJÖ</t>
        </is>
      </c>
      <c r="G2965" t="n">
        <v>0.8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2495-2024</t>
        </is>
      </c>
      <c r="B2966" s="1" t="n">
        <v>45313</v>
      </c>
      <c r="C2966" s="1" t="n">
        <v>45962</v>
      </c>
      <c r="D2966" t="inlineStr">
        <is>
          <t>JÖNKÖPINGS LÄN</t>
        </is>
      </c>
      <c r="E2966" t="inlineStr">
        <is>
          <t>MULLSJÖ</t>
        </is>
      </c>
      <c r="G2966" t="n">
        <v>3.5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31810-2023</t>
        </is>
      </c>
      <c r="B2967" s="1" t="n">
        <v>45118.47174768519</v>
      </c>
      <c r="C2967" s="1" t="n">
        <v>45962</v>
      </c>
      <c r="D2967" t="inlineStr">
        <is>
          <t>JÖNKÖPINGS LÄN</t>
        </is>
      </c>
      <c r="E2967" t="inlineStr">
        <is>
          <t>VETLANDA</t>
        </is>
      </c>
      <c r="G2967" t="n">
        <v>0.4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33875-2024</t>
        </is>
      </c>
      <c r="B2968" s="1" t="n">
        <v>45521</v>
      </c>
      <c r="C2968" s="1" t="n">
        <v>45962</v>
      </c>
      <c r="D2968" t="inlineStr">
        <is>
          <t>JÖNKÖPINGS LÄN</t>
        </is>
      </c>
      <c r="E2968" t="inlineStr">
        <is>
          <t>MULLSJÖ</t>
        </is>
      </c>
      <c r="G2968" t="n">
        <v>1.5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27706-2023</t>
        </is>
      </c>
      <c r="B2969" s="1" t="n">
        <v>45098.31300925926</v>
      </c>
      <c r="C2969" s="1" t="n">
        <v>45962</v>
      </c>
      <c r="D2969" t="inlineStr">
        <is>
          <t>JÖNKÖPINGS LÄN</t>
        </is>
      </c>
      <c r="E2969" t="inlineStr">
        <is>
          <t>VETLANDA</t>
        </is>
      </c>
      <c r="G2969" t="n">
        <v>2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8165-2022</t>
        </is>
      </c>
      <c r="B2970" s="1" t="n">
        <v>44609</v>
      </c>
      <c r="C2970" s="1" t="n">
        <v>45962</v>
      </c>
      <c r="D2970" t="inlineStr">
        <is>
          <t>JÖNKÖPINGS LÄN</t>
        </is>
      </c>
      <c r="E2970" t="inlineStr">
        <is>
          <t>EKSJÖ</t>
        </is>
      </c>
      <c r="G2970" t="n">
        <v>0.4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46741-2023</t>
        </is>
      </c>
      <c r="B2971" s="1" t="n">
        <v>45198.60034722222</v>
      </c>
      <c r="C2971" s="1" t="n">
        <v>45962</v>
      </c>
      <c r="D2971" t="inlineStr">
        <is>
          <t>JÖNKÖPINGS LÄN</t>
        </is>
      </c>
      <c r="E2971" t="inlineStr">
        <is>
          <t>JÖNKÖPING</t>
        </is>
      </c>
      <c r="G2971" t="n">
        <v>0.5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46784-2023</t>
        </is>
      </c>
      <c r="B2972" s="1" t="n">
        <v>45198</v>
      </c>
      <c r="C2972" s="1" t="n">
        <v>45962</v>
      </c>
      <c r="D2972" t="inlineStr">
        <is>
          <t>JÖNKÖPINGS LÄN</t>
        </is>
      </c>
      <c r="E2972" t="inlineStr">
        <is>
          <t>ANEBY</t>
        </is>
      </c>
      <c r="F2972" t="inlineStr">
        <is>
          <t>Sveaskog</t>
        </is>
      </c>
      <c r="G2972" t="n">
        <v>0.9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20410-2023</t>
        </is>
      </c>
      <c r="B2973" s="1" t="n">
        <v>45056.6438425926</v>
      </c>
      <c r="C2973" s="1" t="n">
        <v>45962</v>
      </c>
      <c r="D2973" t="inlineStr">
        <is>
          <t>JÖNKÖPINGS LÄN</t>
        </is>
      </c>
      <c r="E2973" t="inlineStr">
        <is>
          <t>JÖNKÖPING</t>
        </is>
      </c>
      <c r="G2973" t="n">
        <v>1.2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16483-2025</t>
        </is>
      </c>
      <c r="B2974" s="1" t="n">
        <v>45751.58004629629</v>
      </c>
      <c r="C2974" s="1" t="n">
        <v>45962</v>
      </c>
      <c r="D2974" t="inlineStr">
        <is>
          <t>JÖNKÖPINGS LÄN</t>
        </is>
      </c>
      <c r="E2974" t="inlineStr">
        <is>
          <t>VETLANDA</t>
        </is>
      </c>
      <c r="G2974" t="n">
        <v>0.9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65037-2023</t>
        </is>
      </c>
      <c r="B2975" s="1" t="n">
        <v>45282</v>
      </c>
      <c r="C2975" s="1" t="n">
        <v>45962</v>
      </c>
      <c r="D2975" t="inlineStr">
        <is>
          <t>JÖNKÖPINGS LÄN</t>
        </is>
      </c>
      <c r="E2975" t="inlineStr">
        <is>
          <t>ANEBY</t>
        </is>
      </c>
      <c r="G2975" t="n">
        <v>2.5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17307-2024</t>
        </is>
      </c>
      <c r="B2976" s="1" t="n">
        <v>45414</v>
      </c>
      <c r="C2976" s="1" t="n">
        <v>45962</v>
      </c>
      <c r="D2976" t="inlineStr">
        <is>
          <t>JÖNKÖPINGS LÄN</t>
        </is>
      </c>
      <c r="E2976" t="inlineStr">
        <is>
          <t>JÖNKÖPING</t>
        </is>
      </c>
      <c r="G2976" t="n">
        <v>1.1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61044-2021</t>
        </is>
      </c>
      <c r="B2977" s="1" t="n">
        <v>44497.69635416667</v>
      </c>
      <c r="C2977" s="1" t="n">
        <v>45962</v>
      </c>
      <c r="D2977" t="inlineStr">
        <is>
          <t>JÖNKÖPINGS LÄN</t>
        </is>
      </c>
      <c r="E2977" t="inlineStr">
        <is>
          <t>GISLAVED</t>
        </is>
      </c>
      <c r="G2977" t="n">
        <v>0.9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14329-2024</t>
        </is>
      </c>
      <c r="B2978" s="1" t="n">
        <v>45393.70334490741</v>
      </c>
      <c r="C2978" s="1" t="n">
        <v>45962</v>
      </c>
      <c r="D2978" t="inlineStr">
        <is>
          <t>JÖNKÖPINGS LÄN</t>
        </is>
      </c>
      <c r="E2978" t="inlineStr">
        <is>
          <t>ANEBY</t>
        </is>
      </c>
      <c r="G2978" t="n">
        <v>0.5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35811-2023</t>
        </is>
      </c>
      <c r="B2979" s="1" t="n">
        <v>45148</v>
      </c>
      <c r="C2979" s="1" t="n">
        <v>45962</v>
      </c>
      <c r="D2979" t="inlineStr">
        <is>
          <t>JÖNKÖPINGS LÄN</t>
        </is>
      </c>
      <c r="E2979" t="inlineStr">
        <is>
          <t>NÄSSJÖ</t>
        </is>
      </c>
      <c r="G2979" t="n">
        <v>0.3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5707-2022</t>
        </is>
      </c>
      <c r="B2980" s="1" t="n">
        <v>44596</v>
      </c>
      <c r="C2980" s="1" t="n">
        <v>45962</v>
      </c>
      <c r="D2980" t="inlineStr">
        <is>
          <t>JÖNKÖPINGS LÄN</t>
        </is>
      </c>
      <c r="E2980" t="inlineStr">
        <is>
          <t>GNOSJÖ</t>
        </is>
      </c>
      <c r="G2980" t="n">
        <v>0.5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11565-2025</t>
        </is>
      </c>
      <c r="B2981" s="1" t="n">
        <v>45727</v>
      </c>
      <c r="C2981" s="1" t="n">
        <v>45962</v>
      </c>
      <c r="D2981" t="inlineStr">
        <is>
          <t>JÖNKÖPINGS LÄN</t>
        </is>
      </c>
      <c r="E2981" t="inlineStr">
        <is>
          <t>ANEBY</t>
        </is>
      </c>
      <c r="G2981" t="n">
        <v>2.4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62103-2021</t>
        </is>
      </c>
      <c r="B2982" s="1" t="n">
        <v>44502.63461805556</v>
      </c>
      <c r="C2982" s="1" t="n">
        <v>45962</v>
      </c>
      <c r="D2982" t="inlineStr">
        <is>
          <t>JÖNKÖPINGS LÄN</t>
        </is>
      </c>
      <c r="E2982" t="inlineStr">
        <is>
          <t>VETLANDA</t>
        </is>
      </c>
      <c r="G2982" t="n">
        <v>1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60463-2023</t>
        </is>
      </c>
      <c r="B2983" s="1" t="n">
        <v>45259.57592592593</v>
      </c>
      <c r="C2983" s="1" t="n">
        <v>45962</v>
      </c>
      <c r="D2983" t="inlineStr">
        <is>
          <t>JÖNKÖPINGS LÄN</t>
        </is>
      </c>
      <c r="E2983" t="inlineStr">
        <is>
          <t>NÄSSJÖ</t>
        </is>
      </c>
      <c r="G2983" t="n">
        <v>1.3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7917-2024</t>
        </is>
      </c>
      <c r="B2984" s="1" t="n">
        <v>45350</v>
      </c>
      <c r="C2984" s="1" t="n">
        <v>45962</v>
      </c>
      <c r="D2984" t="inlineStr">
        <is>
          <t>JÖNKÖPINGS LÄN</t>
        </is>
      </c>
      <c r="E2984" t="inlineStr">
        <is>
          <t>SÄVSJÖ</t>
        </is>
      </c>
      <c r="G2984" t="n">
        <v>0.4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7113-2025</t>
        </is>
      </c>
      <c r="B2985" s="1" t="n">
        <v>45702</v>
      </c>
      <c r="C2985" s="1" t="n">
        <v>45962</v>
      </c>
      <c r="D2985" t="inlineStr">
        <is>
          <t>JÖNKÖPINGS LÄN</t>
        </is>
      </c>
      <c r="E2985" t="inlineStr">
        <is>
          <t>VETLANDA</t>
        </is>
      </c>
      <c r="F2985" t="inlineStr">
        <is>
          <t>Sveaskog</t>
        </is>
      </c>
      <c r="G2985" t="n">
        <v>0.3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63134-2020</t>
        </is>
      </c>
      <c r="B2986" s="1" t="n">
        <v>44162</v>
      </c>
      <c r="C2986" s="1" t="n">
        <v>45962</v>
      </c>
      <c r="D2986" t="inlineStr">
        <is>
          <t>JÖNKÖPINGS LÄN</t>
        </is>
      </c>
      <c r="E2986" t="inlineStr">
        <is>
          <t>NÄSSJÖ</t>
        </is>
      </c>
      <c r="G2986" t="n">
        <v>5.8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17638-2025</t>
        </is>
      </c>
      <c r="B2987" s="1" t="n">
        <v>45758.3190625</v>
      </c>
      <c r="C2987" s="1" t="n">
        <v>45962</v>
      </c>
      <c r="D2987" t="inlineStr">
        <is>
          <t>JÖNKÖPINGS LÄN</t>
        </is>
      </c>
      <c r="E2987" t="inlineStr">
        <is>
          <t>GISLAVED</t>
        </is>
      </c>
      <c r="G2987" t="n">
        <v>1.4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16572-2025</t>
        </is>
      </c>
      <c r="B2988" s="1" t="n">
        <v>45752.48247685185</v>
      </c>
      <c r="C2988" s="1" t="n">
        <v>45962</v>
      </c>
      <c r="D2988" t="inlineStr">
        <is>
          <t>JÖNKÖPINGS LÄN</t>
        </is>
      </c>
      <c r="E2988" t="inlineStr">
        <is>
          <t>MULLSJÖ</t>
        </is>
      </c>
      <c r="G2988" t="n">
        <v>2.1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19804-2025</t>
        </is>
      </c>
      <c r="B2989" s="1" t="n">
        <v>45771.45256944445</v>
      </c>
      <c r="C2989" s="1" t="n">
        <v>45962</v>
      </c>
      <c r="D2989" t="inlineStr">
        <is>
          <t>JÖNKÖPINGS LÄN</t>
        </is>
      </c>
      <c r="E2989" t="inlineStr">
        <is>
          <t>VETLANDA</t>
        </is>
      </c>
      <c r="G2989" t="n">
        <v>1.1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7020-2024</t>
        </is>
      </c>
      <c r="B2990" s="1" t="n">
        <v>45343.5712037037</v>
      </c>
      <c r="C2990" s="1" t="n">
        <v>45962</v>
      </c>
      <c r="D2990" t="inlineStr">
        <is>
          <t>JÖNKÖPINGS LÄN</t>
        </is>
      </c>
      <c r="E2990" t="inlineStr">
        <is>
          <t>VAGGERYD</t>
        </is>
      </c>
      <c r="G2990" t="n">
        <v>3.2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63695-2023</t>
        </is>
      </c>
      <c r="B2991" s="1" t="n">
        <v>45275.70342592592</v>
      </c>
      <c r="C2991" s="1" t="n">
        <v>45962</v>
      </c>
      <c r="D2991" t="inlineStr">
        <is>
          <t>JÖNKÖPINGS LÄN</t>
        </is>
      </c>
      <c r="E2991" t="inlineStr">
        <is>
          <t>NÄSSJÖ</t>
        </is>
      </c>
      <c r="G2991" t="n">
        <v>3.5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17464-2023</t>
        </is>
      </c>
      <c r="B2992" s="1" t="n">
        <v>45036.34731481481</v>
      </c>
      <c r="C2992" s="1" t="n">
        <v>45962</v>
      </c>
      <c r="D2992" t="inlineStr">
        <is>
          <t>JÖNKÖPINGS LÄN</t>
        </is>
      </c>
      <c r="E2992" t="inlineStr">
        <is>
          <t>VÄRNAMO</t>
        </is>
      </c>
      <c r="G2992" t="n">
        <v>2.6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63743-2023</t>
        </is>
      </c>
      <c r="B2993" s="1" t="n">
        <v>45277.82450231481</v>
      </c>
      <c r="C2993" s="1" t="n">
        <v>45962</v>
      </c>
      <c r="D2993" t="inlineStr">
        <is>
          <t>JÖNKÖPINGS LÄN</t>
        </is>
      </c>
      <c r="E2993" t="inlineStr">
        <is>
          <t>NÄSSJÖ</t>
        </is>
      </c>
      <c r="G2993" t="n">
        <v>2.2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18053-2025</t>
        </is>
      </c>
      <c r="B2994" s="1" t="n">
        <v>45761.4737037037</v>
      </c>
      <c r="C2994" s="1" t="n">
        <v>45962</v>
      </c>
      <c r="D2994" t="inlineStr">
        <is>
          <t>JÖNKÖPINGS LÄN</t>
        </is>
      </c>
      <c r="E2994" t="inlineStr">
        <is>
          <t>VÄRNAMO</t>
        </is>
      </c>
      <c r="G2994" t="n">
        <v>1.2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38950-2022</t>
        </is>
      </c>
      <c r="B2995" s="1" t="n">
        <v>44816.69122685185</v>
      </c>
      <c r="C2995" s="1" t="n">
        <v>45962</v>
      </c>
      <c r="D2995" t="inlineStr">
        <is>
          <t>JÖNKÖPINGS LÄN</t>
        </is>
      </c>
      <c r="E2995" t="inlineStr">
        <is>
          <t>SÄVSJÖ</t>
        </is>
      </c>
      <c r="G2995" t="n">
        <v>0.5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58484-2024</t>
        </is>
      </c>
      <c r="B2996" s="1" t="n">
        <v>45635</v>
      </c>
      <c r="C2996" s="1" t="n">
        <v>45962</v>
      </c>
      <c r="D2996" t="inlineStr">
        <is>
          <t>JÖNKÖPINGS LÄN</t>
        </is>
      </c>
      <c r="E2996" t="inlineStr">
        <is>
          <t>EKSJÖ</t>
        </is>
      </c>
      <c r="G2996" t="n">
        <v>4.4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27258-2023</t>
        </is>
      </c>
      <c r="B2997" s="1" t="n">
        <v>45096.61869212963</v>
      </c>
      <c r="C2997" s="1" t="n">
        <v>45962</v>
      </c>
      <c r="D2997" t="inlineStr">
        <is>
          <t>JÖNKÖPINGS LÄN</t>
        </is>
      </c>
      <c r="E2997" t="inlineStr">
        <is>
          <t>GNOSJÖ</t>
        </is>
      </c>
      <c r="G2997" t="n">
        <v>2.5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18735-2025</t>
        </is>
      </c>
      <c r="B2998" s="1" t="n">
        <v>45763.68064814815</v>
      </c>
      <c r="C2998" s="1" t="n">
        <v>45962</v>
      </c>
      <c r="D2998" t="inlineStr">
        <is>
          <t>JÖNKÖPINGS LÄN</t>
        </is>
      </c>
      <c r="E2998" t="inlineStr">
        <is>
          <t>VÄRNAMO</t>
        </is>
      </c>
      <c r="G2998" t="n">
        <v>0.9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58925-2024</t>
        </is>
      </c>
      <c r="B2999" s="1" t="n">
        <v>45636.50546296296</v>
      </c>
      <c r="C2999" s="1" t="n">
        <v>45962</v>
      </c>
      <c r="D2999" t="inlineStr">
        <is>
          <t>JÖNKÖPINGS LÄN</t>
        </is>
      </c>
      <c r="E2999" t="inlineStr">
        <is>
          <t>VAGGERYD</t>
        </is>
      </c>
      <c r="F2999" t="inlineStr">
        <is>
          <t>Sveaskog</t>
        </is>
      </c>
      <c r="G2999" t="n">
        <v>1.4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18767-2025</t>
        </is>
      </c>
      <c r="B3000" s="1" t="n">
        <v>45764.29761574074</v>
      </c>
      <c r="C3000" s="1" t="n">
        <v>45962</v>
      </c>
      <c r="D3000" t="inlineStr">
        <is>
          <t>JÖNKÖPINGS LÄN</t>
        </is>
      </c>
      <c r="E3000" t="inlineStr">
        <is>
          <t>VAGGERYD</t>
        </is>
      </c>
      <c r="G3000" t="n">
        <v>3.4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4101-2023</t>
        </is>
      </c>
      <c r="B3001" s="1" t="n">
        <v>44952</v>
      </c>
      <c r="C3001" s="1" t="n">
        <v>45962</v>
      </c>
      <c r="D3001" t="inlineStr">
        <is>
          <t>JÖNKÖPINGS LÄN</t>
        </is>
      </c>
      <c r="E3001" t="inlineStr">
        <is>
          <t>GISLAVED</t>
        </is>
      </c>
      <c r="G3001" t="n">
        <v>0.8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46940-2022</t>
        </is>
      </c>
      <c r="B3002" s="1" t="n">
        <v>44851</v>
      </c>
      <c r="C3002" s="1" t="n">
        <v>45962</v>
      </c>
      <c r="D3002" t="inlineStr">
        <is>
          <t>JÖNKÖPINGS LÄN</t>
        </is>
      </c>
      <c r="E3002" t="inlineStr">
        <is>
          <t>VÄRNAMO</t>
        </is>
      </c>
      <c r="G3002" t="n">
        <v>1.5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47513-2022</t>
        </is>
      </c>
      <c r="B3003" s="1" t="n">
        <v>44853.68696759259</v>
      </c>
      <c r="C3003" s="1" t="n">
        <v>45962</v>
      </c>
      <c r="D3003" t="inlineStr">
        <is>
          <t>JÖNKÖPINGS LÄN</t>
        </is>
      </c>
      <c r="E3003" t="inlineStr">
        <is>
          <t>GISLAVED</t>
        </is>
      </c>
      <c r="G3003" t="n">
        <v>1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810-2023</t>
        </is>
      </c>
      <c r="B3004" s="1" t="n">
        <v>44931.48320601852</v>
      </c>
      <c r="C3004" s="1" t="n">
        <v>45962</v>
      </c>
      <c r="D3004" t="inlineStr">
        <is>
          <t>JÖNKÖPINGS LÄN</t>
        </is>
      </c>
      <c r="E3004" t="inlineStr">
        <is>
          <t>GISLAVED</t>
        </is>
      </c>
      <c r="G3004" t="n">
        <v>1.1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30712-2024</t>
        </is>
      </c>
      <c r="B3005" s="1" t="n">
        <v>45496.4336574074</v>
      </c>
      <c r="C3005" s="1" t="n">
        <v>45962</v>
      </c>
      <c r="D3005" t="inlineStr">
        <is>
          <t>JÖNKÖPINGS LÄN</t>
        </is>
      </c>
      <c r="E3005" t="inlineStr">
        <is>
          <t>VÄRNAMO</t>
        </is>
      </c>
      <c r="F3005" t="inlineStr">
        <is>
          <t>Kommuner</t>
        </is>
      </c>
      <c r="G3005" t="n">
        <v>4.3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2653-2025</t>
        </is>
      </c>
      <c r="B3006" s="1" t="n">
        <v>45676.66248842593</v>
      </c>
      <c r="C3006" s="1" t="n">
        <v>45962</v>
      </c>
      <c r="D3006" t="inlineStr">
        <is>
          <t>JÖNKÖPINGS LÄN</t>
        </is>
      </c>
      <c r="E3006" t="inlineStr">
        <is>
          <t>VAGGERYD</t>
        </is>
      </c>
      <c r="G3006" t="n">
        <v>0.5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54791-2023</t>
        </is>
      </c>
      <c r="B3007" s="1" t="n">
        <v>45229</v>
      </c>
      <c r="C3007" s="1" t="n">
        <v>45962</v>
      </c>
      <c r="D3007" t="inlineStr">
        <is>
          <t>JÖNKÖPINGS LÄN</t>
        </is>
      </c>
      <c r="E3007" t="inlineStr">
        <is>
          <t>TRANÅS</t>
        </is>
      </c>
      <c r="G3007" t="n">
        <v>1.8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6051-2024</t>
        </is>
      </c>
      <c r="B3008" s="1" t="n">
        <v>45336.70538194444</v>
      </c>
      <c r="C3008" s="1" t="n">
        <v>45962</v>
      </c>
      <c r="D3008" t="inlineStr">
        <is>
          <t>JÖNKÖPINGS LÄN</t>
        </is>
      </c>
      <c r="E3008" t="inlineStr">
        <is>
          <t>VETLANDA</t>
        </is>
      </c>
      <c r="G3008" t="n">
        <v>0.9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7592-2024</t>
        </is>
      </c>
      <c r="B3009" s="1" t="n">
        <v>45348</v>
      </c>
      <c r="C3009" s="1" t="n">
        <v>45962</v>
      </c>
      <c r="D3009" t="inlineStr">
        <is>
          <t>JÖNKÖPINGS LÄN</t>
        </is>
      </c>
      <c r="E3009" t="inlineStr">
        <is>
          <t>VETLANDA</t>
        </is>
      </c>
      <c r="G3009" t="n">
        <v>0.7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74259-2021</t>
        </is>
      </c>
      <c r="B3010" s="1" t="n">
        <v>44558.65225694444</v>
      </c>
      <c r="C3010" s="1" t="n">
        <v>45962</v>
      </c>
      <c r="D3010" t="inlineStr">
        <is>
          <t>JÖNKÖPINGS LÄN</t>
        </is>
      </c>
      <c r="E3010" t="inlineStr">
        <is>
          <t>GISLAVED</t>
        </is>
      </c>
      <c r="G3010" t="n">
        <v>6.6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61946-2024</t>
        </is>
      </c>
      <c r="B3011" s="1" t="n">
        <v>45653.49950231481</v>
      </c>
      <c r="C3011" s="1" t="n">
        <v>45962</v>
      </c>
      <c r="D3011" t="inlineStr">
        <is>
          <t>JÖNKÖPINGS LÄN</t>
        </is>
      </c>
      <c r="E3011" t="inlineStr">
        <is>
          <t>ANEBY</t>
        </is>
      </c>
      <c r="G3011" t="n">
        <v>6.7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61958-2024</t>
        </is>
      </c>
      <c r="B3012" s="1" t="n">
        <v>45653.53244212963</v>
      </c>
      <c r="C3012" s="1" t="n">
        <v>45962</v>
      </c>
      <c r="D3012" t="inlineStr">
        <is>
          <t>JÖNKÖPINGS LÄN</t>
        </is>
      </c>
      <c r="E3012" t="inlineStr">
        <is>
          <t>VAGGERYD</t>
        </is>
      </c>
      <c r="F3012" t="inlineStr">
        <is>
          <t>Sveaskog</t>
        </is>
      </c>
      <c r="G3012" t="n">
        <v>2.7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14117-2023</t>
        </is>
      </c>
      <c r="B3013" s="1" t="n">
        <v>45009.42696759259</v>
      </c>
      <c r="C3013" s="1" t="n">
        <v>45962</v>
      </c>
      <c r="D3013" t="inlineStr">
        <is>
          <t>JÖNKÖPINGS LÄN</t>
        </is>
      </c>
      <c r="E3013" t="inlineStr">
        <is>
          <t>NÄSSJÖ</t>
        </is>
      </c>
      <c r="G3013" t="n">
        <v>3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6230-2025</t>
        </is>
      </c>
      <c r="B3014" s="1" t="n">
        <v>45698.55018518519</v>
      </c>
      <c r="C3014" s="1" t="n">
        <v>45962</v>
      </c>
      <c r="D3014" t="inlineStr">
        <is>
          <t>JÖNKÖPINGS LÄN</t>
        </is>
      </c>
      <c r="E3014" t="inlineStr">
        <is>
          <t>HABO</t>
        </is>
      </c>
      <c r="G3014" t="n">
        <v>1.3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6233-2025</t>
        </is>
      </c>
      <c r="B3015" s="1" t="n">
        <v>45698.55255787037</v>
      </c>
      <c r="C3015" s="1" t="n">
        <v>45962</v>
      </c>
      <c r="D3015" t="inlineStr">
        <is>
          <t>JÖNKÖPINGS LÄN</t>
        </is>
      </c>
      <c r="E3015" t="inlineStr">
        <is>
          <t>HABO</t>
        </is>
      </c>
      <c r="G3015" t="n">
        <v>0.4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30894-2021</t>
        </is>
      </c>
      <c r="B3016" s="1" t="n">
        <v>44365.59041666667</v>
      </c>
      <c r="C3016" s="1" t="n">
        <v>45962</v>
      </c>
      <c r="D3016" t="inlineStr">
        <is>
          <t>JÖNKÖPINGS LÄN</t>
        </is>
      </c>
      <c r="E3016" t="inlineStr">
        <is>
          <t>GISLAVED</t>
        </is>
      </c>
      <c r="G3016" t="n">
        <v>1.9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16368-2024</t>
        </is>
      </c>
      <c r="B3017" s="1" t="n">
        <v>45407.59642361111</v>
      </c>
      <c r="C3017" s="1" t="n">
        <v>45962</v>
      </c>
      <c r="D3017" t="inlineStr">
        <is>
          <t>JÖNKÖPINGS LÄN</t>
        </is>
      </c>
      <c r="E3017" t="inlineStr">
        <is>
          <t>SÄVSJÖ</t>
        </is>
      </c>
      <c r="G3017" t="n">
        <v>0.5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16372-2024</t>
        </is>
      </c>
      <c r="B3018" s="1" t="n">
        <v>45407.6003587963</v>
      </c>
      <c r="C3018" s="1" t="n">
        <v>45962</v>
      </c>
      <c r="D3018" t="inlineStr">
        <is>
          <t>JÖNKÖPINGS LÄN</t>
        </is>
      </c>
      <c r="E3018" t="inlineStr">
        <is>
          <t>SÄVSJÖ</t>
        </is>
      </c>
      <c r="G3018" t="n">
        <v>0.5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43018-2021</t>
        </is>
      </c>
      <c r="B3019" s="1" t="n">
        <v>44431.4768287037</v>
      </c>
      <c r="C3019" s="1" t="n">
        <v>45962</v>
      </c>
      <c r="D3019" t="inlineStr">
        <is>
          <t>JÖNKÖPINGS LÄN</t>
        </is>
      </c>
      <c r="E3019" t="inlineStr">
        <is>
          <t>VETLANDA</t>
        </is>
      </c>
      <c r="G3019" t="n">
        <v>1.2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29066-2022</t>
        </is>
      </c>
      <c r="B3020" s="1" t="n">
        <v>44750.33450231481</v>
      </c>
      <c r="C3020" s="1" t="n">
        <v>45962</v>
      </c>
      <c r="D3020" t="inlineStr">
        <is>
          <t>JÖNKÖPINGS LÄN</t>
        </is>
      </c>
      <c r="E3020" t="inlineStr">
        <is>
          <t>GNOSJÖ</t>
        </is>
      </c>
      <c r="G3020" t="n">
        <v>4.8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10579-2025</t>
        </is>
      </c>
      <c r="B3021" s="1" t="n">
        <v>45721</v>
      </c>
      <c r="C3021" s="1" t="n">
        <v>45962</v>
      </c>
      <c r="D3021" t="inlineStr">
        <is>
          <t>JÖNKÖPINGS LÄN</t>
        </is>
      </c>
      <c r="E3021" t="inlineStr">
        <is>
          <t>GISLAVED</t>
        </is>
      </c>
      <c r="G3021" t="n">
        <v>0.8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14286-2024</t>
        </is>
      </c>
      <c r="B3022" s="1" t="n">
        <v>45393</v>
      </c>
      <c r="C3022" s="1" t="n">
        <v>45962</v>
      </c>
      <c r="D3022" t="inlineStr">
        <is>
          <t>JÖNKÖPINGS LÄN</t>
        </is>
      </c>
      <c r="E3022" t="inlineStr">
        <is>
          <t>TRANÅS</t>
        </is>
      </c>
      <c r="G3022" t="n">
        <v>5.6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29130-2023</t>
        </is>
      </c>
      <c r="B3023" s="1" t="n">
        <v>45105</v>
      </c>
      <c r="C3023" s="1" t="n">
        <v>45962</v>
      </c>
      <c r="D3023" t="inlineStr">
        <is>
          <t>JÖNKÖPINGS LÄN</t>
        </is>
      </c>
      <c r="E3023" t="inlineStr">
        <is>
          <t>TRANÅS</t>
        </is>
      </c>
      <c r="G3023" t="n">
        <v>2.5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39193-2023</t>
        </is>
      </c>
      <c r="B3024" s="1" t="n">
        <v>45162</v>
      </c>
      <c r="C3024" s="1" t="n">
        <v>45962</v>
      </c>
      <c r="D3024" t="inlineStr">
        <is>
          <t>JÖNKÖPINGS LÄN</t>
        </is>
      </c>
      <c r="E3024" t="inlineStr">
        <is>
          <t>VETLANDA</t>
        </is>
      </c>
      <c r="G3024" t="n">
        <v>4.5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10591-2023</t>
        </is>
      </c>
      <c r="B3025" s="1" t="n">
        <v>44988.38030092593</v>
      </c>
      <c r="C3025" s="1" t="n">
        <v>45962</v>
      </c>
      <c r="D3025" t="inlineStr">
        <is>
          <t>JÖNKÖPINGS LÄN</t>
        </is>
      </c>
      <c r="E3025" t="inlineStr">
        <is>
          <t>SÄVSJÖ</t>
        </is>
      </c>
      <c r="G3025" t="n">
        <v>1.1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16212-2024</t>
        </is>
      </c>
      <c r="B3026" s="1" t="n">
        <v>45406.89568287037</v>
      </c>
      <c r="C3026" s="1" t="n">
        <v>45962</v>
      </c>
      <c r="D3026" t="inlineStr">
        <is>
          <t>JÖNKÖPINGS LÄN</t>
        </is>
      </c>
      <c r="E3026" t="inlineStr">
        <is>
          <t>JÖNKÖPING</t>
        </is>
      </c>
      <c r="G3026" t="n">
        <v>0.9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16213-2024</t>
        </is>
      </c>
      <c r="B3027" s="1" t="n">
        <v>45406.89640046296</v>
      </c>
      <c r="C3027" s="1" t="n">
        <v>45962</v>
      </c>
      <c r="D3027" t="inlineStr">
        <is>
          <t>JÖNKÖPINGS LÄN</t>
        </is>
      </c>
      <c r="E3027" t="inlineStr">
        <is>
          <t>JÖNKÖPING</t>
        </is>
      </c>
      <c r="G3027" t="n">
        <v>0.6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23033-2022</t>
        </is>
      </c>
      <c r="B3028" s="1" t="n">
        <v>44719</v>
      </c>
      <c r="C3028" s="1" t="n">
        <v>45962</v>
      </c>
      <c r="D3028" t="inlineStr">
        <is>
          <t>JÖNKÖPINGS LÄN</t>
        </is>
      </c>
      <c r="E3028" t="inlineStr">
        <is>
          <t>TRANÅS</t>
        </is>
      </c>
      <c r="F3028" t="inlineStr">
        <is>
          <t>Kommuner</t>
        </is>
      </c>
      <c r="G3028" t="n">
        <v>5.1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18250-2023</t>
        </is>
      </c>
      <c r="B3029" s="1" t="n">
        <v>45040</v>
      </c>
      <c r="C3029" s="1" t="n">
        <v>45962</v>
      </c>
      <c r="D3029" t="inlineStr">
        <is>
          <t>JÖNKÖPINGS LÄN</t>
        </is>
      </c>
      <c r="E3029" t="inlineStr">
        <is>
          <t>VAGGERYD</t>
        </is>
      </c>
      <c r="G3029" t="n">
        <v>2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2374-2024</t>
        </is>
      </c>
      <c r="B3030" s="1" t="n">
        <v>45310.62752314815</v>
      </c>
      <c r="C3030" s="1" t="n">
        <v>45962</v>
      </c>
      <c r="D3030" t="inlineStr">
        <is>
          <t>JÖNKÖPINGS LÄN</t>
        </is>
      </c>
      <c r="E3030" t="inlineStr">
        <is>
          <t>HABO</t>
        </is>
      </c>
      <c r="G3030" t="n">
        <v>6.8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26054-2023</t>
        </is>
      </c>
      <c r="B3031" s="1" t="n">
        <v>45091.35229166667</v>
      </c>
      <c r="C3031" s="1" t="n">
        <v>45962</v>
      </c>
      <c r="D3031" t="inlineStr">
        <is>
          <t>JÖNKÖPINGS LÄN</t>
        </is>
      </c>
      <c r="E3031" t="inlineStr">
        <is>
          <t>EKSJÖ</t>
        </is>
      </c>
      <c r="F3031" t="inlineStr">
        <is>
          <t>Sveaskog</t>
        </is>
      </c>
      <c r="G3031" t="n">
        <v>1.8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32989-2024</t>
        </is>
      </c>
      <c r="B3032" s="1" t="n">
        <v>45517</v>
      </c>
      <c r="C3032" s="1" t="n">
        <v>45962</v>
      </c>
      <c r="D3032" t="inlineStr">
        <is>
          <t>JÖNKÖPINGS LÄN</t>
        </is>
      </c>
      <c r="E3032" t="inlineStr">
        <is>
          <t>GISLAVED</t>
        </is>
      </c>
      <c r="G3032" t="n">
        <v>0.6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3484-2025</t>
        </is>
      </c>
      <c r="B3033" s="1" t="n">
        <v>45680.54476851852</v>
      </c>
      <c r="C3033" s="1" t="n">
        <v>45962</v>
      </c>
      <c r="D3033" t="inlineStr">
        <is>
          <t>JÖNKÖPINGS LÄN</t>
        </is>
      </c>
      <c r="E3033" t="inlineStr">
        <is>
          <t>EKSJÖ</t>
        </is>
      </c>
      <c r="F3033" t="inlineStr">
        <is>
          <t>Sveaskog</t>
        </is>
      </c>
      <c r="G3033" t="n">
        <v>4.7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17678-2023</t>
        </is>
      </c>
      <c r="B3034" s="1" t="n">
        <v>45037.30505787037</v>
      </c>
      <c r="C3034" s="1" t="n">
        <v>45962</v>
      </c>
      <c r="D3034" t="inlineStr">
        <is>
          <t>JÖNKÖPINGS LÄN</t>
        </is>
      </c>
      <c r="E3034" t="inlineStr">
        <is>
          <t>VÄRNAMO</t>
        </is>
      </c>
      <c r="G3034" t="n">
        <v>3.2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4787-2024</t>
        </is>
      </c>
      <c r="B3035" s="1" t="n">
        <v>45328.80174768518</v>
      </c>
      <c r="C3035" s="1" t="n">
        <v>45962</v>
      </c>
      <c r="D3035" t="inlineStr">
        <is>
          <t>JÖNKÖPINGS LÄN</t>
        </is>
      </c>
      <c r="E3035" t="inlineStr">
        <is>
          <t>VÄRNAMO</t>
        </is>
      </c>
      <c r="G3035" t="n">
        <v>0.4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4788-2024</t>
        </is>
      </c>
      <c r="B3036" s="1" t="n">
        <v>45328.80728009259</v>
      </c>
      <c r="C3036" s="1" t="n">
        <v>45962</v>
      </c>
      <c r="D3036" t="inlineStr">
        <is>
          <t>JÖNKÖPINGS LÄN</t>
        </is>
      </c>
      <c r="E3036" t="inlineStr">
        <is>
          <t>VÄRNAMO</t>
        </is>
      </c>
      <c r="G3036" t="n">
        <v>0.3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52972-2024</t>
        </is>
      </c>
      <c r="B3037" s="1" t="n">
        <v>45611</v>
      </c>
      <c r="C3037" s="1" t="n">
        <v>45962</v>
      </c>
      <c r="D3037" t="inlineStr">
        <is>
          <t>JÖNKÖPINGS LÄN</t>
        </is>
      </c>
      <c r="E3037" t="inlineStr">
        <is>
          <t>NÄSSJÖ</t>
        </is>
      </c>
      <c r="G3037" t="n">
        <v>2.4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5335-2024</t>
        </is>
      </c>
      <c r="B3038" s="1" t="n">
        <v>45331.43450231481</v>
      </c>
      <c r="C3038" s="1" t="n">
        <v>45962</v>
      </c>
      <c r="D3038" t="inlineStr">
        <is>
          <t>JÖNKÖPINGS LÄN</t>
        </is>
      </c>
      <c r="E3038" t="inlineStr">
        <is>
          <t>GISLAVED</t>
        </is>
      </c>
      <c r="G3038" t="n">
        <v>1.5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15412-2025</t>
        </is>
      </c>
      <c r="B3039" s="1" t="n">
        <v>45747.45177083334</v>
      </c>
      <c r="C3039" s="1" t="n">
        <v>45962</v>
      </c>
      <c r="D3039" t="inlineStr">
        <is>
          <t>JÖNKÖPINGS LÄN</t>
        </is>
      </c>
      <c r="E3039" t="inlineStr">
        <is>
          <t>JÖNKÖPING</t>
        </is>
      </c>
      <c r="G3039" t="n">
        <v>1.1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12399-2023</t>
        </is>
      </c>
      <c r="B3040" s="1" t="n">
        <v>44999.49866898148</v>
      </c>
      <c r="C3040" s="1" t="n">
        <v>45962</v>
      </c>
      <c r="D3040" t="inlineStr">
        <is>
          <t>JÖNKÖPINGS LÄN</t>
        </is>
      </c>
      <c r="E3040" t="inlineStr">
        <is>
          <t>EKSJÖ</t>
        </is>
      </c>
      <c r="G3040" t="n">
        <v>0.5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12409-2023</t>
        </is>
      </c>
      <c r="B3041" s="1" t="n">
        <v>44999.51190972222</v>
      </c>
      <c r="C3041" s="1" t="n">
        <v>45962</v>
      </c>
      <c r="D3041" t="inlineStr">
        <is>
          <t>JÖNKÖPINGS LÄN</t>
        </is>
      </c>
      <c r="E3041" t="inlineStr">
        <is>
          <t>EKSJÖ</t>
        </is>
      </c>
      <c r="G3041" t="n">
        <v>0.4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907-2024</t>
        </is>
      </c>
      <c r="B3042" s="1" t="n">
        <v>45301</v>
      </c>
      <c r="C3042" s="1" t="n">
        <v>45962</v>
      </c>
      <c r="D3042" t="inlineStr">
        <is>
          <t>JÖNKÖPINGS LÄN</t>
        </is>
      </c>
      <c r="E3042" t="inlineStr">
        <is>
          <t>SÄVSJÖ</t>
        </is>
      </c>
      <c r="G3042" t="n">
        <v>0.9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3033-2021</t>
        </is>
      </c>
      <c r="B3043" s="1" t="n">
        <v>44216</v>
      </c>
      <c r="C3043" s="1" t="n">
        <v>45962</v>
      </c>
      <c r="D3043" t="inlineStr">
        <is>
          <t>JÖNKÖPINGS LÄN</t>
        </is>
      </c>
      <c r="E3043" t="inlineStr">
        <is>
          <t>VÄRNAMO</t>
        </is>
      </c>
      <c r="G3043" t="n">
        <v>3.3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17149-2024</t>
        </is>
      </c>
      <c r="B3044" s="1" t="n">
        <v>45412</v>
      </c>
      <c r="C3044" s="1" t="n">
        <v>45962</v>
      </c>
      <c r="D3044" t="inlineStr">
        <is>
          <t>JÖNKÖPINGS LÄN</t>
        </is>
      </c>
      <c r="E3044" t="inlineStr">
        <is>
          <t>TRANÅS</t>
        </is>
      </c>
      <c r="G3044" t="n">
        <v>4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17211-2024</t>
        </is>
      </c>
      <c r="B3045" s="1" t="n">
        <v>45414</v>
      </c>
      <c r="C3045" s="1" t="n">
        <v>45962</v>
      </c>
      <c r="D3045" t="inlineStr">
        <is>
          <t>JÖNKÖPINGS LÄN</t>
        </is>
      </c>
      <c r="E3045" t="inlineStr">
        <is>
          <t>VETLANDA</t>
        </is>
      </c>
      <c r="F3045" t="inlineStr">
        <is>
          <t>Sveaskog</t>
        </is>
      </c>
      <c r="G3045" t="n">
        <v>1.1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21132-2024</t>
        </is>
      </c>
      <c r="B3046" s="1" t="n">
        <v>45440.3712037037</v>
      </c>
      <c r="C3046" s="1" t="n">
        <v>45962</v>
      </c>
      <c r="D3046" t="inlineStr">
        <is>
          <t>JÖNKÖPINGS LÄN</t>
        </is>
      </c>
      <c r="E3046" t="inlineStr">
        <is>
          <t>JÖNKÖPING</t>
        </is>
      </c>
      <c r="G3046" t="n">
        <v>5.8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28579-2021</t>
        </is>
      </c>
      <c r="B3047" s="1" t="n">
        <v>44356.83127314815</v>
      </c>
      <c r="C3047" s="1" t="n">
        <v>45962</v>
      </c>
      <c r="D3047" t="inlineStr">
        <is>
          <t>JÖNKÖPINGS LÄN</t>
        </is>
      </c>
      <c r="E3047" t="inlineStr">
        <is>
          <t>NÄSSJÖ</t>
        </is>
      </c>
      <c r="G3047" t="n">
        <v>1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29633-2024</t>
        </is>
      </c>
      <c r="B3048" s="1" t="n">
        <v>45484.66706018519</v>
      </c>
      <c r="C3048" s="1" t="n">
        <v>45962</v>
      </c>
      <c r="D3048" t="inlineStr">
        <is>
          <t>JÖNKÖPINGS LÄN</t>
        </is>
      </c>
      <c r="E3048" t="inlineStr">
        <is>
          <t>GISLAVED</t>
        </is>
      </c>
      <c r="F3048" t="inlineStr">
        <is>
          <t>Kyrkan</t>
        </is>
      </c>
      <c r="G3048" t="n">
        <v>7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51804-2024</t>
        </is>
      </c>
      <c r="B3049" s="1" t="n">
        <v>45607.47658564815</v>
      </c>
      <c r="C3049" s="1" t="n">
        <v>45962</v>
      </c>
      <c r="D3049" t="inlineStr">
        <is>
          <t>JÖNKÖPINGS LÄN</t>
        </is>
      </c>
      <c r="E3049" t="inlineStr">
        <is>
          <t>SÄVSJÖ</t>
        </is>
      </c>
      <c r="G3049" t="n">
        <v>0.6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1313-2024</t>
        </is>
      </c>
      <c r="B3050" s="1" t="n">
        <v>45303</v>
      </c>
      <c r="C3050" s="1" t="n">
        <v>45962</v>
      </c>
      <c r="D3050" t="inlineStr">
        <is>
          <t>JÖNKÖPINGS LÄN</t>
        </is>
      </c>
      <c r="E3050" t="inlineStr">
        <is>
          <t>VETLANDA</t>
        </is>
      </c>
      <c r="G3050" t="n">
        <v>0.5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1314-2024</t>
        </is>
      </c>
      <c r="B3051" s="1" t="n">
        <v>45303.40385416667</v>
      </c>
      <c r="C3051" s="1" t="n">
        <v>45962</v>
      </c>
      <c r="D3051" t="inlineStr">
        <is>
          <t>JÖNKÖPINGS LÄN</t>
        </is>
      </c>
      <c r="E3051" t="inlineStr">
        <is>
          <t>VETLANDA</t>
        </is>
      </c>
      <c r="G3051" t="n">
        <v>0.5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28976-2024</t>
        </is>
      </c>
      <c r="B3052" s="1" t="n">
        <v>45481</v>
      </c>
      <c r="C3052" s="1" t="n">
        <v>45962</v>
      </c>
      <c r="D3052" t="inlineStr">
        <is>
          <t>JÖNKÖPINGS LÄN</t>
        </is>
      </c>
      <c r="E3052" t="inlineStr">
        <is>
          <t>VETLANDA</t>
        </is>
      </c>
      <c r="G3052" t="n">
        <v>1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50275-2023</t>
        </is>
      </c>
      <c r="B3053" s="1" t="n">
        <v>45209</v>
      </c>
      <c r="C3053" s="1" t="n">
        <v>45962</v>
      </c>
      <c r="D3053" t="inlineStr">
        <is>
          <t>JÖNKÖPINGS LÄN</t>
        </is>
      </c>
      <c r="E3053" t="inlineStr">
        <is>
          <t>EKSJÖ</t>
        </is>
      </c>
      <c r="G3053" t="n">
        <v>1.4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59503-2024</t>
        </is>
      </c>
      <c r="B3054" s="1" t="n">
        <v>45638.55125</v>
      </c>
      <c r="C3054" s="1" t="n">
        <v>45962</v>
      </c>
      <c r="D3054" t="inlineStr">
        <is>
          <t>JÖNKÖPINGS LÄN</t>
        </is>
      </c>
      <c r="E3054" t="inlineStr">
        <is>
          <t>MULLSJÖ</t>
        </is>
      </c>
      <c r="G3054" t="n">
        <v>1.4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50293-2023</t>
        </is>
      </c>
      <c r="B3055" s="1" t="n">
        <v>45216.47443287037</v>
      </c>
      <c r="C3055" s="1" t="n">
        <v>45962</v>
      </c>
      <c r="D3055" t="inlineStr">
        <is>
          <t>JÖNKÖPINGS LÄN</t>
        </is>
      </c>
      <c r="E3055" t="inlineStr">
        <is>
          <t>JÖNKÖPING</t>
        </is>
      </c>
      <c r="G3055" t="n">
        <v>1.3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17819-2025</t>
        </is>
      </c>
      <c r="B3056" s="1" t="n">
        <v>45758</v>
      </c>
      <c r="C3056" s="1" t="n">
        <v>45962</v>
      </c>
      <c r="D3056" t="inlineStr">
        <is>
          <t>JÖNKÖPINGS LÄN</t>
        </is>
      </c>
      <c r="E3056" t="inlineStr">
        <is>
          <t>JÖNKÖPING</t>
        </is>
      </c>
      <c r="F3056" t="inlineStr">
        <is>
          <t>Kyrkan</t>
        </is>
      </c>
      <c r="G3056" t="n">
        <v>2.7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60184-2024</t>
        </is>
      </c>
      <c r="B3057" s="1" t="n">
        <v>45639</v>
      </c>
      <c r="C3057" s="1" t="n">
        <v>45962</v>
      </c>
      <c r="D3057" t="inlineStr">
        <is>
          <t>JÖNKÖPINGS LÄN</t>
        </is>
      </c>
      <c r="E3057" t="inlineStr">
        <is>
          <t>TRANÅS</t>
        </is>
      </c>
      <c r="G3057" t="n">
        <v>6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19793-2023</t>
        </is>
      </c>
      <c r="B3058" s="1" t="n">
        <v>45051</v>
      </c>
      <c r="C3058" s="1" t="n">
        <v>45962</v>
      </c>
      <c r="D3058" t="inlineStr">
        <is>
          <t>JÖNKÖPINGS LÄN</t>
        </is>
      </c>
      <c r="E3058" t="inlineStr">
        <is>
          <t>VAGGERYD</t>
        </is>
      </c>
      <c r="G3058" t="n">
        <v>1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17722-2023</t>
        </is>
      </c>
      <c r="B3059" s="1" t="n">
        <v>45037</v>
      </c>
      <c r="C3059" s="1" t="n">
        <v>45962</v>
      </c>
      <c r="D3059" t="inlineStr">
        <is>
          <t>JÖNKÖPINGS LÄN</t>
        </is>
      </c>
      <c r="E3059" t="inlineStr">
        <is>
          <t>SÄVSJÖ</t>
        </is>
      </c>
      <c r="G3059" t="n">
        <v>11.8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2375-2023</t>
        </is>
      </c>
      <c r="B3060" s="1" t="n">
        <v>44942</v>
      </c>
      <c r="C3060" s="1" t="n">
        <v>45962</v>
      </c>
      <c r="D3060" t="inlineStr">
        <is>
          <t>JÖNKÖPINGS LÄN</t>
        </is>
      </c>
      <c r="E3060" t="inlineStr">
        <is>
          <t>TRANÅS</t>
        </is>
      </c>
      <c r="F3060" t="inlineStr">
        <is>
          <t>Kommuner</t>
        </is>
      </c>
      <c r="G3060" t="n">
        <v>2.5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53914-2021</t>
        </is>
      </c>
      <c r="B3061" s="1" t="n">
        <v>44469.75280092593</v>
      </c>
      <c r="C3061" s="1" t="n">
        <v>45962</v>
      </c>
      <c r="D3061" t="inlineStr">
        <is>
          <t>JÖNKÖPINGS LÄN</t>
        </is>
      </c>
      <c r="E3061" t="inlineStr">
        <is>
          <t>HABO</t>
        </is>
      </c>
      <c r="G3061" t="n">
        <v>1.2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19116-2023</t>
        </is>
      </c>
      <c r="B3062" s="1" t="n">
        <v>45048</v>
      </c>
      <c r="C3062" s="1" t="n">
        <v>45962</v>
      </c>
      <c r="D3062" t="inlineStr">
        <is>
          <t>JÖNKÖPINGS LÄN</t>
        </is>
      </c>
      <c r="E3062" t="inlineStr">
        <is>
          <t>VAGGERYD</t>
        </is>
      </c>
      <c r="G3062" t="n">
        <v>4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15410-2025</t>
        </is>
      </c>
      <c r="B3063" s="1" t="n">
        <v>45747.45038194444</v>
      </c>
      <c r="C3063" s="1" t="n">
        <v>45962</v>
      </c>
      <c r="D3063" t="inlineStr">
        <is>
          <t>JÖNKÖPINGS LÄN</t>
        </is>
      </c>
      <c r="E3063" t="inlineStr">
        <is>
          <t>JÖNKÖPING</t>
        </is>
      </c>
      <c r="G3063" t="n">
        <v>1.3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25963-2024</t>
        </is>
      </c>
      <c r="B3064" s="1" t="n">
        <v>45467.67300925926</v>
      </c>
      <c r="C3064" s="1" t="n">
        <v>45962</v>
      </c>
      <c r="D3064" t="inlineStr">
        <is>
          <t>JÖNKÖPINGS LÄN</t>
        </is>
      </c>
      <c r="E3064" t="inlineStr">
        <is>
          <t>ANEBY</t>
        </is>
      </c>
      <c r="G3064" t="n">
        <v>1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  <c r="U3064">
        <f>HYPERLINK("https://klasma.github.io/Logging_0604/knärot/A 25963-2024 karta knärot.png", "A 25963-2024")</f>
        <v/>
      </c>
      <c r="V3064">
        <f>HYPERLINK("https://klasma.github.io/Logging_0604/klagomål/A 25963-2024 FSC-klagomål.docx", "A 25963-2024")</f>
        <v/>
      </c>
      <c r="W3064">
        <f>HYPERLINK("https://klasma.github.io/Logging_0604/klagomålsmail/A 25963-2024 FSC-klagomål mail.docx", "A 25963-2024")</f>
        <v/>
      </c>
      <c r="X3064">
        <f>HYPERLINK("https://klasma.github.io/Logging_0604/tillsyn/A 25963-2024 tillsynsbegäran.docx", "A 25963-2024")</f>
        <v/>
      </c>
      <c r="Y3064">
        <f>HYPERLINK("https://klasma.github.io/Logging_0604/tillsynsmail/A 25963-2024 tillsynsbegäran mail.docx", "A 25963-2024")</f>
        <v/>
      </c>
    </row>
    <row r="3065" ht="15" customHeight="1">
      <c r="A3065" t="inlineStr">
        <is>
          <t>A 52971-2023</t>
        </is>
      </c>
      <c r="B3065" s="1" t="n">
        <v>45226</v>
      </c>
      <c r="C3065" s="1" t="n">
        <v>45962</v>
      </c>
      <c r="D3065" t="inlineStr">
        <is>
          <t>JÖNKÖPINGS LÄN</t>
        </is>
      </c>
      <c r="E3065" t="inlineStr">
        <is>
          <t>VETLANDA</t>
        </is>
      </c>
      <c r="G3065" t="n">
        <v>1.9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14923-2024</t>
        </is>
      </c>
      <c r="B3066" s="1" t="n">
        <v>45398.61876157407</v>
      </c>
      <c r="C3066" s="1" t="n">
        <v>45962</v>
      </c>
      <c r="D3066" t="inlineStr">
        <is>
          <t>JÖNKÖPINGS LÄN</t>
        </is>
      </c>
      <c r="E3066" t="inlineStr">
        <is>
          <t>TRANÅS</t>
        </is>
      </c>
      <c r="G3066" t="n">
        <v>1.8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44316-2023</t>
        </is>
      </c>
      <c r="B3067" s="1" t="n">
        <v>45188.6525</v>
      </c>
      <c r="C3067" s="1" t="n">
        <v>45962</v>
      </c>
      <c r="D3067" t="inlineStr">
        <is>
          <t>JÖNKÖPINGS LÄN</t>
        </is>
      </c>
      <c r="E3067" t="inlineStr">
        <is>
          <t>VETLANDA</t>
        </is>
      </c>
      <c r="G3067" t="n">
        <v>0.5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29773-2024</t>
        </is>
      </c>
      <c r="B3068" s="1" t="n">
        <v>45485.44782407407</v>
      </c>
      <c r="C3068" s="1" t="n">
        <v>45962</v>
      </c>
      <c r="D3068" t="inlineStr">
        <is>
          <t>JÖNKÖPINGS LÄN</t>
        </is>
      </c>
      <c r="E3068" t="inlineStr">
        <is>
          <t>EKSJÖ</t>
        </is>
      </c>
      <c r="F3068" t="inlineStr">
        <is>
          <t>Övriga Aktiebolag</t>
        </is>
      </c>
      <c r="G3068" t="n">
        <v>2.7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6846-2024</t>
        </is>
      </c>
      <c r="B3069" s="1" t="n">
        <v>45342</v>
      </c>
      <c r="C3069" s="1" t="n">
        <v>45962</v>
      </c>
      <c r="D3069" t="inlineStr">
        <is>
          <t>JÖNKÖPINGS LÄN</t>
        </is>
      </c>
      <c r="E3069" t="inlineStr">
        <is>
          <t>VAGGERYD</t>
        </is>
      </c>
      <c r="G3069" t="n">
        <v>4.5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10453-2025</t>
        </is>
      </c>
      <c r="B3070" s="1" t="n">
        <v>45720.70534722223</v>
      </c>
      <c r="C3070" s="1" t="n">
        <v>45962</v>
      </c>
      <c r="D3070" t="inlineStr">
        <is>
          <t>JÖNKÖPINGS LÄN</t>
        </is>
      </c>
      <c r="E3070" t="inlineStr">
        <is>
          <t>TRANÅS</t>
        </is>
      </c>
      <c r="G3070" t="n">
        <v>0.8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38756-2024</t>
        </is>
      </c>
      <c r="B3071" s="1" t="n">
        <v>45547.43438657407</v>
      </c>
      <c r="C3071" s="1" t="n">
        <v>45962</v>
      </c>
      <c r="D3071" t="inlineStr">
        <is>
          <t>JÖNKÖPINGS LÄN</t>
        </is>
      </c>
      <c r="E3071" t="inlineStr">
        <is>
          <t>JÖNKÖPING</t>
        </is>
      </c>
      <c r="F3071" t="inlineStr">
        <is>
          <t>Sveaskog</t>
        </is>
      </c>
      <c r="G3071" t="n">
        <v>3.5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15920-2025</t>
        </is>
      </c>
      <c r="B3072" s="1" t="n">
        <v>45749.45815972222</v>
      </c>
      <c r="C3072" s="1" t="n">
        <v>45962</v>
      </c>
      <c r="D3072" t="inlineStr">
        <is>
          <t>JÖNKÖPINGS LÄN</t>
        </is>
      </c>
      <c r="E3072" t="inlineStr">
        <is>
          <t>VAGGERYD</t>
        </is>
      </c>
      <c r="F3072" t="inlineStr">
        <is>
          <t>Sveaskog</t>
        </is>
      </c>
      <c r="G3072" t="n">
        <v>4.1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4571-2023</t>
        </is>
      </c>
      <c r="B3073" s="1" t="n">
        <v>44956</v>
      </c>
      <c r="C3073" s="1" t="n">
        <v>45962</v>
      </c>
      <c r="D3073" t="inlineStr">
        <is>
          <t>JÖNKÖPINGS LÄN</t>
        </is>
      </c>
      <c r="E3073" t="inlineStr">
        <is>
          <t>NÄSSJÖ</t>
        </is>
      </c>
      <c r="G3073" t="n">
        <v>5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27200-2021</t>
        </is>
      </c>
      <c r="B3074" s="1" t="n">
        <v>44350.71131944445</v>
      </c>
      <c r="C3074" s="1" t="n">
        <v>45962</v>
      </c>
      <c r="D3074" t="inlineStr">
        <is>
          <t>JÖNKÖPINGS LÄN</t>
        </is>
      </c>
      <c r="E3074" t="inlineStr">
        <is>
          <t>VETLANDA</t>
        </is>
      </c>
      <c r="G3074" t="n">
        <v>1.2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27791-2024</t>
        </is>
      </c>
      <c r="B3075" s="1" t="n">
        <v>45475.55299768518</v>
      </c>
      <c r="C3075" s="1" t="n">
        <v>45962</v>
      </c>
      <c r="D3075" t="inlineStr">
        <is>
          <t>JÖNKÖPINGS LÄN</t>
        </is>
      </c>
      <c r="E3075" t="inlineStr">
        <is>
          <t>HABO</t>
        </is>
      </c>
      <c r="G3075" t="n">
        <v>5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27794-2024</t>
        </is>
      </c>
      <c r="B3076" s="1" t="n">
        <v>45475.55913194444</v>
      </c>
      <c r="C3076" s="1" t="n">
        <v>45962</v>
      </c>
      <c r="D3076" t="inlineStr">
        <is>
          <t>JÖNKÖPINGS LÄN</t>
        </is>
      </c>
      <c r="E3076" t="inlineStr">
        <is>
          <t>HABO</t>
        </is>
      </c>
      <c r="G3076" t="n">
        <v>0.9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33934-2023</t>
        </is>
      </c>
      <c r="B3077" s="1" t="n">
        <v>45134</v>
      </c>
      <c r="C3077" s="1" t="n">
        <v>45962</v>
      </c>
      <c r="D3077" t="inlineStr">
        <is>
          <t>JÖNKÖPINGS LÄN</t>
        </is>
      </c>
      <c r="E3077" t="inlineStr">
        <is>
          <t>VETLANDA</t>
        </is>
      </c>
      <c r="G3077" t="n">
        <v>1.7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5365-2025</t>
        </is>
      </c>
      <c r="B3078" s="1" t="n">
        <v>45692.5816550926</v>
      </c>
      <c r="C3078" s="1" t="n">
        <v>45962</v>
      </c>
      <c r="D3078" t="inlineStr">
        <is>
          <t>JÖNKÖPINGS LÄN</t>
        </is>
      </c>
      <c r="E3078" t="inlineStr">
        <is>
          <t>VETLANDA</t>
        </is>
      </c>
      <c r="G3078" t="n">
        <v>3.6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37946-2022</t>
        </is>
      </c>
      <c r="B3079" s="1" t="n">
        <v>44811.48283564814</v>
      </c>
      <c r="C3079" s="1" t="n">
        <v>45962</v>
      </c>
      <c r="D3079" t="inlineStr">
        <is>
          <t>JÖNKÖPINGS LÄN</t>
        </is>
      </c>
      <c r="E3079" t="inlineStr">
        <is>
          <t>NÄSSJÖ</t>
        </is>
      </c>
      <c r="G3079" t="n">
        <v>2.4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4692-2023</t>
        </is>
      </c>
      <c r="B3080" s="1" t="n">
        <v>44953</v>
      </c>
      <c r="C3080" s="1" t="n">
        <v>45962</v>
      </c>
      <c r="D3080" t="inlineStr">
        <is>
          <t>JÖNKÖPINGS LÄN</t>
        </is>
      </c>
      <c r="E3080" t="inlineStr">
        <is>
          <t>TRANÅS</t>
        </is>
      </c>
      <c r="G3080" t="n">
        <v>2.6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21812-2023</t>
        </is>
      </c>
      <c r="B3081" s="1" t="n">
        <v>45068</v>
      </c>
      <c r="C3081" s="1" t="n">
        <v>45962</v>
      </c>
      <c r="D3081" t="inlineStr">
        <is>
          <t>JÖNKÖPINGS LÄN</t>
        </is>
      </c>
      <c r="E3081" t="inlineStr">
        <is>
          <t>ANEBY</t>
        </is>
      </c>
      <c r="G3081" t="n">
        <v>3.1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32331-2023</t>
        </is>
      </c>
      <c r="B3082" s="1" t="n">
        <v>45120</v>
      </c>
      <c r="C3082" s="1" t="n">
        <v>45962</v>
      </c>
      <c r="D3082" t="inlineStr">
        <is>
          <t>JÖNKÖPINGS LÄN</t>
        </is>
      </c>
      <c r="E3082" t="inlineStr">
        <is>
          <t>HABO</t>
        </is>
      </c>
      <c r="G3082" t="n">
        <v>1.4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19497-2025</t>
        </is>
      </c>
      <c r="B3083" s="1" t="n">
        <v>45770.39206018519</v>
      </c>
      <c r="C3083" s="1" t="n">
        <v>45962</v>
      </c>
      <c r="D3083" t="inlineStr">
        <is>
          <t>JÖNKÖPINGS LÄN</t>
        </is>
      </c>
      <c r="E3083" t="inlineStr">
        <is>
          <t>EKSJÖ</t>
        </is>
      </c>
      <c r="F3083" t="inlineStr">
        <is>
          <t>Sveaskog</t>
        </is>
      </c>
      <c r="G3083" t="n">
        <v>4.1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19504-2025</t>
        </is>
      </c>
      <c r="B3084" s="1" t="n">
        <v>45770.40364583334</v>
      </c>
      <c r="C3084" s="1" t="n">
        <v>45962</v>
      </c>
      <c r="D3084" t="inlineStr">
        <is>
          <t>JÖNKÖPINGS LÄN</t>
        </is>
      </c>
      <c r="E3084" t="inlineStr">
        <is>
          <t>EKSJÖ</t>
        </is>
      </c>
      <c r="F3084" t="inlineStr">
        <is>
          <t>Sveaskog</t>
        </is>
      </c>
      <c r="G3084" t="n">
        <v>4.9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19511-2025</t>
        </is>
      </c>
      <c r="B3085" s="1" t="n">
        <v>45770.42675925926</v>
      </c>
      <c r="C3085" s="1" t="n">
        <v>45962</v>
      </c>
      <c r="D3085" t="inlineStr">
        <is>
          <t>JÖNKÖPINGS LÄN</t>
        </is>
      </c>
      <c r="E3085" t="inlineStr">
        <is>
          <t>EKSJÖ</t>
        </is>
      </c>
      <c r="F3085" t="inlineStr">
        <is>
          <t>Sveaskog</t>
        </is>
      </c>
      <c r="G3085" t="n">
        <v>3.1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29013-2023</t>
        </is>
      </c>
      <c r="B3086" s="1" t="n">
        <v>45104</v>
      </c>
      <c r="C3086" s="1" t="n">
        <v>45962</v>
      </c>
      <c r="D3086" t="inlineStr">
        <is>
          <t>JÖNKÖPINGS LÄN</t>
        </is>
      </c>
      <c r="E3086" t="inlineStr">
        <is>
          <t>SÄVSJÖ</t>
        </is>
      </c>
      <c r="G3086" t="n">
        <v>1.7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43195-2022</t>
        </is>
      </c>
      <c r="B3087" s="1" t="n">
        <v>44834</v>
      </c>
      <c r="C3087" s="1" t="n">
        <v>45962</v>
      </c>
      <c r="D3087" t="inlineStr">
        <is>
          <t>JÖNKÖPINGS LÄN</t>
        </is>
      </c>
      <c r="E3087" t="inlineStr">
        <is>
          <t>VETLANDA</t>
        </is>
      </c>
      <c r="G3087" t="n">
        <v>2.2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28838-2023</t>
        </is>
      </c>
      <c r="B3088" s="1" t="n">
        <v>45104.41076388889</v>
      </c>
      <c r="C3088" s="1" t="n">
        <v>45962</v>
      </c>
      <c r="D3088" t="inlineStr">
        <is>
          <t>JÖNKÖPINGS LÄN</t>
        </is>
      </c>
      <c r="E3088" t="inlineStr">
        <is>
          <t>VETLANDA</t>
        </is>
      </c>
      <c r="G3088" t="n">
        <v>1.2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61451-2022</t>
        </is>
      </c>
      <c r="B3089" s="1" t="n">
        <v>44916.40381944444</v>
      </c>
      <c r="C3089" s="1" t="n">
        <v>45962</v>
      </c>
      <c r="D3089" t="inlineStr">
        <is>
          <t>JÖNKÖPINGS LÄN</t>
        </is>
      </c>
      <c r="E3089" t="inlineStr">
        <is>
          <t>VETLANDA</t>
        </is>
      </c>
      <c r="G3089" t="n">
        <v>0.9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61452-2022</t>
        </is>
      </c>
      <c r="B3090" s="1" t="n">
        <v>44916.40960648148</v>
      </c>
      <c r="C3090" s="1" t="n">
        <v>45962</v>
      </c>
      <c r="D3090" t="inlineStr">
        <is>
          <t>JÖNKÖPINGS LÄN</t>
        </is>
      </c>
      <c r="E3090" t="inlineStr">
        <is>
          <t>VETLANDA</t>
        </is>
      </c>
      <c r="G3090" t="n">
        <v>2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14037-2022</t>
        </is>
      </c>
      <c r="B3091" s="1" t="n">
        <v>44650</v>
      </c>
      <c r="C3091" s="1" t="n">
        <v>45962</v>
      </c>
      <c r="D3091" t="inlineStr">
        <is>
          <t>JÖNKÖPINGS LÄN</t>
        </is>
      </c>
      <c r="E3091" t="inlineStr">
        <is>
          <t>NÄSSJÖ</t>
        </is>
      </c>
      <c r="G3091" t="n">
        <v>0.3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42623-2023</t>
        </is>
      </c>
      <c r="B3092" s="1" t="n">
        <v>45176</v>
      </c>
      <c r="C3092" s="1" t="n">
        <v>45962</v>
      </c>
      <c r="D3092" t="inlineStr">
        <is>
          <t>JÖNKÖPINGS LÄN</t>
        </is>
      </c>
      <c r="E3092" t="inlineStr">
        <is>
          <t>VÄRNAMO</t>
        </is>
      </c>
      <c r="F3092" t="inlineStr">
        <is>
          <t>Kyrkan</t>
        </is>
      </c>
      <c r="G3092" t="n">
        <v>8.800000000000001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15605-2021</t>
        </is>
      </c>
      <c r="B3093" s="1" t="n">
        <v>44285.7033912037</v>
      </c>
      <c r="C3093" s="1" t="n">
        <v>45962</v>
      </c>
      <c r="D3093" t="inlineStr">
        <is>
          <t>JÖNKÖPINGS LÄN</t>
        </is>
      </c>
      <c r="E3093" t="inlineStr">
        <is>
          <t>SÄVSJÖ</t>
        </is>
      </c>
      <c r="G3093" t="n">
        <v>1.8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20733-2025</t>
        </is>
      </c>
      <c r="B3094" s="1" t="n">
        <v>45776.53418981482</v>
      </c>
      <c r="C3094" s="1" t="n">
        <v>45962</v>
      </c>
      <c r="D3094" t="inlineStr">
        <is>
          <t>JÖNKÖPINGS LÄN</t>
        </is>
      </c>
      <c r="E3094" t="inlineStr">
        <is>
          <t>NÄSSJÖ</t>
        </is>
      </c>
      <c r="G3094" t="n">
        <v>5.2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18962-2024</t>
        </is>
      </c>
      <c r="B3095" s="1" t="n">
        <v>45427.536875</v>
      </c>
      <c r="C3095" s="1" t="n">
        <v>45962</v>
      </c>
      <c r="D3095" t="inlineStr">
        <is>
          <t>JÖNKÖPINGS LÄN</t>
        </is>
      </c>
      <c r="E3095" t="inlineStr">
        <is>
          <t>GISLAVED</t>
        </is>
      </c>
      <c r="G3095" t="n">
        <v>0.8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7623-2024</t>
        </is>
      </c>
      <c r="B3096" s="1" t="n">
        <v>45348.6049537037</v>
      </c>
      <c r="C3096" s="1" t="n">
        <v>45962</v>
      </c>
      <c r="D3096" t="inlineStr">
        <is>
          <t>JÖNKÖPINGS LÄN</t>
        </is>
      </c>
      <c r="E3096" t="inlineStr">
        <is>
          <t>VETLANDA</t>
        </is>
      </c>
      <c r="G3096" t="n">
        <v>1.5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46528-2023</t>
        </is>
      </c>
      <c r="B3097" s="1" t="n">
        <v>45197</v>
      </c>
      <c r="C3097" s="1" t="n">
        <v>45962</v>
      </c>
      <c r="D3097" t="inlineStr">
        <is>
          <t>JÖNKÖPINGS LÄN</t>
        </is>
      </c>
      <c r="E3097" t="inlineStr">
        <is>
          <t>EKSJÖ</t>
        </is>
      </c>
      <c r="G3097" t="n">
        <v>0.7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20960-2025</t>
        </is>
      </c>
      <c r="B3098" s="1" t="n">
        <v>45777.44771990741</v>
      </c>
      <c r="C3098" s="1" t="n">
        <v>45962</v>
      </c>
      <c r="D3098" t="inlineStr">
        <is>
          <t>JÖNKÖPINGS LÄN</t>
        </is>
      </c>
      <c r="E3098" t="inlineStr">
        <is>
          <t>EKSJÖ</t>
        </is>
      </c>
      <c r="F3098" t="inlineStr">
        <is>
          <t>Kommuner</t>
        </is>
      </c>
      <c r="G3098" t="n">
        <v>1.6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48887-2023</t>
        </is>
      </c>
      <c r="B3099" s="1" t="n">
        <v>45209</v>
      </c>
      <c r="C3099" s="1" t="n">
        <v>45962</v>
      </c>
      <c r="D3099" t="inlineStr">
        <is>
          <t>JÖNKÖPINGS LÄN</t>
        </is>
      </c>
      <c r="E3099" t="inlineStr">
        <is>
          <t>VÄRNAMO</t>
        </is>
      </c>
      <c r="G3099" t="n">
        <v>1.9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41391-2022</t>
        </is>
      </c>
      <c r="B3100" s="1" t="n">
        <v>44826.60456018519</v>
      </c>
      <c r="C3100" s="1" t="n">
        <v>45962</v>
      </c>
      <c r="D3100" t="inlineStr">
        <is>
          <t>JÖNKÖPINGS LÄN</t>
        </is>
      </c>
      <c r="E3100" t="inlineStr">
        <is>
          <t>SÄVSJÖ</t>
        </is>
      </c>
      <c r="F3100" t="inlineStr">
        <is>
          <t>Sveaskog</t>
        </is>
      </c>
      <c r="G3100" t="n">
        <v>2.2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68431-2020</t>
        </is>
      </c>
      <c r="B3101" s="1" t="n">
        <v>44186</v>
      </c>
      <c r="C3101" s="1" t="n">
        <v>45962</v>
      </c>
      <c r="D3101" t="inlineStr">
        <is>
          <t>JÖNKÖPINGS LÄN</t>
        </is>
      </c>
      <c r="E3101" t="inlineStr">
        <is>
          <t>SÄVSJÖ</t>
        </is>
      </c>
      <c r="G3101" t="n">
        <v>0.7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68437-2020</t>
        </is>
      </c>
      <c r="B3102" s="1" t="n">
        <v>44186.47072916666</v>
      </c>
      <c r="C3102" s="1" t="n">
        <v>45962</v>
      </c>
      <c r="D3102" t="inlineStr">
        <is>
          <t>JÖNKÖPINGS LÄN</t>
        </is>
      </c>
      <c r="E3102" t="inlineStr">
        <is>
          <t>TRANÅS</t>
        </is>
      </c>
      <c r="G3102" t="n">
        <v>1.1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16098-2025</t>
        </is>
      </c>
      <c r="B3103" s="1" t="n">
        <v>45749.94046296296</v>
      </c>
      <c r="C3103" s="1" t="n">
        <v>45962</v>
      </c>
      <c r="D3103" t="inlineStr">
        <is>
          <t>JÖNKÖPINGS LÄN</t>
        </is>
      </c>
      <c r="E3103" t="inlineStr">
        <is>
          <t>VAGGERYD</t>
        </is>
      </c>
      <c r="F3103" t="inlineStr">
        <is>
          <t>Sveaskog</t>
        </is>
      </c>
      <c r="G3103" t="n">
        <v>1.4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7034-2025</t>
        </is>
      </c>
      <c r="B3104" s="1" t="n">
        <v>45701.6352662037</v>
      </c>
      <c r="C3104" s="1" t="n">
        <v>45962</v>
      </c>
      <c r="D3104" t="inlineStr">
        <is>
          <t>JÖNKÖPINGS LÄN</t>
        </is>
      </c>
      <c r="E3104" t="inlineStr">
        <is>
          <t>VETLANDA</t>
        </is>
      </c>
      <c r="F3104" t="inlineStr">
        <is>
          <t>Sveaskog</t>
        </is>
      </c>
      <c r="G3104" t="n">
        <v>1.4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13163-2024</t>
        </is>
      </c>
      <c r="B3105" s="1" t="n">
        <v>45386.39376157407</v>
      </c>
      <c r="C3105" s="1" t="n">
        <v>45962</v>
      </c>
      <c r="D3105" t="inlineStr">
        <is>
          <t>JÖNKÖPINGS LÄN</t>
        </is>
      </c>
      <c r="E3105" t="inlineStr">
        <is>
          <t>ANEBY</t>
        </is>
      </c>
      <c r="G3105" t="n">
        <v>6.9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20568-2025</t>
        </is>
      </c>
      <c r="B3106" s="1" t="n">
        <v>45775.66415509259</v>
      </c>
      <c r="C3106" s="1" t="n">
        <v>45962</v>
      </c>
      <c r="D3106" t="inlineStr">
        <is>
          <t>JÖNKÖPINGS LÄN</t>
        </is>
      </c>
      <c r="E3106" t="inlineStr">
        <is>
          <t>ANEBY</t>
        </is>
      </c>
      <c r="F3106" t="inlineStr">
        <is>
          <t>Kyrkan</t>
        </is>
      </c>
      <c r="G3106" t="n">
        <v>7.6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20088-2025</t>
        </is>
      </c>
      <c r="B3107" s="1" t="n">
        <v>45772.45813657407</v>
      </c>
      <c r="C3107" s="1" t="n">
        <v>45962</v>
      </c>
      <c r="D3107" t="inlineStr">
        <is>
          <t>JÖNKÖPINGS LÄN</t>
        </is>
      </c>
      <c r="E3107" t="inlineStr">
        <is>
          <t>JÖNKÖPING</t>
        </is>
      </c>
      <c r="G3107" t="n">
        <v>4.7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31518-2023</t>
        </is>
      </c>
      <c r="B3108" s="1" t="n">
        <v>45116.44680555556</v>
      </c>
      <c r="C3108" s="1" t="n">
        <v>45962</v>
      </c>
      <c r="D3108" t="inlineStr">
        <is>
          <t>JÖNKÖPINGS LÄN</t>
        </is>
      </c>
      <c r="E3108" t="inlineStr">
        <is>
          <t>JÖNKÖPING</t>
        </is>
      </c>
      <c r="G3108" t="n">
        <v>4.7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6207-2024</t>
        </is>
      </c>
      <c r="B3109" s="1" t="n">
        <v>45337.6000462963</v>
      </c>
      <c r="C3109" s="1" t="n">
        <v>45962</v>
      </c>
      <c r="D3109" t="inlineStr">
        <is>
          <t>JÖNKÖPINGS LÄN</t>
        </is>
      </c>
      <c r="E3109" t="inlineStr">
        <is>
          <t>GISLAVED</t>
        </is>
      </c>
      <c r="G3109" t="n">
        <v>1.9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39951-2024</t>
        </is>
      </c>
      <c r="B3110" s="1" t="n">
        <v>45553.57829861111</v>
      </c>
      <c r="C3110" s="1" t="n">
        <v>45962</v>
      </c>
      <c r="D3110" t="inlineStr">
        <is>
          <t>JÖNKÖPINGS LÄN</t>
        </is>
      </c>
      <c r="E3110" t="inlineStr">
        <is>
          <t>VÄRNAMO</t>
        </is>
      </c>
      <c r="G3110" t="n">
        <v>1.3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39988-2024</t>
        </is>
      </c>
      <c r="B3111" s="1" t="n">
        <v>45553.62432870371</v>
      </c>
      <c r="C3111" s="1" t="n">
        <v>45962</v>
      </c>
      <c r="D3111" t="inlineStr">
        <is>
          <t>JÖNKÖPINGS LÄN</t>
        </is>
      </c>
      <c r="E3111" t="inlineStr">
        <is>
          <t>MULLSJÖ</t>
        </is>
      </c>
      <c r="G3111" t="n">
        <v>6.1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46868-2023</t>
        </is>
      </c>
      <c r="B3112" s="1" t="n">
        <v>45200.66553240741</v>
      </c>
      <c r="C3112" s="1" t="n">
        <v>45962</v>
      </c>
      <c r="D3112" t="inlineStr">
        <is>
          <t>JÖNKÖPINGS LÄN</t>
        </is>
      </c>
      <c r="E3112" t="inlineStr">
        <is>
          <t>VÄRNAMO</t>
        </is>
      </c>
      <c r="F3112" t="inlineStr">
        <is>
          <t>Övriga Aktiebolag</t>
        </is>
      </c>
      <c r="G3112" t="n">
        <v>1.6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24537-2023</t>
        </is>
      </c>
      <c r="B3113" s="1" t="n">
        <v>45082</v>
      </c>
      <c r="C3113" s="1" t="n">
        <v>45962</v>
      </c>
      <c r="D3113" t="inlineStr">
        <is>
          <t>JÖNKÖPINGS LÄN</t>
        </is>
      </c>
      <c r="E3113" t="inlineStr">
        <is>
          <t>VETLANDA</t>
        </is>
      </c>
      <c r="G3113" t="n">
        <v>1.3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24566-2023</t>
        </is>
      </c>
      <c r="B3114" s="1" t="n">
        <v>45083.51130787037</v>
      </c>
      <c r="C3114" s="1" t="n">
        <v>45962</v>
      </c>
      <c r="D3114" t="inlineStr">
        <is>
          <t>JÖNKÖPINGS LÄN</t>
        </is>
      </c>
      <c r="E3114" t="inlineStr">
        <is>
          <t>MULLSJÖ</t>
        </is>
      </c>
      <c r="G3114" t="n">
        <v>13.1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21117-2025</t>
        </is>
      </c>
      <c r="B3115" s="1" t="n">
        <v>45777.73329861111</v>
      </c>
      <c r="C3115" s="1" t="n">
        <v>45962</v>
      </c>
      <c r="D3115" t="inlineStr">
        <is>
          <t>JÖNKÖPINGS LÄN</t>
        </is>
      </c>
      <c r="E3115" t="inlineStr">
        <is>
          <t>GNOSJÖ</t>
        </is>
      </c>
      <c r="G3115" t="n">
        <v>0.6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21118-2025</t>
        </is>
      </c>
      <c r="B3116" s="1" t="n">
        <v>45777.73553240741</v>
      </c>
      <c r="C3116" s="1" t="n">
        <v>45962</v>
      </c>
      <c r="D3116" t="inlineStr">
        <is>
          <t>JÖNKÖPINGS LÄN</t>
        </is>
      </c>
      <c r="E3116" t="inlineStr">
        <is>
          <t>GNOSJÖ</t>
        </is>
      </c>
      <c r="G3116" t="n">
        <v>1.1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51123-2024</t>
        </is>
      </c>
      <c r="B3117" s="1" t="n">
        <v>45603.50640046296</v>
      </c>
      <c r="C3117" s="1" t="n">
        <v>45962</v>
      </c>
      <c r="D3117" t="inlineStr">
        <is>
          <t>JÖNKÖPINGS LÄN</t>
        </is>
      </c>
      <c r="E3117" t="inlineStr">
        <is>
          <t>GISLAVED</t>
        </is>
      </c>
      <c r="G3117" t="n">
        <v>0.9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49256-2024</t>
        </is>
      </c>
      <c r="B3118" s="1" t="n">
        <v>45595</v>
      </c>
      <c r="C3118" s="1" t="n">
        <v>45962</v>
      </c>
      <c r="D3118" t="inlineStr">
        <is>
          <t>JÖNKÖPINGS LÄN</t>
        </is>
      </c>
      <c r="E3118" t="inlineStr">
        <is>
          <t>TRANÅS</t>
        </is>
      </c>
      <c r="G3118" t="n">
        <v>2.5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61321-2023</t>
        </is>
      </c>
      <c r="B3119" s="1" t="n">
        <v>45264</v>
      </c>
      <c r="C3119" s="1" t="n">
        <v>45962</v>
      </c>
      <c r="D3119" t="inlineStr">
        <is>
          <t>JÖNKÖPINGS LÄN</t>
        </is>
      </c>
      <c r="E3119" t="inlineStr">
        <is>
          <t>VÄRNAMO</t>
        </is>
      </c>
      <c r="G3119" t="n">
        <v>1.1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21072-2025</t>
        </is>
      </c>
      <c r="B3120" s="1" t="n">
        <v>45777.59802083333</v>
      </c>
      <c r="C3120" s="1" t="n">
        <v>45962</v>
      </c>
      <c r="D3120" t="inlineStr">
        <is>
          <t>JÖNKÖPINGS LÄN</t>
        </is>
      </c>
      <c r="E3120" t="inlineStr">
        <is>
          <t>HABO</t>
        </is>
      </c>
      <c r="G3120" t="n">
        <v>1.3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21073-2025</t>
        </is>
      </c>
      <c r="B3121" s="1" t="n">
        <v>45777.59881944444</v>
      </c>
      <c r="C3121" s="1" t="n">
        <v>45962</v>
      </c>
      <c r="D3121" t="inlineStr">
        <is>
          <t>JÖNKÖPINGS LÄN</t>
        </is>
      </c>
      <c r="E3121" t="inlineStr">
        <is>
          <t>HABO</t>
        </is>
      </c>
      <c r="G3121" t="n">
        <v>0.7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21019-2025</t>
        </is>
      </c>
      <c r="B3122" s="1" t="n">
        <v>45777.50840277778</v>
      </c>
      <c r="C3122" s="1" t="n">
        <v>45962</v>
      </c>
      <c r="D3122" t="inlineStr">
        <is>
          <t>JÖNKÖPINGS LÄN</t>
        </is>
      </c>
      <c r="E3122" t="inlineStr">
        <is>
          <t>GISLAVED</t>
        </is>
      </c>
      <c r="G3122" t="n">
        <v>4.2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21076-2025</t>
        </is>
      </c>
      <c r="B3123" s="1" t="n">
        <v>45777.60085648148</v>
      </c>
      <c r="C3123" s="1" t="n">
        <v>45962</v>
      </c>
      <c r="D3123" t="inlineStr">
        <is>
          <t>JÖNKÖPINGS LÄN</t>
        </is>
      </c>
      <c r="E3123" t="inlineStr">
        <is>
          <t>GNOSJÖ</t>
        </is>
      </c>
      <c r="G3123" t="n">
        <v>2.6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21082-2025</t>
        </is>
      </c>
      <c r="B3124" s="1" t="n">
        <v>45777.60643518518</v>
      </c>
      <c r="C3124" s="1" t="n">
        <v>45962</v>
      </c>
      <c r="D3124" t="inlineStr">
        <is>
          <t>JÖNKÖPINGS LÄN</t>
        </is>
      </c>
      <c r="E3124" t="inlineStr">
        <is>
          <t>GNOSJÖ</t>
        </is>
      </c>
      <c r="G3124" t="n">
        <v>0.6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109-2025</t>
        </is>
      </c>
      <c r="B3125" s="1" t="n">
        <v>45659.49363425926</v>
      </c>
      <c r="C3125" s="1" t="n">
        <v>45962</v>
      </c>
      <c r="D3125" t="inlineStr">
        <is>
          <t>JÖNKÖPINGS LÄN</t>
        </is>
      </c>
      <c r="E3125" t="inlineStr">
        <is>
          <t>EKSJÖ</t>
        </is>
      </c>
      <c r="G3125" t="n">
        <v>1.2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20964-2024</t>
        </is>
      </c>
      <c r="B3126" s="1" t="n">
        <v>45439.57853009259</v>
      </c>
      <c r="C3126" s="1" t="n">
        <v>45962</v>
      </c>
      <c r="D3126" t="inlineStr">
        <is>
          <t>JÖNKÖPINGS LÄN</t>
        </is>
      </c>
      <c r="E3126" t="inlineStr">
        <is>
          <t>VETLANDA</t>
        </is>
      </c>
      <c r="G3126" t="n">
        <v>2.2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27713-2023</t>
        </is>
      </c>
      <c r="B3127" s="1" t="n">
        <v>45098.32418981481</v>
      </c>
      <c r="C3127" s="1" t="n">
        <v>45962</v>
      </c>
      <c r="D3127" t="inlineStr">
        <is>
          <t>JÖNKÖPINGS LÄN</t>
        </is>
      </c>
      <c r="E3127" t="inlineStr">
        <is>
          <t>SÄVSJÖ</t>
        </is>
      </c>
      <c r="G3127" t="n">
        <v>3.8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20810-2025</t>
        </is>
      </c>
      <c r="B3128" s="1" t="n">
        <v>45776.66296296296</v>
      </c>
      <c r="C3128" s="1" t="n">
        <v>45962</v>
      </c>
      <c r="D3128" t="inlineStr">
        <is>
          <t>JÖNKÖPINGS LÄN</t>
        </is>
      </c>
      <c r="E3128" t="inlineStr">
        <is>
          <t>TRANÅS</t>
        </is>
      </c>
      <c r="F3128" t="inlineStr">
        <is>
          <t>Allmännings- och besparingsskogar</t>
        </is>
      </c>
      <c r="G3128" t="n">
        <v>13.8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34772-2023</t>
        </is>
      </c>
      <c r="B3129" s="1" t="n">
        <v>45141</v>
      </c>
      <c r="C3129" s="1" t="n">
        <v>45962</v>
      </c>
      <c r="D3129" t="inlineStr">
        <is>
          <t>JÖNKÖPINGS LÄN</t>
        </is>
      </c>
      <c r="E3129" t="inlineStr">
        <is>
          <t>EKSJÖ</t>
        </is>
      </c>
      <c r="G3129" t="n">
        <v>0.6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24891-2024</t>
        </is>
      </c>
      <c r="B3130" s="1" t="n">
        <v>45461.56825231481</v>
      </c>
      <c r="C3130" s="1" t="n">
        <v>45962</v>
      </c>
      <c r="D3130" t="inlineStr">
        <is>
          <t>JÖNKÖPINGS LÄN</t>
        </is>
      </c>
      <c r="E3130" t="inlineStr">
        <is>
          <t>VETLANDA</t>
        </is>
      </c>
      <c r="G3130" t="n">
        <v>3.3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24901-2024</t>
        </is>
      </c>
      <c r="B3131" s="1" t="n">
        <v>45461</v>
      </c>
      <c r="C3131" s="1" t="n">
        <v>45962</v>
      </c>
      <c r="D3131" t="inlineStr">
        <is>
          <t>JÖNKÖPINGS LÄN</t>
        </is>
      </c>
      <c r="E3131" t="inlineStr">
        <is>
          <t>ANEBY</t>
        </is>
      </c>
      <c r="G3131" t="n">
        <v>0.9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38942-2023</t>
        </is>
      </c>
      <c r="B3132" s="1" t="n">
        <v>45163.6054050926</v>
      </c>
      <c r="C3132" s="1" t="n">
        <v>45962</v>
      </c>
      <c r="D3132" t="inlineStr">
        <is>
          <t>JÖNKÖPINGS LÄN</t>
        </is>
      </c>
      <c r="E3132" t="inlineStr">
        <is>
          <t>VETLANDA</t>
        </is>
      </c>
      <c r="G3132" t="n">
        <v>1.4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38962-2023</t>
        </is>
      </c>
      <c r="B3133" s="1" t="n">
        <v>45163</v>
      </c>
      <c r="C3133" s="1" t="n">
        <v>45962</v>
      </c>
      <c r="D3133" t="inlineStr">
        <is>
          <t>JÖNKÖPINGS LÄN</t>
        </is>
      </c>
      <c r="E3133" t="inlineStr">
        <is>
          <t>GISLAVED</t>
        </is>
      </c>
      <c r="G3133" t="n">
        <v>1.1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1949-2024</t>
        </is>
      </c>
      <c r="B3134" s="1" t="n">
        <v>45308.49018518518</v>
      </c>
      <c r="C3134" s="1" t="n">
        <v>45962</v>
      </c>
      <c r="D3134" t="inlineStr">
        <is>
          <t>JÖNKÖPINGS LÄN</t>
        </is>
      </c>
      <c r="E3134" t="inlineStr">
        <is>
          <t>VÄRNAMO</t>
        </is>
      </c>
      <c r="G3134" t="n">
        <v>1.8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20839-2025</t>
        </is>
      </c>
      <c r="B3135" s="1" t="n">
        <v>45776.85799768518</v>
      </c>
      <c r="C3135" s="1" t="n">
        <v>45962</v>
      </c>
      <c r="D3135" t="inlineStr">
        <is>
          <t>JÖNKÖPINGS LÄN</t>
        </is>
      </c>
      <c r="E3135" t="inlineStr">
        <is>
          <t>NÄSSJÖ</t>
        </is>
      </c>
      <c r="G3135" t="n">
        <v>5.3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3504-2023</t>
        </is>
      </c>
      <c r="B3136" s="1" t="n">
        <v>44950.27739583333</v>
      </c>
      <c r="C3136" s="1" t="n">
        <v>45962</v>
      </c>
      <c r="D3136" t="inlineStr">
        <is>
          <t>JÖNKÖPINGS LÄN</t>
        </is>
      </c>
      <c r="E3136" t="inlineStr">
        <is>
          <t>GNOSJÖ</t>
        </is>
      </c>
      <c r="G3136" t="n">
        <v>0.6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38213-2024</t>
        </is>
      </c>
      <c r="B3137" s="1" t="n">
        <v>45545.52421296296</v>
      </c>
      <c r="C3137" s="1" t="n">
        <v>45962</v>
      </c>
      <c r="D3137" t="inlineStr">
        <is>
          <t>JÖNKÖPINGS LÄN</t>
        </is>
      </c>
      <c r="E3137" t="inlineStr">
        <is>
          <t>GISLAVED</t>
        </is>
      </c>
      <c r="G3137" t="n">
        <v>0.6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38225-2024</t>
        </is>
      </c>
      <c r="B3138" s="1" t="n">
        <v>45545.53883101852</v>
      </c>
      <c r="C3138" s="1" t="n">
        <v>45962</v>
      </c>
      <c r="D3138" t="inlineStr">
        <is>
          <t>JÖNKÖPINGS LÄN</t>
        </is>
      </c>
      <c r="E3138" t="inlineStr">
        <is>
          <t>JÖNKÖPING</t>
        </is>
      </c>
      <c r="G3138" t="n">
        <v>1.1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20885-2025</t>
        </is>
      </c>
      <c r="B3139" s="1" t="n">
        <v>45777.36719907408</v>
      </c>
      <c r="C3139" s="1" t="n">
        <v>45962</v>
      </c>
      <c r="D3139" t="inlineStr">
        <is>
          <t>JÖNKÖPINGS LÄN</t>
        </is>
      </c>
      <c r="E3139" t="inlineStr">
        <is>
          <t>GISLAVED</t>
        </is>
      </c>
      <c r="G3139" t="n">
        <v>0.7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44349-2023</t>
        </is>
      </c>
      <c r="B3140" s="1" t="n">
        <v>45188.73418981482</v>
      </c>
      <c r="C3140" s="1" t="n">
        <v>45962</v>
      </c>
      <c r="D3140" t="inlineStr">
        <is>
          <t>JÖNKÖPINGS LÄN</t>
        </is>
      </c>
      <c r="E3140" t="inlineStr">
        <is>
          <t>VETLANDA</t>
        </is>
      </c>
      <c r="G3140" t="n">
        <v>2.1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14607-2022</t>
        </is>
      </c>
      <c r="B3141" s="1" t="n">
        <v>44655</v>
      </c>
      <c r="C3141" s="1" t="n">
        <v>45962</v>
      </c>
      <c r="D3141" t="inlineStr">
        <is>
          <t>JÖNKÖPINGS LÄN</t>
        </is>
      </c>
      <c r="E3141" t="inlineStr">
        <is>
          <t>VETLANDA</t>
        </is>
      </c>
      <c r="G3141" t="n">
        <v>1.9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33761-2021</t>
        </is>
      </c>
      <c r="B3142" s="1" t="n">
        <v>44378</v>
      </c>
      <c r="C3142" s="1" t="n">
        <v>45962</v>
      </c>
      <c r="D3142" t="inlineStr">
        <is>
          <t>JÖNKÖPINGS LÄN</t>
        </is>
      </c>
      <c r="E3142" t="inlineStr">
        <is>
          <t>NÄSSJÖ</t>
        </is>
      </c>
      <c r="G3142" t="n">
        <v>2.2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2146-2023</t>
        </is>
      </c>
      <c r="B3143" s="1" t="n">
        <v>44940.87436342592</v>
      </c>
      <c r="C3143" s="1" t="n">
        <v>45962</v>
      </c>
      <c r="D3143" t="inlineStr">
        <is>
          <t>JÖNKÖPINGS LÄN</t>
        </is>
      </c>
      <c r="E3143" t="inlineStr">
        <is>
          <t>EKSJÖ</t>
        </is>
      </c>
      <c r="G3143" t="n">
        <v>2.3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2855-2024</t>
        </is>
      </c>
      <c r="B3144" s="1" t="n">
        <v>45315.41488425926</v>
      </c>
      <c r="C3144" s="1" t="n">
        <v>45962</v>
      </c>
      <c r="D3144" t="inlineStr">
        <is>
          <t>JÖNKÖPINGS LÄN</t>
        </is>
      </c>
      <c r="E3144" t="inlineStr">
        <is>
          <t>SÄVSJÖ</t>
        </is>
      </c>
      <c r="G3144" t="n">
        <v>1.2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45968-2024</t>
        </is>
      </c>
      <c r="B3145" s="1" t="n">
        <v>45580.5847337963</v>
      </c>
      <c r="C3145" s="1" t="n">
        <v>45962</v>
      </c>
      <c r="D3145" t="inlineStr">
        <is>
          <t>JÖNKÖPINGS LÄN</t>
        </is>
      </c>
      <c r="E3145" t="inlineStr">
        <is>
          <t>VETLANDA</t>
        </is>
      </c>
      <c r="G3145" t="n">
        <v>0.7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12885-2023</t>
        </is>
      </c>
      <c r="B3146" s="1" t="n">
        <v>45001</v>
      </c>
      <c r="C3146" s="1" t="n">
        <v>45962</v>
      </c>
      <c r="D3146" t="inlineStr">
        <is>
          <t>JÖNKÖPINGS LÄN</t>
        </is>
      </c>
      <c r="E3146" t="inlineStr">
        <is>
          <t>TRANÅS</t>
        </is>
      </c>
      <c r="G3146" t="n">
        <v>5.4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26639-2022</t>
        </is>
      </c>
      <c r="B3147" s="1" t="n">
        <v>44739.59581018519</v>
      </c>
      <c r="C3147" s="1" t="n">
        <v>45962</v>
      </c>
      <c r="D3147" t="inlineStr">
        <is>
          <t>JÖNKÖPINGS LÄN</t>
        </is>
      </c>
      <c r="E3147" t="inlineStr">
        <is>
          <t>GISLAVED</t>
        </is>
      </c>
      <c r="G3147" t="n">
        <v>1.6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20625-2025</t>
        </is>
      </c>
      <c r="B3148" s="1" t="n">
        <v>45776</v>
      </c>
      <c r="C3148" s="1" t="n">
        <v>45962</v>
      </c>
      <c r="D3148" t="inlineStr">
        <is>
          <t>JÖNKÖPINGS LÄN</t>
        </is>
      </c>
      <c r="E3148" t="inlineStr">
        <is>
          <t>TRANÅS</t>
        </is>
      </c>
      <c r="G3148" t="n">
        <v>3.3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22742-2024</t>
        </is>
      </c>
      <c r="B3149" s="1" t="n">
        <v>45448.40667824074</v>
      </c>
      <c r="C3149" s="1" t="n">
        <v>45962</v>
      </c>
      <c r="D3149" t="inlineStr">
        <is>
          <t>JÖNKÖPINGS LÄN</t>
        </is>
      </c>
      <c r="E3149" t="inlineStr">
        <is>
          <t>VAGGERYD</t>
        </is>
      </c>
      <c r="G3149" t="n">
        <v>9.5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23534-2023</t>
        </is>
      </c>
      <c r="B3150" s="1" t="n">
        <v>45076.98871527778</v>
      </c>
      <c r="C3150" s="1" t="n">
        <v>45962</v>
      </c>
      <c r="D3150" t="inlineStr">
        <is>
          <t>JÖNKÖPINGS LÄN</t>
        </is>
      </c>
      <c r="E3150" t="inlineStr">
        <is>
          <t>EKSJÖ</t>
        </is>
      </c>
      <c r="G3150" t="n">
        <v>8.5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21023-2025</t>
        </is>
      </c>
      <c r="B3151" s="1" t="n">
        <v>45777.51238425926</v>
      </c>
      <c r="C3151" s="1" t="n">
        <v>45962</v>
      </c>
      <c r="D3151" t="inlineStr">
        <is>
          <t>JÖNKÖPINGS LÄN</t>
        </is>
      </c>
      <c r="E3151" t="inlineStr">
        <is>
          <t>GISLAVED</t>
        </is>
      </c>
      <c r="G3151" t="n">
        <v>3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59332-2024</t>
        </is>
      </c>
      <c r="B3152" s="1" t="n">
        <v>45637.79350694444</v>
      </c>
      <c r="C3152" s="1" t="n">
        <v>45962</v>
      </c>
      <c r="D3152" t="inlineStr">
        <is>
          <t>JÖNKÖPINGS LÄN</t>
        </is>
      </c>
      <c r="E3152" t="inlineStr">
        <is>
          <t>MULLSJÖ</t>
        </is>
      </c>
      <c r="G3152" t="n">
        <v>1.7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21104-2025</t>
        </is>
      </c>
      <c r="B3153" s="1" t="n">
        <v>45777.66141203704</v>
      </c>
      <c r="C3153" s="1" t="n">
        <v>45962</v>
      </c>
      <c r="D3153" t="inlineStr">
        <is>
          <t>JÖNKÖPINGS LÄN</t>
        </is>
      </c>
      <c r="E3153" t="inlineStr">
        <is>
          <t>VÄRNAMO</t>
        </is>
      </c>
      <c r="G3153" t="n">
        <v>0.5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3381-2023</t>
        </is>
      </c>
      <c r="B3154" s="1" t="n">
        <v>44949</v>
      </c>
      <c r="C3154" s="1" t="n">
        <v>45962</v>
      </c>
      <c r="D3154" t="inlineStr">
        <is>
          <t>JÖNKÖPINGS LÄN</t>
        </is>
      </c>
      <c r="E3154" t="inlineStr">
        <is>
          <t>JÖNKÖPING</t>
        </is>
      </c>
      <c r="G3154" t="n">
        <v>14.5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21116-2025</t>
        </is>
      </c>
      <c r="B3155" s="1" t="n">
        <v>45777.72783564815</v>
      </c>
      <c r="C3155" s="1" t="n">
        <v>45962</v>
      </c>
      <c r="D3155" t="inlineStr">
        <is>
          <t>JÖNKÖPINGS LÄN</t>
        </is>
      </c>
      <c r="E3155" t="inlineStr">
        <is>
          <t>GNOSJÖ</t>
        </is>
      </c>
      <c r="G3155" t="n">
        <v>1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4446-2023</t>
        </is>
      </c>
      <c r="B3156" s="1" t="n">
        <v>44956.46387731482</v>
      </c>
      <c r="C3156" s="1" t="n">
        <v>45962</v>
      </c>
      <c r="D3156" t="inlineStr">
        <is>
          <t>JÖNKÖPINGS LÄN</t>
        </is>
      </c>
      <c r="E3156" t="inlineStr">
        <is>
          <t>EKSJÖ</t>
        </is>
      </c>
      <c r="G3156" t="n">
        <v>0.3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9992-2023</t>
        </is>
      </c>
      <c r="B3157" s="1" t="n">
        <v>44985</v>
      </c>
      <c r="C3157" s="1" t="n">
        <v>45962</v>
      </c>
      <c r="D3157" t="inlineStr">
        <is>
          <t>JÖNKÖPINGS LÄN</t>
        </is>
      </c>
      <c r="E3157" t="inlineStr">
        <is>
          <t>VÄRNAMO</t>
        </is>
      </c>
      <c r="G3157" t="n">
        <v>2.1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1365-2025</t>
        </is>
      </c>
      <c r="B3158" s="1" t="n">
        <v>45667.63950231481</v>
      </c>
      <c r="C3158" s="1" t="n">
        <v>45962</v>
      </c>
      <c r="D3158" t="inlineStr">
        <is>
          <t>JÖNKÖPINGS LÄN</t>
        </is>
      </c>
      <c r="E3158" t="inlineStr">
        <is>
          <t>JÖNKÖPING</t>
        </is>
      </c>
      <c r="G3158" t="n">
        <v>1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15630-2023</t>
        </is>
      </c>
      <c r="B3159" s="1" t="n">
        <v>45021</v>
      </c>
      <c r="C3159" s="1" t="n">
        <v>45962</v>
      </c>
      <c r="D3159" t="inlineStr">
        <is>
          <t>JÖNKÖPINGS LÄN</t>
        </is>
      </c>
      <c r="E3159" t="inlineStr">
        <is>
          <t>VÄRNAMO</t>
        </is>
      </c>
      <c r="G3159" t="n">
        <v>3.6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5761-2024</t>
        </is>
      </c>
      <c r="B3160" s="1" t="n">
        <v>45335</v>
      </c>
      <c r="C3160" s="1" t="n">
        <v>45962</v>
      </c>
      <c r="D3160" t="inlineStr">
        <is>
          <t>JÖNKÖPINGS LÄN</t>
        </is>
      </c>
      <c r="E3160" t="inlineStr">
        <is>
          <t>VÄRNAMO</t>
        </is>
      </c>
      <c r="G3160" t="n">
        <v>0.5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21120-2025</t>
        </is>
      </c>
      <c r="B3161" s="1" t="n">
        <v>45777.73825231481</v>
      </c>
      <c r="C3161" s="1" t="n">
        <v>45962</v>
      </c>
      <c r="D3161" t="inlineStr">
        <is>
          <t>JÖNKÖPINGS LÄN</t>
        </is>
      </c>
      <c r="E3161" t="inlineStr">
        <is>
          <t>GNOSJÖ</t>
        </is>
      </c>
      <c r="G3161" t="n">
        <v>1.4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35845-2023</t>
        </is>
      </c>
      <c r="B3162" s="1" t="n">
        <v>45148.4965162037</v>
      </c>
      <c r="C3162" s="1" t="n">
        <v>45962</v>
      </c>
      <c r="D3162" t="inlineStr">
        <is>
          <t>JÖNKÖPINGS LÄN</t>
        </is>
      </c>
      <c r="E3162" t="inlineStr">
        <is>
          <t>VETLANDA</t>
        </is>
      </c>
      <c r="G3162" t="n">
        <v>5.1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20986-2025</t>
        </is>
      </c>
      <c r="B3163" s="1" t="n">
        <v>45777.47251157407</v>
      </c>
      <c r="C3163" s="1" t="n">
        <v>45962</v>
      </c>
      <c r="D3163" t="inlineStr">
        <is>
          <t>JÖNKÖPINGS LÄN</t>
        </is>
      </c>
      <c r="E3163" t="inlineStr">
        <is>
          <t>EKSJÖ</t>
        </is>
      </c>
      <c r="F3163" t="inlineStr">
        <is>
          <t>Kommuner</t>
        </is>
      </c>
      <c r="G3163" t="n">
        <v>9.6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7599-2025</t>
        </is>
      </c>
      <c r="B3164" s="1" t="n">
        <v>45705.65399305556</v>
      </c>
      <c r="C3164" s="1" t="n">
        <v>45962</v>
      </c>
      <c r="D3164" t="inlineStr">
        <is>
          <t>JÖNKÖPINGS LÄN</t>
        </is>
      </c>
      <c r="E3164" t="inlineStr">
        <is>
          <t>VÄRNAMO</t>
        </is>
      </c>
      <c r="G3164" t="n">
        <v>0.8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43858-2023</t>
        </is>
      </c>
      <c r="B3165" s="1" t="n">
        <v>45187</v>
      </c>
      <c r="C3165" s="1" t="n">
        <v>45962</v>
      </c>
      <c r="D3165" t="inlineStr">
        <is>
          <t>JÖNKÖPINGS LÄN</t>
        </is>
      </c>
      <c r="E3165" t="inlineStr">
        <is>
          <t>VÄRNAMO</t>
        </is>
      </c>
      <c r="G3165" t="n">
        <v>3.3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3899-2024</t>
        </is>
      </c>
      <c r="B3166" s="1" t="n">
        <v>45322</v>
      </c>
      <c r="C3166" s="1" t="n">
        <v>45962</v>
      </c>
      <c r="D3166" t="inlineStr">
        <is>
          <t>JÖNKÖPINGS LÄN</t>
        </is>
      </c>
      <c r="E3166" t="inlineStr">
        <is>
          <t>GISLAVED</t>
        </is>
      </c>
      <c r="G3166" t="n">
        <v>2.5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20199-2025</t>
        </is>
      </c>
      <c r="B3167" s="1" t="n">
        <v>45772.61246527778</v>
      </c>
      <c r="C3167" s="1" t="n">
        <v>45962</v>
      </c>
      <c r="D3167" t="inlineStr">
        <is>
          <t>JÖNKÖPINGS LÄN</t>
        </is>
      </c>
      <c r="E3167" t="inlineStr">
        <is>
          <t>TRANÅS</t>
        </is>
      </c>
      <c r="F3167" t="inlineStr">
        <is>
          <t>Allmännings- och besparingsskogar</t>
        </is>
      </c>
      <c r="G3167" t="n">
        <v>1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20059-2024</t>
        </is>
      </c>
      <c r="B3168" s="1" t="n">
        <v>45434.39743055555</v>
      </c>
      <c r="C3168" s="1" t="n">
        <v>45962</v>
      </c>
      <c r="D3168" t="inlineStr">
        <is>
          <t>JÖNKÖPINGS LÄN</t>
        </is>
      </c>
      <c r="E3168" t="inlineStr">
        <is>
          <t>VAGGERYD</t>
        </is>
      </c>
      <c r="F3168" t="inlineStr">
        <is>
          <t>Sveaskog</t>
        </is>
      </c>
      <c r="G3168" t="n">
        <v>0.8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20723-2025</t>
        </is>
      </c>
      <c r="B3169" s="1" t="n">
        <v>45776.50862268519</v>
      </c>
      <c r="C3169" s="1" t="n">
        <v>45962</v>
      </c>
      <c r="D3169" t="inlineStr">
        <is>
          <t>JÖNKÖPINGS LÄN</t>
        </is>
      </c>
      <c r="E3169" t="inlineStr">
        <is>
          <t>VAGGERYD</t>
        </is>
      </c>
      <c r="G3169" t="n">
        <v>0.8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6690-2023</t>
        </is>
      </c>
      <c r="B3170" s="1" t="n">
        <v>44966</v>
      </c>
      <c r="C3170" s="1" t="n">
        <v>45962</v>
      </c>
      <c r="D3170" t="inlineStr">
        <is>
          <t>JÖNKÖPINGS LÄN</t>
        </is>
      </c>
      <c r="E3170" t="inlineStr">
        <is>
          <t>MULLSJÖ</t>
        </is>
      </c>
      <c r="G3170" t="n">
        <v>2.8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35369-2023</t>
        </is>
      </c>
      <c r="B3171" s="1" t="n">
        <v>45146.55858796297</v>
      </c>
      <c r="C3171" s="1" t="n">
        <v>45962</v>
      </c>
      <c r="D3171" t="inlineStr">
        <is>
          <t>JÖNKÖPINGS LÄN</t>
        </is>
      </c>
      <c r="E3171" t="inlineStr">
        <is>
          <t>HABO</t>
        </is>
      </c>
      <c r="G3171" t="n">
        <v>3.3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15862-2022</t>
        </is>
      </c>
      <c r="B3172" s="1" t="n">
        <v>44664</v>
      </c>
      <c r="C3172" s="1" t="n">
        <v>45962</v>
      </c>
      <c r="D3172" t="inlineStr">
        <is>
          <t>JÖNKÖPINGS LÄN</t>
        </is>
      </c>
      <c r="E3172" t="inlineStr">
        <is>
          <t>NÄSSJÖ</t>
        </is>
      </c>
      <c r="G3172" t="n">
        <v>1.1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19418-2025</t>
        </is>
      </c>
      <c r="B3173" s="1" t="n">
        <v>45769.72369212963</v>
      </c>
      <c r="C3173" s="1" t="n">
        <v>45962</v>
      </c>
      <c r="D3173" t="inlineStr">
        <is>
          <t>JÖNKÖPINGS LÄN</t>
        </is>
      </c>
      <c r="E3173" t="inlineStr">
        <is>
          <t>TRANÅS</t>
        </is>
      </c>
      <c r="F3173" t="inlineStr">
        <is>
          <t>Allmännings- och besparingsskogar</t>
        </is>
      </c>
      <c r="G3173" t="n">
        <v>5.9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32374-2022</t>
        </is>
      </c>
      <c r="B3174" s="1" t="n">
        <v>44781</v>
      </c>
      <c r="C3174" s="1" t="n">
        <v>45962</v>
      </c>
      <c r="D3174" t="inlineStr">
        <is>
          <t>JÖNKÖPINGS LÄN</t>
        </is>
      </c>
      <c r="E3174" t="inlineStr">
        <is>
          <t>VETLANDA</t>
        </is>
      </c>
      <c r="G3174" t="n">
        <v>3.8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31021-2023</t>
        </is>
      </c>
      <c r="B3175" s="1" t="n">
        <v>45113.57634259259</v>
      </c>
      <c r="C3175" s="1" t="n">
        <v>45962</v>
      </c>
      <c r="D3175" t="inlineStr">
        <is>
          <t>JÖNKÖPINGS LÄN</t>
        </is>
      </c>
      <c r="E3175" t="inlineStr">
        <is>
          <t>VETLANDA</t>
        </is>
      </c>
      <c r="G3175" t="n">
        <v>0.5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57760-2024</t>
        </is>
      </c>
      <c r="B3176" s="1" t="n">
        <v>45630.84928240741</v>
      </c>
      <c r="C3176" s="1" t="n">
        <v>45962</v>
      </c>
      <c r="D3176" t="inlineStr">
        <is>
          <t>JÖNKÖPINGS LÄN</t>
        </is>
      </c>
      <c r="E3176" t="inlineStr">
        <is>
          <t>NÄSSJÖ</t>
        </is>
      </c>
      <c r="G3176" t="n">
        <v>1.1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45171-2023</t>
        </is>
      </c>
      <c r="B3177" s="1" t="n">
        <v>45191</v>
      </c>
      <c r="C3177" s="1" t="n">
        <v>45962</v>
      </c>
      <c r="D3177" t="inlineStr">
        <is>
          <t>JÖNKÖPINGS LÄN</t>
        </is>
      </c>
      <c r="E3177" t="inlineStr">
        <is>
          <t>VETLANDA</t>
        </is>
      </c>
      <c r="G3177" t="n">
        <v>0.6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4988-2025</t>
        </is>
      </c>
      <c r="B3178" s="1" t="n">
        <v>45691.32311342593</v>
      </c>
      <c r="C3178" s="1" t="n">
        <v>45962</v>
      </c>
      <c r="D3178" t="inlineStr">
        <is>
          <t>JÖNKÖPINGS LÄN</t>
        </is>
      </c>
      <c r="E3178" t="inlineStr">
        <is>
          <t>ANEBY</t>
        </is>
      </c>
      <c r="G3178" t="n">
        <v>3.7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21083-2025</t>
        </is>
      </c>
      <c r="B3179" s="1" t="n">
        <v>45777.60824074074</v>
      </c>
      <c r="C3179" s="1" t="n">
        <v>45962</v>
      </c>
      <c r="D3179" t="inlineStr">
        <is>
          <t>JÖNKÖPINGS LÄN</t>
        </is>
      </c>
      <c r="E3179" t="inlineStr">
        <is>
          <t>JÖNKÖPING</t>
        </is>
      </c>
      <c r="G3179" t="n">
        <v>1.7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8465-2024</t>
        </is>
      </c>
      <c r="B3180" s="1" t="n">
        <v>45355.35863425926</v>
      </c>
      <c r="C3180" s="1" t="n">
        <v>45962</v>
      </c>
      <c r="D3180" t="inlineStr">
        <is>
          <t>JÖNKÖPINGS LÄN</t>
        </is>
      </c>
      <c r="E3180" t="inlineStr">
        <is>
          <t>GISLAVED</t>
        </is>
      </c>
      <c r="G3180" t="n">
        <v>1.5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46623-2023</t>
        </is>
      </c>
      <c r="B3181" s="1" t="n">
        <v>45198.41381944445</v>
      </c>
      <c r="C3181" s="1" t="n">
        <v>45962</v>
      </c>
      <c r="D3181" t="inlineStr">
        <is>
          <t>JÖNKÖPINGS LÄN</t>
        </is>
      </c>
      <c r="E3181" t="inlineStr">
        <is>
          <t>JÖNKÖPING</t>
        </is>
      </c>
      <c r="G3181" t="n">
        <v>0.7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15536-2024</t>
        </is>
      </c>
      <c r="B3182" s="1" t="n">
        <v>45401</v>
      </c>
      <c r="C3182" s="1" t="n">
        <v>45962</v>
      </c>
      <c r="D3182" t="inlineStr">
        <is>
          <t>JÖNKÖPINGS LÄN</t>
        </is>
      </c>
      <c r="E3182" t="inlineStr">
        <is>
          <t>VÄRNAMO</t>
        </is>
      </c>
      <c r="G3182" t="n">
        <v>0.6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46628-2023</t>
        </is>
      </c>
      <c r="B3183" s="1" t="n">
        <v>45198.41887731481</v>
      </c>
      <c r="C3183" s="1" t="n">
        <v>45962</v>
      </c>
      <c r="D3183" t="inlineStr">
        <is>
          <t>JÖNKÖPINGS LÄN</t>
        </is>
      </c>
      <c r="E3183" t="inlineStr">
        <is>
          <t>JÖNKÖPING</t>
        </is>
      </c>
      <c r="G3183" t="n">
        <v>1.4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46580-2023</t>
        </is>
      </c>
      <c r="B3184" s="1" t="n">
        <v>45198.36701388889</v>
      </c>
      <c r="C3184" s="1" t="n">
        <v>45962</v>
      </c>
      <c r="D3184" t="inlineStr">
        <is>
          <t>JÖNKÖPINGS LÄN</t>
        </is>
      </c>
      <c r="E3184" t="inlineStr">
        <is>
          <t>SÄVSJÖ</t>
        </is>
      </c>
      <c r="G3184" t="n">
        <v>3.2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21149-2025</t>
        </is>
      </c>
      <c r="B3185" s="1" t="n">
        <v>45779.34375</v>
      </c>
      <c r="C3185" s="1" t="n">
        <v>45962</v>
      </c>
      <c r="D3185" t="inlineStr">
        <is>
          <t>JÖNKÖPINGS LÄN</t>
        </is>
      </c>
      <c r="E3185" t="inlineStr">
        <is>
          <t>EKSJÖ</t>
        </is>
      </c>
      <c r="G3185" t="n">
        <v>1.4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15259-2021</t>
        </is>
      </c>
      <c r="B3186" s="1" t="n">
        <v>44284</v>
      </c>
      <c r="C3186" s="1" t="n">
        <v>45962</v>
      </c>
      <c r="D3186" t="inlineStr">
        <is>
          <t>JÖNKÖPINGS LÄN</t>
        </is>
      </c>
      <c r="E3186" t="inlineStr">
        <is>
          <t>VAGGERYD</t>
        </is>
      </c>
      <c r="F3186" t="inlineStr">
        <is>
          <t>Övriga Aktiebolag</t>
        </is>
      </c>
      <c r="G3186" t="n">
        <v>3.7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21146-2025</t>
        </is>
      </c>
      <c r="B3187" s="1" t="n">
        <v>45779.33960648148</v>
      </c>
      <c r="C3187" s="1" t="n">
        <v>45962</v>
      </c>
      <c r="D3187" t="inlineStr">
        <is>
          <t>JÖNKÖPINGS LÄN</t>
        </is>
      </c>
      <c r="E3187" t="inlineStr">
        <is>
          <t>EKSJÖ</t>
        </is>
      </c>
      <c r="G3187" t="n">
        <v>0.7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21147-2025</t>
        </is>
      </c>
      <c r="B3188" s="1" t="n">
        <v>45779.34159722222</v>
      </c>
      <c r="C3188" s="1" t="n">
        <v>45962</v>
      </c>
      <c r="D3188" t="inlineStr">
        <is>
          <t>JÖNKÖPINGS LÄN</t>
        </is>
      </c>
      <c r="E3188" t="inlineStr">
        <is>
          <t>EKSJÖ</t>
        </is>
      </c>
      <c r="G3188" t="n">
        <v>2.2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16957-2023</t>
        </is>
      </c>
      <c r="B3189" s="1" t="n">
        <v>45033</v>
      </c>
      <c r="C3189" s="1" t="n">
        <v>45962</v>
      </c>
      <c r="D3189" t="inlineStr">
        <is>
          <t>JÖNKÖPINGS LÄN</t>
        </is>
      </c>
      <c r="E3189" t="inlineStr">
        <is>
          <t>ANEBY</t>
        </is>
      </c>
      <c r="G3189" t="n">
        <v>1.7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15940-2025</t>
        </is>
      </c>
      <c r="B3190" s="1" t="n">
        <v>45749.48251157408</v>
      </c>
      <c r="C3190" s="1" t="n">
        <v>45962</v>
      </c>
      <c r="D3190" t="inlineStr">
        <is>
          <t>JÖNKÖPINGS LÄN</t>
        </is>
      </c>
      <c r="E3190" t="inlineStr">
        <is>
          <t>VAGGERYD</t>
        </is>
      </c>
      <c r="F3190" t="inlineStr">
        <is>
          <t>Sveaskog</t>
        </is>
      </c>
      <c r="G3190" t="n">
        <v>1.1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3159-2024</t>
        </is>
      </c>
      <c r="B3191" s="1" t="n">
        <v>45316.60839120371</v>
      </c>
      <c r="C3191" s="1" t="n">
        <v>45962</v>
      </c>
      <c r="D3191" t="inlineStr">
        <is>
          <t>JÖNKÖPINGS LÄN</t>
        </is>
      </c>
      <c r="E3191" t="inlineStr">
        <is>
          <t>GISLAVED</t>
        </is>
      </c>
      <c r="G3191" t="n">
        <v>1.8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16040-2025</t>
        </is>
      </c>
      <c r="B3192" s="1" t="n">
        <v>45748</v>
      </c>
      <c r="C3192" s="1" t="n">
        <v>45962</v>
      </c>
      <c r="D3192" t="inlineStr">
        <is>
          <t>JÖNKÖPINGS LÄN</t>
        </is>
      </c>
      <c r="E3192" t="inlineStr">
        <is>
          <t>NÄSSJÖ</t>
        </is>
      </c>
      <c r="F3192" t="inlineStr">
        <is>
          <t>Kyrkan</t>
        </is>
      </c>
      <c r="G3192" t="n">
        <v>8.199999999999999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34780-2023</t>
        </is>
      </c>
      <c r="B3193" s="1" t="n">
        <v>45141.54603009259</v>
      </c>
      <c r="C3193" s="1" t="n">
        <v>45962</v>
      </c>
      <c r="D3193" t="inlineStr">
        <is>
          <t>JÖNKÖPINGS LÄN</t>
        </is>
      </c>
      <c r="E3193" t="inlineStr">
        <is>
          <t>ANEBY</t>
        </is>
      </c>
      <c r="G3193" t="n">
        <v>2.2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22299-2024</t>
        </is>
      </c>
      <c r="B3194" s="1" t="n">
        <v>45446.56364583333</v>
      </c>
      <c r="C3194" s="1" t="n">
        <v>45962</v>
      </c>
      <c r="D3194" t="inlineStr">
        <is>
          <t>JÖNKÖPINGS LÄN</t>
        </is>
      </c>
      <c r="E3194" t="inlineStr">
        <is>
          <t>VETLANDA</t>
        </is>
      </c>
      <c r="G3194" t="n">
        <v>0.7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3955-2023</t>
        </is>
      </c>
      <c r="B3195" s="1" t="n">
        <v>44952.40027777778</v>
      </c>
      <c r="C3195" s="1" t="n">
        <v>45962</v>
      </c>
      <c r="D3195" t="inlineStr">
        <is>
          <t>JÖNKÖPINGS LÄN</t>
        </is>
      </c>
      <c r="E3195" t="inlineStr">
        <is>
          <t>VETLANDA</t>
        </is>
      </c>
      <c r="G3195" t="n">
        <v>0.6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74102-2021</t>
        </is>
      </c>
      <c r="B3196" s="1" t="n">
        <v>44557</v>
      </c>
      <c r="C3196" s="1" t="n">
        <v>45962</v>
      </c>
      <c r="D3196" t="inlineStr">
        <is>
          <t>JÖNKÖPINGS LÄN</t>
        </is>
      </c>
      <c r="E3196" t="inlineStr">
        <is>
          <t>VÄRNAMO</t>
        </is>
      </c>
      <c r="G3196" t="n">
        <v>4.4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74117-2021</t>
        </is>
      </c>
      <c r="B3197" s="1" t="n">
        <v>44557</v>
      </c>
      <c r="C3197" s="1" t="n">
        <v>45962</v>
      </c>
      <c r="D3197" t="inlineStr">
        <is>
          <t>JÖNKÖPINGS LÄN</t>
        </is>
      </c>
      <c r="E3197" t="inlineStr">
        <is>
          <t>JÖNKÖPING</t>
        </is>
      </c>
      <c r="G3197" t="n">
        <v>1.4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33407-2024</t>
        </is>
      </c>
      <c r="B3198" s="1" t="n">
        <v>45519</v>
      </c>
      <c r="C3198" s="1" t="n">
        <v>45962</v>
      </c>
      <c r="D3198" t="inlineStr">
        <is>
          <t>JÖNKÖPINGS LÄN</t>
        </is>
      </c>
      <c r="E3198" t="inlineStr">
        <is>
          <t>VÄRNAMO</t>
        </is>
      </c>
      <c r="G3198" t="n">
        <v>2.2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15707-2025</t>
        </is>
      </c>
      <c r="B3199" s="1" t="n">
        <v>45748.49090277778</v>
      </c>
      <c r="C3199" s="1" t="n">
        <v>45962</v>
      </c>
      <c r="D3199" t="inlineStr">
        <is>
          <t>JÖNKÖPINGS LÄN</t>
        </is>
      </c>
      <c r="E3199" t="inlineStr">
        <is>
          <t>MULLSJÖ</t>
        </is>
      </c>
      <c r="G3199" t="n">
        <v>2.7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29151-2024</t>
        </is>
      </c>
      <c r="B3200" s="1" t="n">
        <v>45482</v>
      </c>
      <c r="C3200" s="1" t="n">
        <v>45962</v>
      </c>
      <c r="D3200" t="inlineStr">
        <is>
          <t>JÖNKÖPINGS LÄN</t>
        </is>
      </c>
      <c r="E3200" t="inlineStr">
        <is>
          <t>GISLAVED</t>
        </is>
      </c>
      <c r="G3200" t="n">
        <v>2.2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55633-2022</t>
        </is>
      </c>
      <c r="B3201" s="1" t="n">
        <v>44888</v>
      </c>
      <c r="C3201" s="1" t="n">
        <v>45962</v>
      </c>
      <c r="D3201" t="inlineStr">
        <is>
          <t>JÖNKÖPINGS LÄN</t>
        </is>
      </c>
      <c r="E3201" t="inlineStr">
        <is>
          <t>EKSJÖ</t>
        </is>
      </c>
      <c r="G3201" t="n">
        <v>0.5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64665-2023</t>
        </is>
      </c>
      <c r="B3202" s="1" t="n">
        <v>45281.60759259259</v>
      </c>
      <c r="C3202" s="1" t="n">
        <v>45962</v>
      </c>
      <c r="D3202" t="inlineStr">
        <is>
          <t>JÖNKÖPINGS LÄN</t>
        </is>
      </c>
      <c r="E3202" t="inlineStr">
        <is>
          <t>NÄSSJÖ</t>
        </is>
      </c>
      <c r="G3202" t="n">
        <v>3.7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21224-2025</t>
        </is>
      </c>
      <c r="B3203" s="1" t="n">
        <v>45779.51002314815</v>
      </c>
      <c r="C3203" s="1" t="n">
        <v>45962</v>
      </c>
      <c r="D3203" t="inlineStr">
        <is>
          <t>JÖNKÖPINGS LÄN</t>
        </is>
      </c>
      <c r="E3203" t="inlineStr">
        <is>
          <t>EKSJÖ</t>
        </is>
      </c>
      <c r="F3203" t="inlineStr">
        <is>
          <t>Kommuner</t>
        </is>
      </c>
      <c r="G3203" t="n">
        <v>3.1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10286-2025</t>
        </is>
      </c>
      <c r="B3204" s="1" t="n">
        <v>45720.40965277778</v>
      </c>
      <c r="C3204" s="1" t="n">
        <v>45962</v>
      </c>
      <c r="D3204" t="inlineStr">
        <is>
          <t>JÖNKÖPINGS LÄN</t>
        </is>
      </c>
      <c r="E3204" t="inlineStr">
        <is>
          <t>VETLANDA</t>
        </is>
      </c>
      <c r="G3204" t="n">
        <v>0.8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36391-2024</t>
        </is>
      </c>
      <c r="B3205" s="1" t="n">
        <v>45534.76076388889</v>
      </c>
      <c r="C3205" s="1" t="n">
        <v>45962</v>
      </c>
      <c r="D3205" t="inlineStr">
        <is>
          <t>JÖNKÖPINGS LÄN</t>
        </is>
      </c>
      <c r="E3205" t="inlineStr">
        <is>
          <t>SÄVSJÖ</t>
        </is>
      </c>
      <c r="G3205" t="n">
        <v>2.1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54876-2022</t>
        </is>
      </c>
      <c r="B3206" s="1" t="n">
        <v>44886.3340625</v>
      </c>
      <c r="C3206" s="1" t="n">
        <v>45962</v>
      </c>
      <c r="D3206" t="inlineStr">
        <is>
          <t>JÖNKÖPINGS LÄN</t>
        </is>
      </c>
      <c r="E3206" t="inlineStr">
        <is>
          <t>JÖNKÖPING</t>
        </is>
      </c>
      <c r="G3206" t="n">
        <v>1.1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48845-2023</t>
        </is>
      </c>
      <c r="B3207" s="1" t="n">
        <v>45209.4254050926</v>
      </c>
      <c r="C3207" s="1" t="n">
        <v>45962</v>
      </c>
      <c r="D3207" t="inlineStr">
        <is>
          <t>JÖNKÖPINGS LÄN</t>
        </is>
      </c>
      <c r="E3207" t="inlineStr">
        <is>
          <t>VETLANDA</t>
        </is>
      </c>
      <c r="G3207" t="n">
        <v>1.5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53489-2023</t>
        </is>
      </c>
      <c r="B3208" s="1" t="n">
        <v>45230.35675925926</v>
      </c>
      <c r="C3208" s="1" t="n">
        <v>45962</v>
      </c>
      <c r="D3208" t="inlineStr">
        <is>
          <t>JÖNKÖPINGS LÄN</t>
        </is>
      </c>
      <c r="E3208" t="inlineStr">
        <is>
          <t>TRANÅS</t>
        </is>
      </c>
      <c r="G3208" t="n">
        <v>0.8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39277-2022</t>
        </is>
      </c>
      <c r="B3209" s="1" t="n">
        <v>44817</v>
      </c>
      <c r="C3209" s="1" t="n">
        <v>45962</v>
      </c>
      <c r="D3209" t="inlineStr">
        <is>
          <t>JÖNKÖPINGS LÄN</t>
        </is>
      </c>
      <c r="E3209" t="inlineStr">
        <is>
          <t>EKSJÖ</t>
        </is>
      </c>
      <c r="G3209" t="n">
        <v>0.7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58706-2020</t>
        </is>
      </c>
      <c r="B3210" s="1" t="n">
        <v>44145</v>
      </c>
      <c r="C3210" s="1" t="n">
        <v>45962</v>
      </c>
      <c r="D3210" t="inlineStr">
        <is>
          <t>JÖNKÖPINGS LÄN</t>
        </is>
      </c>
      <c r="E3210" t="inlineStr">
        <is>
          <t>EKSJÖ</t>
        </is>
      </c>
      <c r="G3210" t="n">
        <v>4.4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62961-2021</t>
        </is>
      </c>
      <c r="B3211" s="1" t="n">
        <v>44505.25526620371</v>
      </c>
      <c r="C3211" s="1" t="n">
        <v>45962</v>
      </c>
      <c r="D3211" t="inlineStr">
        <is>
          <t>JÖNKÖPINGS LÄN</t>
        </is>
      </c>
      <c r="E3211" t="inlineStr">
        <is>
          <t>SÄVSJÖ</t>
        </is>
      </c>
      <c r="G3211" t="n">
        <v>3.2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20805-2024</t>
        </is>
      </c>
      <c r="B3212" s="1" t="n">
        <v>45438</v>
      </c>
      <c r="C3212" s="1" t="n">
        <v>45962</v>
      </c>
      <c r="D3212" t="inlineStr">
        <is>
          <t>JÖNKÖPINGS LÄN</t>
        </is>
      </c>
      <c r="E3212" t="inlineStr">
        <is>
          <t>VETLANDA</t>
        </is>
      </c>
      <c r="G3212" t="n">
        <v>3.6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60321-2022</t>
        </is>
      </c>
      <c r="B3213" s="1" t="n">
        <v>44903</v>
      </c>
      <c r="C3213" s="1" t="n">
        <v>45962</v>
      </c>
      <c r="D3213" t="inlineStr">
        <is>
          <t>JÖNKÖPINGS LÄN</t>
        </is>
      </c>
      <c r="E3213" t="inlineStr">
        <is>
          <t>GISLAVED</t>
        </is>
      </c>
      <c r="G3213" t="n">
        <v>6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23688-2023</t>
        </is>
      </c>
      <c r="B3214" s="1" t="n">
        <v>45077.60732638889</v>
      </c>
      <c r="C3214" s="1" t="n">
        <v>45962</v>
      </c>
      <c r="D3214" t="inlineStr">
        <is>
          <t>JÖNKÖPINGS LÄN</t>
        </is>
      </c>
      <c r="E3214" t="inlineStr">
        <is>
          <t>VAGGERYD</t>
        </is>
      </c>
      <c r="G3214" t="n">
        <v>3.4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23715-2023</t>
        </is>
      </c>
      <c r="B3215" s="1" t="n">
        <v>45077.65487268518</v>
      </c>
      <c r="C3215" s="1" t="n">
        <v>45962</v>
      </c>
      <c r="D3215" t="inlineStr">
        <is>
          <t>JÖNKÖPINGS LÄN</t>
        </is>
      </c>
      <c r="E3215" t="inlineStr">
        <is>
          <t>ANEBY</t>
        </is>
      </c>
      <c r="G3215" t="n">
        <v>2.1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23716-2023</t>
        </is>
      </c>
      <c r="B3216" s="1" t="n">
        <v>45077.65918981482</v>
      </c>
      <c r="C3216" s="1" t="n">
        <v>45962</v>
      </c>
      <c r="D3216" t="inlineStr">
        <is>
          <t>JÖNKÖPINGS LÄN</t>
        </is>
      </c>
      <c r="E3216" t="inlineStr">
        <is>
          <t>ANEBY</t>
        </is>
      </c>
      <c r="G3216" t="n">
        <v>1.4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26337-2023</t>
        </is>
      </c>
      <c r="B3217" s="1" t="n">
        <v>45091.8662962963</v>
      </c>
      <c r="C3217" s="1" t="n">
        <v>45962</v>
      </c>
      <c r="D3217" t="inlineStr">
        <is>
          <t>JÖNKÖPINGS LÄN</t>
        </is>
      </c>
      <c r="E3217" t="inlineStr">
        <is>
          <t>NÄSSJÖ</t>
        </is>
      </c>
      <c r="G3217" t="n">
        <v>0.5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57095-2021</t>
        </is>
      </c>
      <c r="B3218" s="1" t="n">
        <v>44482</v>
      </c>
      <c r="C3218" s="1" t="n">
        <v>45962</v>
      </c>
      <c r="D3218" t="inlineStr">
        <is>
          <t>JÖNKÖPINGS LÄN</t>
        </is>
      </c>
      <c r="E3218" t="inlineStr">
        <is>
          <t>JÖNKÖPING</t>
        </is>
      </c>
      <c r="G3218" t="n">
        <v>2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63915-2023</t>
        </is>
      </c>
      <c r="B3219" s="1" t="n">
        <v>45278</v>
      </c>
      <c r="C3219" s="1" t="n">
        <v>45962</v>
      </c>
      <c r="D3219" t="inlineStr">
        <is>
          <t>JÖNKÖPINGS LÄN</t>
        </is>
      </c>
      <c r="E3219" t="inlineStr">
        <is>
          <t>VÄRNAMO</t>
        </is>
      </c>
      <c r="G3219" t="n">
        <v>2.7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55753-2022</t>
        </is>
      </c>
      <c r="B3220" s="1" t="n">
        <v>44888.59611111111</v>
      </c>
      <c r="C3220" s="1" t="n">
        <v>45962</v>
      </c>
      <c r="D3220" t="inlineStr">
        <is>
          <t>JÖNKÖPINGS LÄN</t>
        </is>
      </c>
      <c r="E3220" t="inlineStr">
        <is>
          <t>VETLANDA</t>
        </is>
      </c>
      <c r="G3220" t="n">
        <v>0.5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21467-2025</t>
        </is>
      </c>
      <c r="B3221" s="1" t="n">
        <v>45782.57774305555</v>
      </c>
      <c r="C3221" s="1" t="n">
        <v>45962</v>
      </c>
      <c r="D3221" t="inlineStr">
        <is>
          <t>JÖNKÖPINGS LÄN</t>
        </is>
      </c>
      <c r="E3221" t="inlineStr">
        <is>
          <t>VAGGERYD</t>
        </is>
      </c>
      <c r="G3221" t="n">
        <v>1.4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21468-2025</t>
        </is>
      </c>
      <c r="B3222" s="1" t="n">
        <v>45782.58153935185</v>
      </c>
      <c r="C3222" s="1" t="n">
        <v>45962</v>
      </c>
      <c r="D3222" t="inlineStr">
        <is>
          <t>JÖNKÖPINGS LÄN</t>
        </is>
      </c>
      <c r="E3222" t="inlineStr">
        <is>
          <t>GISLAVED</t>
        </is>
      </c>
      <c r="G3222" t="n">
        <v>2.6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15190-2022</t>
        </is>
      </c>
      <c r="B3223" s="1" t="n">
        <v>44658</v>
      </c>
      <c r="C3223" s="1" t="n">
        <v>45962</v>
      </c>
      <c r="D3223" t="inlineStr">
        <is>
          <t>JÖNKÖPINGS LÄN</t>
        </is>
      </c>
      <c r="E3223" t="inlineStr">
        <is>
          <t>JÖNKÖPING</t>
        </is>
      </c>
      <c r="G3223" t="n">
        <v>1.4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15605-2022</t>
        </is>
      </c>
      <c r="B3224" s="1" t="n">
        <v>44662</v>
      </c>
      <c r="C3224" s="1" t="n">
        <v>45962</v>
      </c>
      <c r="D3224" t="inlineStr">
        <is>
          <t>JÖNKÖPINGS LÄN</t>
        </is>
      </c>
      <c r="E3224" t="inlineStr">
        <is>
          <t>JÖNKÖPING</t>
        </is>
      </c>
      <c r="G3224" t="n">
        <v>3.7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21818-2025</t>
        </is>
      </c>
      <c r="B3225" s="1" t="n">
        <v>45783.7384375</v>
      </c>
      <c r="C3225" s="1" t="n">
        <v>45962</v>
      </c>
      <c r="D3225" t="inlineStr">
        <is>
          <t>JÖNKÖPINGS LÄN</t>
        </is>
      </c>
      <c r="E3225" t="inlineStr">
        <is>
          <t>VETLANDA</t>
        </is>
      </c>
      <c r="G3225" t="n">
        <v>0.7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21820-2025</t>
        </is>
      </c>
      <c r="B3226" s="1" t="n">
        <v>45783.74659722222</v>
      </c>
      <c r="C3226" s="1" t="n">
        <v>45962</v>
      </c>
      <c r="D3226" t="inlineStr">
        <is>
          <t>JÖNKÖPINGS LÄN</t>
        </is>
      </c>
      <c r="E3226" t="inlineStr">
        <is>
          <t>VETLANDA</t>
        </is>
      </c>
      <c r="G3226" t="n">
        <v>1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54254-2021</t>
        </is>
      </c>
      <c r="B3227" s="1" t="n">
        <v>44470</v>
      </c>
      <c r="C3227" s="1" t="n">
        <v>45962</v>
      </c>
      <c r="D3227" t="inlineStr">
        <is>
          <t>JÖNKÖPINGS LÄN</t>
        </is>
      </c>
      <c r="E3227" t="inlineStr">
        <is>
          <t>VÄRNAMO</t>
        </is>
      </c>
      <c r="F3227" t="inlineStr">
        <is>
          <t>Övriga Aktiebolag</t>
        </is>
      </c>
      <c r="G3227" t="n">
        <v>5.4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61215-2024</t>
        </is>
      </c>
      <c r="B3228" s="1" t="n">
        <v>45645.65525462963</v>
      </c>
      <c r="C3228" s="1" t="n">
        <v>45962</v>
      </c>
      <c r="D3228" t="inlineStr">
        <is>
          <t>JÖNKÖPINGS LÄN</t>
        </is>
      </c>
      <c r="E3228" t="inlineStr">
        <is>
          <t>GISLAVED</t>
        </is>
      </c>
      <c r="G3228" t="n">
        <v>0.9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21676-2025</t>
        </is>
      </c>
      <c r="B3229" s="1" t="n">
        <v>45783.48454861111</v>
      </c>
      <c r="C3229" s="1" t="n">
        <v>45962</v>
      </c>
      <c r="D3229" t="inlineStr">
        <is>
          <t>JÖNKÖPINGS LÄN</t>
        </is>
      </c>
      <c r="E3229" t="inlineStr">
        <is>
          <t>VETLANDA</t>
        </is>
      </c>
      <c r="G3229" t="n">
        <v>2.4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21703-2025</t>
        </is>
      </c>
      <c r="B3230" s="1" t="n">
        <v>45783.51277777777</v>
      </c>
      <c r="C3230" s="1" t="n">
        <v>45962</v>
      </c>
      <c r="D3230" t="inlineStr">
        <is>
          <t>JÖNKÖPINGS LÄN</t>
        </is>
      </c>
      <c r="E3230" t="inlineStr">
        <is>
          <t>EKSJÖ</t>
        </is>
      </c>
      <c r="G3230" t="n">
        <v>3.1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21746-2025</t>
        </is>
      </c>
      <c r="B3231" s="1" t="n">
        <v>45783.60868055555</v>
      </c>
      <c r="C3231" s="1" t="n">
        <v>45962</v>
      </c>
      <c r="D3231" t="inlineStr">
        <is>
          <t>JÖNKÖPINGS LÄN</t>
        </is>
      </c>
      <c r="E3231" t="inlineStr">
        <is>
          <t>VÄRNAMO</t>
        </is>
      </c>
      <c r="G3231" t="n">
        <v>2.1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17106-2025</t>
        </is>
      </c>
      <c r="B3232" s="1" t="n">
        <v>45755.66511574074</v>
      </c>
      <c r="C3232" s="1" t="n">
        <v>45962</v>
      </c>
      <c r="D3232" t="inlineStr">
        <is>
          <t>JÖNKÖPINGS LÄN</t>
        </is>
      </c>
      <c r="E3232" t="inlineStr">
        <is>
          <t>VETLANDA</t>
        </is>
      </c>
      <c r="G3232" t="n">
        <v>0.9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625-2022</t>
        </is>
      </c>
      <c r="B3233" s="1" t="n">
        <v>44568</v>
      </c>
      <c r="C3233" s="1" t="n">
        <v>45962</v>
      </c>
      <c r="D3233" t="inlineStr">
        <is>
          <t>JÖNKÖPINGS LÄN</t>
        </is>
      </c>
      <c r="E3233" t="inlineStr">
        <is>
          <t>NÄSSJÖ</t>
        </is>
      </c>
      <c r="G3233" t="n">
        <v>1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48697-2022</t>
        </is>
      </c>
      <c r="B3234" s="1" t="n">
        <v>44859.48170138889</v>
      </c>
      <c r="C3234" s="1" t="n">
        <v>45962</v>
      </c>
      <c r="D3234" t="inlineStr">
        <is>
          <t>JÖNKÖPINGS LÄN</t>
        </is>
      </c>
      <c r="E3234" t="inlineStr">
        <is>
          <t>VÄRNAMO</t>
        </is>
      </c>
      <c r="G3234" t="n">
        <v>2.6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58354-2023</t>
        </is>
      </c>
      <c r="B3235" s="1" t="n">
        <v>45250.63565972223</v>
      </c>
      <c r="C3235" s="1" t="n">
        <v>45962</v>
      </c>
      <c r="D3235" t="inlineStr">
        <is>
          <t>JÖNKÖPINGS LÄN</t>
        </is>
      </c>
      <c r="E3235" t="inlineStr">
        <is>
          <t>ANEBY</t>
        </is>
      </c>
      <c r="G3235" t="n">
        <v>2.2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16445-2023</t>
        </is>
      </c>
      <c r="B3236" s="1" t="n">
        <v>45029.47266203703</v>
      </c>
      <c r="C3236" s="1" t="n">
        <v>45962</v>
      </c>
      <c r="D3236" t="inlineStr">
        <is>
          <t>JÖNKÖPINGS LÄN</t>
        </is>
      </c>
      <c r="E3236" t="inlineStr">
        <is>
          <t>VÄRNAMO</t>
        </is>
      </c>
      <c r="G3236" t="n">
        <v>0.6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59195-2022</t>
        </is>
      </c>
      <c r="B3237" s="1" t="n">
        <v>44904.49826388889</v>
      </c>
      <c r="C3237" s="1" t="n">
        <v>45962</v>
      </c>
      <c r="D3237" t="inlineStr">
        <is>
          <t>JÖNKÖPINGS LÄN</t>
        </is>
      </c>
      <c r="E3237" t="inlineStr">
        <is>
          <t>JÖNKÖPING</t>
        </is>
      </c>
      <c r="G3237" t="n">
        <v>0.9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53987-2023</t>
        </is>
      </c>
      <c r="B3238" s="1" t="n">
        <v>45231.65976851852</v>
      </c>
      <c r="C3238" s="1" t="n">
        <v>45962</v>
      </c>
      <c r="D3238" t="inlineStr">
        <is>
          <t>JÖNKÖPINGS LÄN</t>
        </is>
      </c>
      <c r="E3238" t="inlineStr">
        <is>
          <t>EKSJÖ</t>
        </is>
      </c>
      <c r="G3238" t="n">
        <v>0.5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52714-2024</t>
        </is>
      </c>
      <c r="B3239" s="1" t="n">
        <v>45610.43283564815</v>
      </c>
      <c r="C3239" s="1" t="n">
        <v>45962</v>
      </c>
      <c r="D3239" t="inlineStr">
        <is>
          <t>JÖNKÖPINGS LÄN</t>
        </is>
      </c>
      <c r="E3239" t="inlineStr">
        <is>
          <t>TRANÅS</t>
        </is>
      </c>
      <c r="G3239" t="n">
        <v>0.8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52718-2024</t>
        </is>
      </c>
      <c r="B3240" s="1" t="n">
        <v>45610</v>
      </c>
      <c r="C3240" s="1" t="n">
        <v>45962</v>
      </c>
      <c r="D3240" t="inlineStr">
        <is>
          <t>JÖNKÖPINGS LÄN</t>
        </is>
      </c>
      <c r="E3240" t="inlineStr">
        <is>
          <t>NÄSSJÖ</t>
        </is>
      </c>
      <c r="G3240" t="n">
        <v>0.9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16808-2025</t>
        </is>
      </c>
      <c r="B3241" s="1" t="n">
        <v>45754.62920138889</v>
      </c>
      <c r="C3241" s="1" t="n">
        <v>45962</v>
      </c>
      <c r="D3241" t="inlineStr">
        <is>
          <t>JÖNKÖPINGS LÄN</t>
        </is>
      </c>
      <c r="E3241" t="inlineStr">
        <is>
          <t>VETLANDA</t>
        </is>
      </c>
      <c r="F3241" t="inlineStr">
        <is>
          <t>Sveaskog</t>
        </is>
      </c>
      <c r="G3241" t="n">
        <v>3.6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16810-2025</t>
        </is>
      </c>
      <c r="B3242" s="1" t="n">
        <v>45754.63079861111</v>
      </c>
      <c r="C3242" s="1" t="n">
        <v>45962</v>
      </c>
      <c r="D3242" t="inlineStr">
        <is>
          <t>JÖNKÖPINGS LÄN</t>
        </is>
      </c>
      <c r="E3242" t="inlineStr">
        <is>
          <t>VETLANDA</t>
        </is>
      </c>
      <c r="F3242" t="inlineStr">
        <is>
          <t>Sveaskog</t>
        </is>
      </c>
      <c r="G3242" t="n">
        <v>1.3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22222-2024</t>
        </is>
      </c>
      <c r="B3243" s="1" t="n">
        <v>45446.40579861111</v>
      </c>
      <c r="C3243" s="1" t="n">
        <v>45962</v>
      </c>
      <c r="D3243" t="inlineStr">
        <is>
          <t>JÖNKÖPINGS LÄN</t>
        </is>
      </c>
      <c r="E3243" t="inlineStr">
        <is>
          <t>SÄVSJÖ</t>
        </is>
      </c>
      <c r="G3243" t="n">
        <v>5.3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21461-2025</t>
        </is>
      </c>
      <c r="B3244" s="1" t="n">
        <v>45782.56547453703</v>
      </c>
      <c r="C3244" s="1" t="n">
        <v>45962</v>
      </c>
      <c r="D3244" t="inlineStr">
        <is>
          <t>JÖNKÖPINGS LÄN</t>
        </is>
      </c>
      <c r="E3244" t="inlineStr">
        <is>
          <t>GISLAVED</t>
        </is>
      </c>
      <c r="G3244" t="n">
        <v>2.8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16821-2025</t>
        </is>
      </c>
      <c r="B3245" s="1" t="n">
        <v>45754.64318287037</v>
      </c>
      <c r="C3245" s="1" t="n">
        <v>45962</v>
      </c>
      <c r="D3245" t="inlineStr">
        <is>
          <t>JÖNKÖPINGS LÄN</t>
        </is>
      </c>
      <c r="E3245" t="inlineStr">
        <is>
          <t>MULLSJÖ</t>
        </is>
      </c>
      <c r="G3245" t="n">
        <v>2.5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16874-2025</t>
        </is>
      </c>
      <c r="B3246" s="1" t="n">
        <v>45754.95530092593</v>
      </c>
      <c r="C3246" s="1" t="n">
        <v>45962</v>
      </c>
      <c r="D3246" t="inlineStr">
        <is>
          <t>JÖNKÖPINGS LÄN</t>
        </is>
      </c>
      <c r="E3246" t="inlineStr">
        <is>
          <t>VAGGERYD</t>
        </is>
      </c>
      <c r="F3246" t="inlineStr">
        <is>
          <t>Sveaskog</t>
        </is>
      </c>
      <c r="G3246" t="n">
        <v>4.1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8978-2021</t>
        </is>
      </c>
      <c r="B3247" s="1" t="n">
        <v>44249.47738425926</v>
      </c>
      <c r="C3247" s="1" t="n">
        <v>45962</v>
      </c>
      <c r="D3247" t="inlineStr">
        <is>
          <t>JÖNKÖPINGS LÄN</t>
        </is>
      </c>
      <c r="E3247" t="inlineStr">
        <is>
          <t>TRANÅS</t>
        </is>
      </c>
      <c r="F3247" t="inlineStr">
        <is>
          <t>Allmännings- och besparingsskogar</t>
        </is>
      </c>
      <c r="G3247" t="n">
        <v>6.3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8220-2024</t>
        </is>
      </c>
      <c r="B3248" s="1" t="n">
        <v>45351.86930555556</v>
      </c>
      <c r="C3248" s="1" t="n">
        <v>45962</v>
      </c>
      <c r="D3248" t="inlineStr">
        <is>
          <t>JÖNKÖPINGS LÄN</t>
        </is>
      </c>
      <c r="E3248" t="inlineStr">
        <is>
          <t>VETLANDA</t>
        </is>
      </c>
      <c r="G3248" t="n">
        <v>2.9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56938-2024</t>
        </is>
      </c>
      <c r="B3249" s="1" t="n">
        <v>45628.61552083334</v>
      </c>
      <c r="C3249" s="1" t="n">
        <v>45962</v>
      </c>
      <c r="D3249" t="inlineStr">
        <is>
          <t>JÖNKÖPINGS LÄN</t>
        </is>
      </c>
      <c r="E3249" t="inlineStr">
        <is>
          <t>VETLANDA</t>
        </is>
      </c>
      <c r="G3249" t="n">
        <v>5.6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1425-2024</t>
        </is>
      </c>
      <c r="B3250" s="1" t="n">
        <v>45303.63494212963</v>
      </c>
      <c r="C3250" s="1" t="n">
        <v>45962</v>
      </c>
      <c r="D3250" t="inlineStr">
        <is>
          <t>JÖNKÖPINGS LÄN</t>
        </is>
      </c>
      <c r="E3250" t="inlineStr">
        <is>
          <t>JÖNKÖPING</t>
        </is>
      </c>
      <c r="F3250" t="inlineStr">
        <is>
          <t>Sveaskog</t>
        </is>
      </c>
      <c r="G3250" t="n">
        <v>0.7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12834-2023</t>
        </is>
      </c>
      <c r="B3251" s="1" t="n">
        <v>45001.48028935185</v>
      </c>
      <c r="C3251" s="1" t="n">
        <v>45962</v>
      </c>
      <c r="D3251" t="inlineStr">
        <is>
          <t>JÖNKÖPINGS LÄN</t>
        </is>
      </c>
      <c r="E3251" t="inlineStr">
        <is>
          <t>ANEBY</t>
        </is>
      </c>
      <c r="G3251" t="n">
        <v>0.7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11822-2021</t>
        </is>
      </c>
      <c r="B3252" s="1" t="n">
        <v>44265</v>
      </c>
      <c r="C3252" s="1" t="n">
        <v>45962</v>
      </c>
      <c r="D3252" t="inlineStr">
        <is>
          <t>JÖNKÖPINGS LÄN</t>
        </is>
      </c>
      <c r="E3252" t="inlineStr">
        <is>
          <t>GISLAVED</t>
        </is>
      </c>
      <c r="G3252" t="n">
        <v>1.7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7626-2023</t>
        </is>
      </c>
      <c r="B3253" s="1" t="n">
        <v>44972.54766203704</v>
      </c>
      <c r="C3253" s="1" t="n">
        <v>45962</v>
      </c>
      <c r="D3253" t="inlineStr">
        <is>
          <t>JÖNKÖPINGS LÄN</t>
        </is>
      </c>
      <c r="E3253" t="inlineStr">
        <is>
          <t>VETLANDA</t>
        </is>
      </c>
      <c r="G3253" t="n">
        <v>0.9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61961-2024</t>
        </is>
      </c>
      <c r="B3254" s="1" t="n">
        <v>45653.53740740741</v>
      </c>
      <c r="C3254" s="1" t="n">
        <v>45962</v>
      </c>
      <c r="D3254" t="inlineStr">
        <is>
          <t>JÖNKÖPINGS LÄN</t>
        </is>
      </c>
      <c r="E3254" t="inlineStr">
        <is>
          <t>VAGGERYD</t>
        </is>
      </c>
      <c r="F3254" t="inlineStr">
        <is>
          <t>Sveaskog</t>
        </is>
      </c>
      <c r="G3254" t="n">
        <v>6.5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29987-2023</t>
        </is>
      </c>
      <c r="B3255" s="1" t="n">
        <v>45109</v>
      </c>
      <c r="C3255" s="1" t="n">
        <v>45962</v>
      </c>
      <c r="D3255" t="inlineStr">
        <is>
          <t>JÖNKÖPINGS LÄN</t>
        </is>
      </c>
      <c r="E3255" t="inlineStr">
        <is>
          <t>NÄSSJÖ</t>
        </is>
      </c>
      <c r="G3255" t="n">
        <v>0.6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29988-2023</t>
        </is>
      </c>
      <c r="B3256" s="1" t="n">
        <v>45109</v>
      </c>
      <c r="C3256" s="1" t="n">
        <v>45962</v>
      </c>
      <c r="D3256" t="inlineStr">
        <is>
          <t>JÖNKÖPINGS LÄN</t>
        </is>
      </c>
      <c r="E3256" t="inlineStr">
        <is>
          <t>NÄSSJÖ</t>
        </is>
      </c>
      <c r="G3256" t="n">
        <v>1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37146-2021</t>
        </is>
      </c>
      <c r="B3257" s="1" t="n">
        <v>44396.47681712963</v>
      </c>
      <c r="C3257" s="1" t="n">
        <v>45962</v>
      </c>
      <c r="D3257" t="inlineStr">
        <is>
          <t>JÖNKÖPINGS LÄN</t>
        </is>
      </c>
      <c r="E3257" t="inlineStr">
        <is>
          <t>TRANÅS</t>
        </is>
      </c>
      <c r="G3257" t="n">
        <v>2.1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45920-2024</t>
        </is>
      </c>
      <c r="B3258" s="1" t="n">
        <v>45580.46572916667</v>
      </c>
      <c r="C3258" s="1" t="n">
        <v>45962</v>
      </c>
      <c r="D3258" t="inlineStr">
        <is>
          <t>JÖNKÖPINGS LÄN</t>
        </is>
      </c>
      <c r="E3258" t="inlineStr">
        <is>
          <t>JÖNKÖPING</t>
        </is>
      </c>
      <c r="G3258" t="n">
        <v>0.5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9828-2025</t>
        </is>
      </c>
      <c r="B3259" s="1" t="n">
        <v>45716.57958333333</v>
      </c>
      <c r="C3259" s="1" t="n">
        <v>45962</v>
      </c>
      <c r="D3259" t="inlineStr">
        <is>
          <t>JÖNKÖPINGS LÄN</t>
        </is>
      </c>
      <c r="E3259" t="inlineStr">
        <is>
          <t>GNOSJÖ</t>
        </is>
      </c>
      <c r="G3259" t="n">
        <v>0.4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9892-2025</t>
        </is>
      </c>
      <c r="B3260" s="1" t="n">
        <v>45716.70597222223</v>
      </c>
      <c r="C3260" s="1" t="n">
        <v>45962</v>
      </c>
      <c r="D3260" t="inlineStr">
        <is>
          <t>JÖNKÖPINGS LÄN</t>
        </is>
      </c>
      <c r="E3260" t="inlineStr">
        <is>
          <t>MULLSJÖ</t>
        </is>
      </c>
      <c r="G3260" t="n">
        <v>1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8119-2025</t>
        </is>
      </c>
      <c r="B3261" s="1" t="n">
        <v>45707</v>
      </c>
      <c r="C3261" s="1" t="n">
        <v>45962</v>
      </c>
      <c r="D3261" t="inlineStr">
        <is>
          <t>JÖNKÖPINGS LÄN</t>
        </is>
      </c>
      <c r="E3261" t="inlineStr">
        <is>
          <t>GNOSJÖ</t>
        </is>
      </c>
      <c r="G3261" t="n">
        <v>1.8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73003-2021</t>
        </is>
      </c>
      <c r="B3262" s="1" t="n">
        <v>44550.30402777778</v>
      </c>
      <c r="C3262" s="1" t="n">
        <v>45962</v>
      </c>
      <c r="D3262" t="inlineStr">
        <is>
          <t>JÖNKÖPINGS LÄN</t>
        </is>
      </c>
      <c r="E3262" t="inlineStr">
        <is>
          <t>JÖNKÖPING</t>
        </is>
      </c>
      <c r="G3262" t="n">
        <v>1.4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8560-2025</t>
        </is>
      </c>
      <c r="B3263" s="1" t="n">
        <v>45709</v>
      </c>
      <c r="C3263" s="1" t="n">
        <v>45962</v>
      </c>
      <c r="D3263" t="inlineStr">
        <is>
          <t>JÖNKÖPINGS LÄN</t>
        </is>
      </c>
      <c r="E3263" t="inlineStr">
        <is>
          <t>GISLAVED</t>
        </is>
      </c>
      <c r="F3263" t="inlineStr">
        <is>
          <t>Kommuner</t>
        </is>
      </c>
      <c r="G3263" t="n">
        <v>2.5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48186-2024</t>
        </is>
      </c>
      <c r="B3264" s="1" t="n">
        <v>45589.92590277778</v>
      </c>
      <c r="C3264" s="1" t="n">
        <v>45962</v>
      </c>
      <c r="D3264" t="inlineStr">
        <is>
          <t>JÖNKÖPINGS LÄN</t>
        </is>
      </c>
      <c r="E3264" t="inlineStr">
        <is>
          <t>VÄRNAMO</t>
        </is>
      </c>
      <c r="G3264" t="n">
        <v>0.7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64387-2023</t>
        </is>
      </c>
      <c r="B3265" s="1" t="n">
        <v>45280.58269675926</v>
      </c>
      <c r="C3265" s="1" t="n">
        <v>45962</v>
      </c>
      <c r="D3265" t="inlineStr">
        <is>
          <t>JÖNKÖPINGS LÄN</t>
        </is>
      </c>
      <c r="E3265" t="inlineStr">
        <is>
          <t>MULLSJÖ</t>
        </is>
      </c>
      <c r="G3265" t="n">
        <v>5.8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35148-2022</t>
        </is>
      </c>
      <c r="B3266" s="1" t="n">
        <v>44797</v>
      </c>
      <c r="C3266" s="1" t="n">
        <v>45962</v>
      </c>
      <c r="D3266" t="inlineStr">
        <is>
          <t>JÖNKÖPINGS LÄN</t>
        </is>
      </c>
      <c r="E3266" t="inlineStr">
        <is>
          <t>HABO</t>
        </is>
      </c>
      <c r="G3266" t="n">
        <v>0.7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27446-2023</t>
        </is>
      </c>
      <c r="B3267" s="1" t="n">
        <v>45097.41377314815</v>
      </c>
      <c r="C3267" s="1" t="n">
        <v>45962</v>
      </c>
      <c r="D3267" t="inlineStr">
        <is>
          <t>JÖNKÖPINGS LÄN</t>
        </is>
      </c>
      <c r="E3267" t="inlineStr">
        <is>
          <t>VETLANDA</t>
        </is>
      </c>
      <c r="G3267" t="n">
        <v>1.8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21333-2025</t>
        </is>
      </c>
      <c r="B3268" s="1" t="n">
        <v>45782.36523148148</v>
      </c>
      <c r="C3268" s="1" t="n">
        <v>45962</v>
      </c>
      <c r="D3268" t="inlineStr">
        <is>
          <t>JÖNKÖPINGS LÄN</t>
        </is>
      </c>
      <c r="E3268" t="inlineStr">
        <is>
          <t>ANEBY</t>
        </is>
      </c>
      <c r="G3268" t="n">
        <v>1.2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21756-2025</t>
        </is>
      </c>
      <c r="B3269" s="1" t="n">
        <v>45783.62003472223</v>
      </c>
      <c r="C3269" s="1" t="n">
        <v>45962</v>
      </c>
      <c r="D3269" t="inlineStr">
        <is>
          <t>JÖNKÖPINGS LÄN</t>
        </is>
      </c>
      <c r="E3269" t="inlineStr">
        <is>
          <t>GISLAVED</t>
        </is>
      </c>
      <c r="G3269" t="n">
        <v>3.7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73908-2021</t>
        </is>
      </c>
      <c r="B3270" s="1" t="n">
        <v>44553.46798611111</v>
      </c>
      <c r="C3270" s="1" t="n">
        <v>45962</v>
      </c>
      <c r="D3270" t="inlineStr">
        <is>
          <t>JÖNKÖPINGS LÄN</t>
        </is>
      </c>
      <c r="E3270" t="inlineStr">
        <is>
          <t>GISLAVED</t>
        </is>
      </c>
      <c r="G3270" t="n">
        <v>1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23787-2024</t>
        </is>
      </c>
      <c r="B3271" s="1" t="n">
        <v>45455.42315972222</v>
      </c>
      <c r="C3271" s="1" t="n">
        <v>45962</v>
      </c>
      <c r="D3271" t="inlineStr">
        <is>
          <t>JÖNKÖPINGS LÄN</t>
        </is>
      </c>
      <c r="E3271" t="inlineStr">
        <is>
          <t>MULLSJÖ</t>
        </is>
      </c>
      <c r="G3271" t="n">
        <v>1.4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21459-2025</t>
        </is>
      </c>
      <c r="B3272" s="1" t="n">
        <v>45782</v>
      </c>
      <c r="C3272" s="1" t="n">
        <v>45962</v>
      </c>
      <c r="D3272" t="inlineStr">
        <is>
          <t>JÖNKÖPINGS LÄN</t>
        </is>
      </c>
      <c r="E3272" t="inlineStr">
        <is>
          <t>TRANÅS</t>
        </is>
      </c>
      <c r="G3272" t="n">
        <v>1.8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23788-2024</t>
        </is>
      </c>
      <c r="B3273" s="1" t="n">
        <v>45455.42533564815</v>
      </c>
      <c r="C3273" s="1" t="n">
        <v>45962</v>
      </c>
      <c r="D3273" t="inlineStr">
        <is>
          <t>JÖNKÖPINGS LÄN</t>
        </is>
      </c>
      <c r="E3273" t="inlineStr">
        <is>
          <t>JÖNKÖPING</t>
        </is>
      </c>
      <c r="F3273" t="inlineStr">
        <is>
          <t>Sveaskog</t>
        </is>
      </c>
      <c r="G3273" t="n">
        <v>0.5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51921-2023</t>
        </is>
      </c>
      <c r="B3274" s="1" t="n">
        <v>45223.47211805556</v>
      </c>
      <c r="C3274" s="1" t="n">
        <v>45962</v>
      </c>
      <c r="D3274" t="inlineStr">
        <is>
          <t>JÖNKÖPINGS LÄN</t>
        </is>
      </c>
      <c r="E3274" t="inlineStr">
        <is>
          <t>SÄVSJÖ</t>
        </is>
      </c>
      <c r="G3274" t="n">
        <v>2.6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5801-2025</t>
        </is>
      </c>
      <c r="B3275" s="1" t="n">
        <v>45694.66690972223</v>
      </c>
      <c r="C3275" s="1" t="n">
        <v>45962</v>
      </c>
      <c r="D3275" t="inlineStr">
        <is>
          <t>JÖNKÖPINGS LÄN</t>
        </is>
      </c>
      <c r="E3275" t="inlineStr">
        <is>
          <t>NÄSSJÖ</t>
        </is>
      </c>
      <c r="G3275" t="n">
        <v>5.6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5803-2025</t>
        </is>
      </c>
      <c r="B3276" s="1" t="n">
        <v>45694.67922453704</v>
      </c>
      <c r="C3276" s="1" t="n">
        <v>45962</v>
      </c>
      <c r="D3276" t="inlineStr">
        <is>
          <t>JÖNKÖPINGS LÄN</t>
        </is>
      </c>
      <c r="E3276" t="inlineStr">
        <is>
          <t>VAGGERYD</t>
        </is>
      </c>
      <c r="G3276" t="n">
        <v>7.3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54692-2023</t>
        </is>
      </c>
      <c r="B3277" s="1" t="n">
        <v>45236</v>
      </c>
      <c r="C3277" s="1" t="n">
        <v>45962</v>
      </c>
      <c r="D3277" t="inlineStr">
        <is>
          <t>JÖNKÖPINGS LÄN</t>
        </is>
      </c>
      <c r="E3277" t="inlineStr">
        <is>
          <t>ANEBY</t>
        </is>
      </c>
      <c r="G3277" t="n">
        <v>0.8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70240-2021</t>
        </is>
      </c>
      <c r="B3278" s="1" t="n">
        <v>44536.41407407408</v>
      </c>
      <c r="C3278" s="1" t="n">
        <v>45962</v>
      </c>
      <c r="D3278" t="inlineStr">
        <is>
          <t>JÖNKÖPINGS LÄN</t>
        </is>
      </c>
      <c r="E3278" t="inlineStr">
        <is>
          <t>VAGGERYD</t>
        </is>
      </c>
      <c r="F3278" t="inlineStr">
        <is>
          <t>Sveaskog</t>
        </is>
      </c>
      <c r="G3278" t="n">
        <v>1.3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59269-2022</t>
        </is>
      </c>
      <c r="B3279" s="1" t="n">
        <v>44904.59393518518</v>
      </c>
      <c r="C3279" s="1" t="n">
        <v>45962</v>
      </c>
      <c r="D3279" t="inlineStr">
        <is>
          <t>JÖNKÖPINGS LÄN</t>
        </is>
      </c>
      <c r="E3279" t="inlineStr">
        <is>
          <t>JÖNKÖPING</t>
        </is>
      </c>
      <c r="F3279" t="inlineStr">
        <is>
          <t>Kommuner</t>
        </is>
      </c>
      <c r="G3279" t="n">
        <v>2.8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21351-2025</t>
        </is>
      </c>
      <c r="B3280" s="1" t="n">
        <v>45782</v>
      </c>
      <c r="C3280" s="1" t="n">
        <v>45962</v>
      </c>
      <c r="D3280" t="inlineStr">
        <is>
          <t>JÖNKÖPINGS LÄN</t>
        </is>
      </c>
      <c r="E3280" t="inlineStr">
        <is>
          <t>TRANÅS</t>
        </is>
      </c>
      <c r="G3280" t="n">
        <v>11.5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59293-2022</t>
        </is>
      </c>
      <c r="B3281" s="1" t="n">
        <v>44897</v>
      </c>
      <c r="C3281" s="1" t="n">
        <v>45962</v>
      </c>
      <c r="D3281" t="inlineStr">
        <is>
          <t>JÖNKÖPINGS LÄN</t>
        </is>
      </c>
      <c r="E3281" t="inlineStr">
        <is>
          <t>JÖNKÖPING</t>
        </is>
      </c>
      <c r="G3281" t="n">
        <v>0.5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59294-2022</t>
        </is>
      </c>
      <c r="B3282" s="1" t="n">
        <v>44904.61212962963</v>
      </c>
      <c r="C3282" s="1" t="n">
        <v>45962</v>
      </c>
      <c r="D3282" t="inlineStr">
        <is>
          <t>JÖNKÖPINGS LÄN</t>
        </is>
      </c>
      <c r="E3282" t="inlineStr">
        <is>
          <t>JÖNKÖPING</t>
        </is>
      </c>
      <c r="F3282" t="inlineStr">
        <is>
          <t>Kommuner</t>
        </is>
      </c>
      <c r="G3282" t="n">
        <v>2.2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21378-2025</t>
        </is>
      </c>
      <c r="B3283" s="1" t="n">
        <v>45782.45408564815</v>
      </c>
      <c r="C3283" s="1" t="n">
        <v>45962</v>
      </c>
      <c r="D3283" t="inlineStr">
        <is>
          <t>JÖNKÖPINGS LÄN</t>
        </is>
      </c>
      <c r="E3283" t="inlineStr">
        <is>
          <t>SÄVSJÖ</t>
        </is>
      </c>
      <c r="G3283" t="n">
        <v>1.6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10206-2025</t>
        </is>
      </c>
      <c r="B3284" s="1" t="n">
        <v>45719</v>
      </c>
      <c r="C3284" s="1" t="n">
        <v>45962</v>
      </c>
      <c r="D3284" t="inlineStr">
        <is>
          <t>JÖNKÖPINGS LÄN</t>
        </is>
      </c>
      <c r="E3284" t="inlineStr">
        <is>
          <t>MULLSJÖ</t>
        </is>
      </c>
      <c r="G3284" t="n">
        <v>0.7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10210-2025</t>
        </is>
      </c>
      <c r="B3285" s="1" t="n">
        <v>45719.83372685185</v>
      </c>
      <c r="C3285" s="1" t="n">
        <v>45962</v>
      </c>
      <c r="D3285" t="inlineStr">
        <is>
          <t>JÖNKÖPINGS LÄN</t>
        </is>
      </c>
      <c r="E3285" t="inlineStr">
        <is>
          <t>SÄVSJÖ</t>
        </is>
      </c>
      <c r="G3285" t="n">
        <v>0.5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42878-2023</t>
        </is>
      </c>
      <c r="B3286" s="1" t="n">
        <v>45182.44875</v>
      </c>
      <c r="C3286" s="1" t="n">
        <v>45962</v>
      </c>
      <c r="D3286" t="inlineStr">
        <is>
          <t>JÖNKÖPINGS LÄN</t>
        </is>
      </c>
      <c r="E3286" t="inlineStr">
        <is>
          <t>VETLANDA</t>
        </is>
      </c>
      <c r="F3286" t="inlineStr">
        <is>
          <t>Sveaskog</t>
        </is>
      </c>
      <c r="G3286" t="n">
        <v>1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42902-2023</t>
        </is>
      </c>
      <c r="B3287" s="1" t="n">
        <v>45182.48945601852</v>
      </c>
      <c r="C3287" s="1" t="n">
        <v>45962</v>
      </c>
      <c r="D3287" t="inlineStr">
        <is>
          <t>JÖNKÖPINGS LÄN</t>
        </is>
      </c>
      <c r="E3287" t="inlineStr">
        <is>
          <t>VETLANDA</t>
        </is>
      </c>
      <c r="G3287" t="n">
        <v>0.9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10435-2023</t>
        </is>
      </c>
      <c r="B3288" s="1" t="n">
        <v>44981</v>
      </c>
      <c r="C3288" s="1" t="n">
        <v>45962</v>
      </c>
      <c r="D3288" t="inlineStr">
        <is>
          <t>JÖNKÖPINGS LÄN</t>
        </is>
      </c>
      <c r="E3288" t="inlineStr">
        <is>
          <t>VÄRNAMO</t>
        </is>
      </c>
      <c r="G3288" t="n">
        <v>4.5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38504-2024</t>
        </is>
      </c>
      <c r="B3289" s="1" t="n">
        <v>45546.53074074074</v>
      </c>
      <c r="C3289" s="1" t="n">
        <v>45962</v>
      </c>
      <c r="D3289" t="inlineStr">
        <is>
          <t>JÖNKÖPINGS LÄN</t>
        </is>
      </c>
      <c r="E3289" t="inlineStr">
        <is>
          <t>VAGGERYD</t>
        </is>
      </c>
      <c r="G3289" t="n">
        <v>1.8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33448-2023</t>
        </is>
      </c>
      <c r="B3290" s="1" t="n">
        <v>45130</v>
      </c>
      <c r="C3290" s="1" t="n">
        <v>45962</v>
      </c>
      <c r="D3290" t="inlineStr">
        <is>
          <t>JÖNKÖPINGS LÄN</t>
        </is>
      </c>
      <c r="E3290" t="inlineStr">
        <is>
          <t>JÖNKÖPING</t>
        </is>
      </c>
      <c r="G3290" t="n">
        <v>1.4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15338-2021</t>
        </is>
      </c>
      <c r="B3291" s="1" t="n">
        <v>44284</v>
      </c>
      <c r="C3291" s="1" t="n">
        <v>45962</v>
      </c>
      <c r="D3291" t="inlineStr">
        <is>
          <t>JÖNKÖPINGS LÄN</t>
        </is>
      </c>
      <c r="E3291" t="inlineStr">
        <is>
          <t>GNOSJÖ</t>
        </is>
      </c>
      <c r="F3291" t="inlineStr">
        <is>
          <t>Kyrkan</t>
        </is>
      </c>
      <c r="G3291" t="n">
        <v>3.6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21581-2025</t>
        </is>
      </c>
      <c r="B3292" s="1" t="n">
        <v>45782.96171296296</v>
      </c>
      <c r="C3292" s="1" t="n">
        <v>45962</v>
      </c>
      <c r="D3292" t="inlineStr">
        <is>
          <t>JÖNKÖPINGS LÄN</t>
        </is>
      </c>
      <c r="E3292" t="inlineStr">
        <is>
          <t>VETLANDA</t>
        </is>
      </c>
      <c r="G3292" t="n">
        <v>3.2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28199-2024</t>
        </is>
      </c>
      <c r="B3293" s="1" t="n">
        <v>45477.33712962963</v>
      </c>
      <c r="C3293" s="1" t="n">
        <v>45962</v>
      </c>
      <c r="D3293" t="inlineStr">
        <is>
          <t>JÖNKÖPINGS LÄN</t>
        </is>
      </c>
      <c r="E3293" t="inlineStr">
        <is>
          <t>JÖNKÖPING</t>
        </is>
      </c>
      <c r="G3293" t="n">
        <v>3.7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38917-2024</t>
        </is>
      </c>
      <c r="B3294" s="1" t="n">
        <v>45547.83519675926</v>
      </c>
      <c r="C3294" s="1" t="n">
        <v>45962</v>
      </c>
      <c r="D3294" t="inlineStr">
        <is>
          <t>JÖNKÖPINGS LÄN</t>
        </is>
      </c>
      <c r="E3294" t="inlineStr">
        <is>
          <t>JÖNKÖPING</t>
        </is>
      </c>
      <c r="F3294" t="inlineStr">
        <is>
          <t>Sveaskog</t>
        </is>
      </c>
      <c r="G3294" t="n">
        <v>1.4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50804-2024</t>
        </is>
      </c>
      <c r="B3295" s="1" t="n">
        <v>45602.50542824074</v>
      </c>
      <c r="C3295" s="1" t="n">
        <v>45962</v>
      </c>
      <c r="D3295" t="inlineStr">
        <is>
          <t>JÖNKÖPINGS LÄN</t>
        </is>
      </c>
      <c r="E3295" t="inlineStr">
        <is>
          <t>HABO</t>
        </is>
      </c>
      <c r="G3295" t="n">
        <v>0.4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49379-2022</t>
        </is>
      </c>
      <c r="B3296" s="1" t="n">
        <v>44861.6108912037</v>
      </c>
      <c r="C3296" s="1" t="n">
        <v>45962</v>
      </c>
      <c r="D3296" t="inlineStr">
        <is>
          <t>JÖNKÖPINGS LÄN</t>
        </is>
      </c>
      <c r="E3296" t="inlineStr">
        <is>
          <t>JÖNKÖPING</t>
        </is>
      </c>
      <c r="G3296" t="n">
        <v>0.7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49396-2022</t>
        </is>
      </c>
      <c r="B3297" s="1" t="n">
        <v>44861</v>
      </c>
      <c r="C3297" s="1" t="n">
        <v>45962</v>
      </c>
      <c r="D3297" t="inlineStr">
        <is>
          <t>JÖNKÖPINGS LÄN</t>
        </is>
      </c>
      <c r="E3297" t="inlineStr">
        <is>
          <t>JÖNKÖPING</t>
        </is>
      </c>
      <c r="G3297" t="n">
        <v>1.6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21291-2025</t>
        </is>
      </c>
      <c r="B3298" s="1" t="n">
        <v>45779.87166666667</v>
      </c>
      <c r="C3298" s="1" t="n">
        <v>45962</v>
      </c>
      <c r="D3298" t="inlineStr">
        <is>
          <t>JÖNKÖPINGS LÄN</t>
        </is>
      </c>
      <c r="E3298" t="inlineStr">
        <is>
          <t>EKSJÖ</t>
        </is>
      </c>
      <c r="G3298" t="n">
        <v>1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30578-2023</t>
        </is>
      </c>
      <c r="B3299" s="1" t="n">
        <v>45112.3174074074</v>
      </c>
      <c r="C3299" s="1" t="n">
        <v>45962</v>
      </c>
      <c r="D3299" t="inlineStr">
        <is>
          <t>JÖNKÖPINGS LÄN</t>
        </is>
      </c>
      <c r="E3299" t="inlineStr">
        <is>
          <t>JÖNKÖPING</t>
        </is>
      </c>
      <c r="G3299" t="n">
        <v>5.3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30580-2023</t>
        </is>
      </c>
      <c r="B3300" s="1" t="n">
        <v>45112</v>
      </c>
      <c r="C3300" s="1" t="n">
        <v>45962</v>
      </c>
      <c r="D3300" t="inlineStr">
        <is>
          <t>JÖNKÖPINGS LÄN</t>
        </is>
      </c>
      <c r="E3300" t="inlineStr">
        <is>
          <t>JÖNKÖPING</t>
        </is>
      </c>
      <c r="G3300" t="n">
        <v>4.4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5811-2024</t>
        </is>
      </c>
      <c r="B3301" s="1" t="n">
        <v>45335</v>
      </c>
      <c r="C3301" s="1" t="n">
        <v>45962</v>
      </c>
      <c r="D3301" t="inlineStr">
        <is>
          <t>JÖNKÖPINGS LÄN</t>
        </is>
      </c>
      <c r="E3301" t="inlineStr">
        <is>
          <t>NÄSSJÖ</t>
        </is>
      </c>
      <c r="G3301" t="n">
        <v>1.7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59234-2024</t>
        </is>
      </c>
      <c r="B3302" s="1" t="n">
        <v>45637.58565972222</v>
      </c>
      <c r="C3302" s="1" t="n">
        <v>45962</v>
      </c>
      <c r="D3302" t="inlineStr">
        <is>
          <t>JÖNKÖPINGS LÄN</t>
        </is>
      </c>
      <c r="E3302" t="inlineStr">
        <is>
          <t>EKSJÖ</t>
        </is>
      </c>
      <c r="G3302" t="n">
        <v>2.3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5891-2024</t>
        </is>
      </c>
      <c r="B3303" s="1" t="n">
        <v>45335.73070601852</v>
      </c>
      <c r="C3303" s="1" t="n">
        <v>45962</v>
      </c>
      <c r="D3303" t="inlineStr">
        <is>
          <t>JÖNKÖPINGS LÄN</t>
        </is>
      </c>
      <c r="E3303" t="inlineStr">
        <is>
          <t>NÄSSJÖ</t>
        </is>
      </c>
      <c r="G3303" t="n">
        <v>0.9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5288-2022</t>
        </is>
      </c>
      <c r="B3304" s="1" t="n">
        <v>44594.61658564815</v>
      </c>
      <c r="C3304" s="1" t="n">
        <v>45962</v>
      </c>
      <c r="D3304" t="inlineStr">
        <is>
          <t>JÖNKÖPINGS LÄN</t>
        </is>
      </c>
      <c r="E3304" t="inlineStr">
        <is>
          <t>GISLAVED</t>
        </is>
      </c>
      <c r="G3304" t="n">
        <v>1.3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60726-2022</t>
        </is>
      </c>
      <c r="B3305" s="1" t="n">
        <v>44913.54509259259</v>
      </c>
      <c r="C3305" s="1" t="n">
        <v>45962</v>
      </c>
      <c r="D3305" t="inlineStr">
        <is>
          <t>JÖNKÖPINGS LÄN</t>
        </is>
      </c>
      <c r="E3305" t="inlineStr">
        <is>
          <t>HABO</t>
        </is>
      </c>
      <c r="G3305" t="n">
        <v>0.9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62844-2023</t>
        </is>
      </c>
      <c r="B3306" s="1" t="n">
        <v>45272</v>
      </c>
      <c r="C3306" s="1" t="n">
        <v>45962</v>
      </c>
      <c r="D3306" t="inlineStr">
        <is>
          <t>JÖNKÖPINGS LÄN</t>
        </is>
      </c>
      <c r="E3306" t="inlineStr">
        <is>
          <t>JÖNKÖPING</t>
        </is>
      </c>
      <c r="G3306" t="n">
        <v>2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33398-2024</t>
        </is>
      </c>
      <c r="B3307" s="1" t="n">
        <v>45519.48550925926</v>
      </c>
      <c r="C3307" s="1" t="n">
        <v>45962</v>
      </c>
      <c r="D3307" t="inlineStr">
        <is>
          <t>JÖNKÖPINGS LÄN</t>
        </is>
      </c>
      <c r="E3307" t="inlineStr">
        <is>
          <t>JÖNKÖPING</t>
        </is>
      </c>
      <c r="G3307" t="n">
        <v>2.4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27760-2022</t>
        </is>
      </c>
      <c r="B3308" s="1" t="n">
        <v>44743</v>
      </c>
      <c r="C3308" s="1" t="n">
        <v>45962</v>
      </c>
      <c r="D3308" t="inlineStr">
        <is>
          <t>JÖNKÖPINGS LÄN</t>
        </is>
      </c>
      <c r="E3308" t="inlineStr">
        <is>
          <t>MULLSJÖ</t>
        </is>
      </c>
      <c r="G3308" t="n">
        <v>2.6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71173-2021</t>
        </is>
      </c>
      <c r="B3309" s="1" t="n">
        <v>44539.4725925926</v>
      </c>
      <c r="C3309" s="1" t="n">
        <v>45962</v>
      </c>
      <c r="D3309" t="inlineStr">
        <is>
          <t>JÖNKÖPINGS LÄN</t>
        </is>
      </c>
      <c r="E3309" t="inlineStr">
        <is>
          <t>VAGGERYD</t>
        </is>
      </c>
      <c r="F3309" t="inlineStr">
        <is>
          <t>Sveaskog</t>
        </is>
      </c>
      <c r="G3309" t="n">
        <v>1.8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71182-2021</t>
        </is>
      </c>
      <c r="B3310" s="1" t="n">
        <v>44539</v>
      </c>
      <c r="C3310" s="1" t="n">
        <v>45962</v>
      </c>
      <c r="D3310" t="inlineStr">
        <is>
          <t>JÖNKÖPINGS LÄN</t>
        </is>
      </c>
      <c r="E3310" t="inlineStr">
        <is>
          <t>VAGGERYD</t>
        </is>
      </c>
      <c r="F3310" t="inlineStr">
        <is>
          <t>Sveaskog</t>
        </is>
      </c>
      <c r="G3310" t="n">
        <v>4.2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71233-2021</t>
        </is>
      </c>
      <c r="B3311" s="1" t="n">
        <v>44539</v>
      </c>
      <c r="C3311" s="1" t="n">
        <v>45962</v>
      </c>
      <c r="D3311" t="inlineStr">
        <is>
          <t>JÖNKÖPINGS LÄN</t>
        </is>
      </c>
      <c r="E3311" t="inlineStr">
        <is>
          <t>VÄRNAMO</t>
        </is>
      </c>
      <c r="G3311" t="n">
        <v>2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69558-2021</t>
        </is>
      </c>
      <c r="B3312" s="1" t="n">
        <v>44532.30398148148</v>
      </c>
      <c r="C3312" s="1" t="n">
        <v>45962</v>
      </c>
      <c r="D3312" t="inlineStr">
        <is>
          <t>JÖNKÖPINGS LÄN</t>
        </is>
      </c>
      <c r="E3312" t="inlineStr">
        <is>
          <t>JÖNKÖPING</t>
        </is>
      </c>
      <c r="G3312" t="n">
        <v>0.5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17308-2024</t>
        </is>
      </c>
      <c r="B3313" s="1" t="n">
        <v>45414.50645833334</v>
      </c>
      <c r="C3313" s="1" t="n">
        <v>45962</v>
      </c>
      <c r="D3313" t="inlineStr">
        <is>
          <t>JÖNKÖPINGS LÄN</t>
        </is>
      </c>
      <c r="E3313" t="inlineStr">
        <is>
          <t>SÄVSJÖ</t>
        </is>
      </c>
      <c r="G3313" t="n">
        <v>1.5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48658-2023</t>
        </is>
      </c>
      <c r="B3314" s="1" t="n">
        <v>45208.606875</v>
      </c>
      <c r="C3314" s="1" t="n">
        <v>45962</v>
      </c>
      <c r="D3314" t="inlineStr">
        <is>
          <t>JÖNKÖPINGS LÄN</t>
        </is>
      </c>
      <c r="E3314" t="inlineStr">
        <is>
          <t>VÄRNAMO</t>
        </is>
      </c>
      <c r="G3314" t="n">
        <v>0.7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35626-2022</t>
        </is>
      </c>
      <c r="B3315" s="1" t="n">
        <v>44799</v>
      </c>
      <c r="C3315" s="1" t="n">
        <v>45962</v>
      </c>
      <c r="D3315" t="inlineStr">
        <is>
          <t>JÖNKÖPINGS LÄN</t>
        </is>
      </c>
      <c r="E3315" t="inlineStr">
        <is>
          <t>HABO</t>
        </is>
      </c>
      <c r="F3315" t="inlineStr">
        <is>
          <t>Kommuner</t>
        </is>
      </c>
      <c r="G3315" t="n">
        <v>1.8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36653-2022</t>
        </is>
      </c>
      <c r="B3316" s="1" t="n">
        <v>44804</v>
      </c>
      <c r="C3316" s="1" t="n">
        <v>45962</v>
      </c>
      <c r="D3316" t="inlineStr">
        <is>
          <t>JÖNKÖPINGS LÄN</t>
        </is>
      </c>
      <c r="E3316" t="inlineStr">
        <is>
          <t>GNOSJÖ</t>
        </is>
      </c>
      <c r="G3316" t="n">
        <v>2.1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61264-2023</t>
        </is>
      </c>
      <c r="B3317" s="1" t="n">
        <v>45264.49295138889</v>
      </c>
      <c r="C3317" s="1" t="n">
        <v>45962</v>
      </c>
      <c r="D3317" t="inlineStr">
        <is>
          <t>JÖNKÖPINGS LÄN</t>
        </is>
      </c>
      <c r="E3317" t="inlineStr">
        <is>
          <t>VÄRNAMO</t>
        </is>
      </c>
      <c r="G3317" t="n">
        <v>1.3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30037-2024</t>
        </is>
      </c>
      <c r="B3318" s="1" t="n">
        <v>45488.70516203704</v>
      </c>
      <c r="C3318" s="1" t="n">
        <v>45962</v>
      </c>
      <c r="D3318" t="inlineStr">
        <is>
          <t>JÖNKÖPINGS LÄN</t>
        </is>
      </c>
      <c r="E3318" t="inlineStr">
        <is>
          <t>GISLAVED</t>
        </is>
      </c>
      <c r="G3318" t="n">
        <v>2.5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55801-2021</t>
        </is>
      </c>
      <c r="B3319" s="1" t="n">
        <v>44476.58135416666</v>
      </c>
      <c r="C3319" s="1" t="n">
        <v>45962</v>
      </c>
      <c r="D3319" t="inlineStr">
        <is>
          <t>JÖNKÖPINGS LÄN</t>
        </is>
      </c>
      <c r="E3319" t="inlineStr">
        <is>
          <t>SÄVSJÖ</t>
        </is>
      </c>
      <c r="G3319" t="n">
        <v>0.7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38189-2023</t>
        </is>
      </c>
      <c r="B3320" s="1" t="n">
        <v>45161.48237268518</v>
      </c>
      <c r="C3320" s="1" t="n">
        <v>45962</v>
      </c>
      <c r="D3320" t="inlineStr">
        <is>
          <t>JÖNKÖPINGS LÄN</t>
        </is>
      </c>
      <c r="E3320" t="inlineStr">
        <is>
          <t>VETLANDA</t>
        </is>
      </c>
      <c r="G3320" t="n">
        <v>1.8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31165-2022</t>
        </is>
      </c>
      <c r="B3321" s="1" t="n">
        <v>44770</v>
      </c>
      <c r="C3321" s="1" t="n">
        <v>45962</v>
      </c>
      <c r="D3321" t="inlineStr">
        <is>
          <t>JÖNKÖPINGS LÄN</t>
        </is>
      </c>
      <c r="E3321" t="inlineStr">
        <is>
          <t>VETLANDA</t>
        </is>
      </c>
      <c r="G3321" t="n">
        <v>0.6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10386-2024</t>
        </is>
      </c>
      <c r="B3322" s="1" t="n">
        <v>45365.65672453704</v>
      </c>
      <c r="C3322" s="1" t="n">
        <v>45962</v>
      </c>
      <c r="D3322" t="inlineStr">
        <is>
          <t>JÖNKÖPINGS LÄN</t>
        </is>
      </c>
      <c r="E3322" t="inlineStr">
        <is>
          <t>GISLAVED</t>
        </is>
      </c>
      <c r="F3322" t="inlineStr">
        <is>
          <t>Sveaskog</t>
        </is>
      </c>
      <c r="G3322" t="n">
        <v>0.9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31197-2022</t>
        </is>
      </c>
      <c r="B3323" s="1" t="n">
        <v>44770.71555555556</v>
      </c>
      <c r="C3323" s="1" t="n">
        <v>45962</v>
      </c>
      <c r="D3323" t="inlineStr">
        <is>
          <t>JÖNKÖPINGS LÄN</t>
        </is>
      </c>
      <c r="E3323" t="inlineStr">
        <is>
          <t>VAGGERYD</t>
        </is>
      </c>
      <c r="G3323" t="n">
        <v>5.3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41305-2023</t>
        </is>
      </c>
      <c r="B3324" s="1" t="n">
        <v>45174</v>
      </c>
      <c r="C3324" s="1" t="n">
        <v>45962</v>
      </c>
      <c r="D3324" t="inlineStr">
        <is>
          <t>JÖNKÖPINGS LÄN</t>
        </is>
      </c>
      <c r="E3324" t="inlineStr">
        <is>
          <t>JÖNKÖPING</t>
        </is>
      </c>
      <c r="G3324" t="n">
        <v>5.4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4252-2024</t>
        </is>
      </c>
      <c r="B3325" s="1" t="n">
        <v>45324.48243055555</v>
      </c>
      <c r="C3325" s="1" t="n">
        <v>45962</v>
      </c>
      <c r="D3325" t="inlineStr">
        <is>
          <t>JÖNKÖPINGS LÄN</t>
        </is>
      </c>
      <c r="E3325" t="inlineStr">
        <is>
          <t>MULLSJÖ</t>
        </is>
      </c>
      <c r="G3325" t="n">
        <v>1.5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44126-2024</t>
        </is>
      </c>
      <c r="B3326" s="1" t="n">
        <v>45572.65032407407</v>
      </c>
      <c r="C3326" s="1" t="n">
        <v>45962</v>
      </c>
      <c r="D3326" t="inlineStr">
        <is>
          <t>JÖNKÖPINGS LÄN</t>
        </is>
      </c>
      <c r="E3326" t="inlineStr">
        <is>
          <t>VETLANDA</t>
        </is>
      </c>
      <c r="G3326" t="n">
        <v>0.5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16184-2024</t>
        </is>
      </c>
      <c r="B3327" s="1" t="n">
        <v>45406</v>
      </c>
      <c r="C3327" s="1" t="n">
        <v>45962</v>
      </c>
      <c r="D3327" t="inlineStr">
        <is>
          <t>JÖNKÖPINGS LÄN</t>
        </is>
      </c>
      <c r="E3327" t="inlineStr">
        <is>
          <t>JÖNKÖPING</t>
        </is>
      </c>
      <c r="G3327" t="n">
        <v>1.2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56177-2024</t>
        </is>
      </c>
      <c r="B3328" s="1" t="n">
        <v>45624.55962962963</v>
      </c>
      <c r="C3328" s="1" t="n">
        <v>45962</v>
      </c>
      <c r="D3328" t="inlineStr">
        <is>
          <t>JÖNKÖPINGS LÄN</t>
        </is>
      </c>
      <c r="E3328" t="inlineStr">
        <is>
          <t>GISLAVED</t>
        </is>
      </c>
      <c r="G3328" t="n">
        <v>1.6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22160-2025</t>
        </is>
      </c>
      <c r="B3329" s="1" t="n">
        <v>45785.58833333333</v>
      </c>
      <c r="C3329" s="1" t="n">
        <v>45962</v>
      </c>
      <c r="D3329" t="inlineStr">
        <is>
          <t>JÖNKÖPINGS LÄN</t>
        </is>
      </c>
      <c r="E3329" t="inlineStr">
        <is>
          <t>EKSJÖ</t>
        </is>
      </c>
      <c r="G3329" t="n">
        <v>5.3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22168-2025</t>
        </is>
      </c>
      <c r="B3330" s="1" t="n">
        <v>45785.59581018519</v>
      </c>
      <c r="C3330" s="1" t="n">
        <v>45962</v>
      </c>
      <c r="D3330" t="inlineStr">
        <is>
          <t>JÖNKÖPINGS LÄN</t>
        </is>
      </c>
      <c r="E3330" t="inlineStr">
        <is>
          <t>NÄSSJÖ</t>
        </is>
      </c>
      <c r="G3330" t="n">
        <v>4.8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8986-2023</t>
        </is>
      </c>
      <c r="B3331" s="1" t="n">
        <v>44974</v>
      </c>
      <c r="C3331" s="1" t="n">
        <v>45962</v>
      </c>
      <c r="D3331" t="inlineStr">
        <is>
          <t>JÖNKÖPINGS LÄN</t>
        </is>
      </c>
      <c r="E3331" t="inlineStr">
        <is>
          <t>NÄSSJÖ</t>
        </is>
      </c>
      <c r="G3331" t="n">
        <v>1.9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55400-2024</t>
        </is>
      </c>
      <c r="B3332" s="1" t="n">
        <v>45622.35340277778</v>
      </c>
      <c r="C3332" s="1" t="n">
        <v>45962</v>
      </c>
      <c r="D3332" t="inlineStr">
        <is>
          <t>JÖNKÖPINGS LÄN</t>
        </is>
      </c>
      <c r="E3332" t="inlineStr">
        <is>
          <t>JÖNKÖPING</t>
        </is>
      </c>
      <c r="G3332" t="n">
        <v>18.6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44566-2023</t>
        </is>
      </c>
      <c r="B3333" s="1" t="n">
        <v>45189</v>
      </c>
      <c r="C3333" s="1" t="n">
        <v>45962</v>
      </c>
      <c r="D3333" t="inlineStr">
        <is>
          <t>JÖNKÖPINGS LÄN</t>
        </is>
      </c>
      <c r="E3333" t="inlineStr">
        <is>
          <t>NÄSSJÖ</t>
        </is>
      </c>
      <c r="G3333" t="n">
        <v>11.8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3226-2022</t>
        </is>
      </c>
      <c r="B3334" s="1" t="n">
        <v>44582</v>
      </c>
      <c r="C3334" s="1" t="n">
        <v>45962</v>
      </c>
      <c r="D3334" t="inlineStr">
        <is>
          <t>JÖNKÖPINGS LÄN</t>
        </is>
      </c>
      <c r="E3334" t="inlineStr">
        <is>
          <t>EKSJÖ</t>
        </is>
      </c>
      <c r="F3334" t="inlineStr">
        <is>
          <t>Kommuner</t>
        </is>
      </c>
      <c r="G3334" t="n">
        <v>2.1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22230-2025</t>
        </is>
      </c>
      <c r="B3335" s="1" t="n">
        <v>45785.66460648148</v>
      </c>
      <c r="C3335" s="1" t="n">
        <v>45962</v>
      </c>
      <c r="D3335" t="inlineStr">
        <is>
          <t>JÖNKÖPINGS LÄN</t>
        </is>
      </c>
      <c r="E3335" t="inlineStr">
        <is>
          <t>VETLANDA</t>
        </is>
      </c>
      <c r="G3335" t="n">
        <v>4.4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43998-2023</t>
        </is>
      </c>
      <c r="B3336" s="1" t="n">
        <v>45188.2929050926</v>
      </c>
      <c r="C3336" s="1" t="n">
        <v>45962</v>
      </c>
      <c r="D3336" t="inlineStr">
        <is>
          <t>JÖNKÖPINGS LÄN</t>
        </is>
      </c>
      <c r="E3336" t="inlineStr">
        <is>
          <t>NÄSSJÖ</t>
        </is>
      </c>
      <c r="G3336" t="n">
        <v>1.3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12214-2022</t>
        </is>
      </c>
      <c r="B3337" s="1" t="n">
        <v>44637</v>
      </c>
      <c r="C3337" s="1" t="n">
        <v>45962</v>
      </c>
      <c r="D3337" t="inlineStr">
        <is>
          <t>JÖNKÖPINGS LÄN</t>
        </is>
      </c>
      <c r="E3337" t="inlineStr">
        <is>
          <t>TRANÅS</t>
        </is>
      </c>
      <c r="F3337" t="inlineStr">
        <is>
          <t>Allmännings- och besparingsskogar</t>
        </is>
      </c>
      <c r="G3337" t="n">
        <v>1.2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16449-2025</t>
        </is>
      </c>
      <c r="B3338" s="1" t="n">
        <v>45751.5106712963</v>
      </c>
      <c r="C3338" s="1" t="n">
        <v>45962</v>
      </c>
      <c r="D3338" t="inlineStr">
        <is>
          <t>JÖNKÖPINGS LÄN</t>
        </is>
      </c>
      <c r="E3338" t="inlineStr">
        <is>
          <t>MULLSJÖ</t>
        </is>
      </c>
      <c r="G3338" t="n">
        <v>3.7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10332-2025</t>
        </is>
      </c>
      <c r="B3339" s="1" t="n">
        <v>45720</v>
      </c>
      <c r="C3339" s="1" t="n">
        <v>45962</v>
      </c>
      <c r="D3339" t="inlineStr">
        <is>
          <t>JÖNKÖPINGS LÄN</t>
        </is>
      </c>
      <c r="E3339" t="inlineStr">
        <is>
          <t>NÄSSJÖ</t>
        </is>
      </c>
      <c r="G3339" t="n">
        <v>3.9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21904-2022</t>
        </is>
      </c>
      <c r="B3340" s="1" t="n">
        <v>44711</v>
      </c>
      <c r="C3340" s="1" t="n">
        <v>45962</v>
      </c>
      <c r="D3340" t="inlineStr">
        <is>
          <t>JÖNKÖPINGS LÄN</t>
        </is>
      </c>
      <c r="E3340" t="inlineStr">
        <is>
          <t>GISLAVED</t>
        </is>
      </c>
      <c r="G3340" t="n">
        <v>5.9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33154-2024</t>
        </is>
      </c>
      <c r="B3341" s="1" t="n">
        <v>45518.38491898148</v>
      </c>
      <c r="C3341" s="1" t="n">
        <v>45962</v>
      </c>
      <c r="D3341" t="inlineStr">
        <is>
          <t>JÖNKÖPINGS LÄN</t>
        </is>
      </c>
      <c r="E3341" t="inlineStr">
        <is>
          <t>SÄVSJÖ</t>
        </is>
      </c>
      <c r="G3341" t="n">
        <v>1.1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7519-2022</t>
        </is>
      </c>
      <c r="B3342" s="1" t="n">
        <v>44607</v>
      </c>
      <c r="C3342" s="1" t="n">
        <v>45962</v>
      </c>
      <c r="D3342" t="inlineStr">
        <is>
          <t>JÖNKÖPINGS LÄN</t>
        </is>
      </c>
      <c r="E3342" t="inlineStr">
        <is>
          <t>VETLANDA</t>
        </is>
      </c>
      <c r="G3342" t="n">
        <v>0.6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50634-2023</t>
        </is>
      </c>
      <c r="B3343" s="1" t="n">
        <v>45217</v>
      </c>
      <c r="C3343" s="1" t="n">
        <v>45962</v>
      </c>
      <c r="D3343" t="inlineStr">
        <is>
          <t>JÖNKÖPINGS LÄN</t>
        </is>
      </c>
      <c r="E3343" t="inlineStr">
        <is>
          <t>TRANÅS</t>
        </is>
      </c>
      <c r="G3343" t="n">
        <v>0.9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59208-2024</t>
        </is>
      </c>
      <c r="B3344" s="1" t="n">
        <v>45637.55875</v>
      </c>
      <c r="C3344" s="1" t="n">
        <v>45962</v>
      </c>
      <c r="D3344" t="inlineStr">
        <is>
          <t>JÖNKÖPINGS LÄN</t>
        </is>
      </c>
      <c r="E3344" t="inlineStr">
        <is>
          <t>GISLAVED</t>
        </is>
      </c>
      <c r="G3344" t="n">
        <v>1.8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60805-2024</t>
        </is>
      </c>
      <c r="B3345" s="1" t="n">
        <v>45644</v>
      </c>
      <c r="C3345" s="1" t="n">
        <v>45962</v>
      </c>
      <c r="D3345" t="inlineStr">
        <is>
          <t>JÖNKÖPINGS LÄN</t>
        </is>
      </c>
      <c r="E3345" t="inlineStr">
        <is>
          <t>SÄVSJÖ</t>
        </is>
      </c>
      <c r="G3345" t="n">
        <v>0.9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44397-2024</t>
        </is>
      </c>
      <c r="B3346" s="1" t="n">
        <v>45573.69949074074</v>
      </c>
      <c r="C3346" s="1" t="n">
        <v>45962</v>
      </c>
      <c r="D3346" t="inlineStr">
        <is>
          <t>JÖNKÖPINGS LÄN</t>
        </is>
      </c>
      <c r="E3346" t="inlineStr">
        <is>
          <t>SÄVSJÖ</t>
        </is>
      </c>
      <c r="G3346" t="n">
        <v>1.6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26449-2022</t>
        </is>
      </c>
      <c r="B3347" s="1" t="n">
        <v>44738</v>
      </c>
      <c r="C3347" s="1" t="n">
        <v>45962</v>
      </c>
      <c r="D3347" t="inlineStr">
        <is>
          <t>JÖNKÖPINGS LÄN</t>
        </is>
      </c>
      <c r="E3347" t="inlineStr">
        <is>
          <t>TRANÅS</t>
        </is>
      </c>
      <c r="G3347" t="n">
        <v>2.9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61471-2022</t>
        </is>
      </c>
      <c r="B3348" s="1" t="n">
        <v>44916.44489583333</v>
      </c>
      <c r="C3348" s="1" t="n">
        <v>45962</v>
      </c>
      <c r="D3348" t="inlineStr">
        <is>
          <t>JÖNKÖPINGS LÄN</t>
        </is>
      </c>
      <c r="E3348" t="inlineStr">
        <is>
          <t>VETLANDA</t>
        </is>
      </c>
      <c r="G3348" t="n">
        <v>1.3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40609-2024</t>
        </is>
      </c>
      <c r="B3349" s="1" t="n">
        <v>45557.35435185185</v>
      </c>
      <c r="C3349" s="1" t="n">
        <v>45962</v>
      </c>
      <c r="D3349" t="inlineStr">
        <is>
          <t>JÖNKÖPINGS LÄN</t>
        </is>
      </c>
      <c r="E3349" t="inlineStr">
        <is>
          <t>JÖNKÖPING</t>
        </is>
      </c>
      <c r="G3349" t="n">
        <v>2.1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61408-2024</t>
        </is>
      </c>
      <c r="B3350" s="1" t="n">
        <v>45646.43802083333</v>
      </c>
      <c r="C3350" s="1" t="n">
        <v>45962</v>
      </c>
      <c r="D3350" t="inlineStr">
        <is>
          <t>JÖNKÖPINGS LÄN</t>
        </is>
      </c>
      <c r="E3350" t="inlineStr">
        <is>
          <t>SÄVSJÖ</t>
        </is>
      </c>
      <c r="G3350" t="n">
        <v>2.9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62414-2023</t>
        </is>
      </c>
      <c r="B3351" s="1" t="n">
        <v>45268</v>
      </c>
      <c r="C3351" s="1" t="n">
        <v>45962</v>
      </c>
      <c r="D3351" t="inlineStr">
        <is>
          <t>JÖNKÖPINGS LÄN</t>
        </is>
      </c>
      <c r="E3351" t="inlineStr">
        <is>
          <t>JÖNKÖPING</t>
        </is>
      </c>
      <c r="G3351" t="n">
        <v>1.1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53914-2024</t>
        </is>
      </c>
      <c r="B3352" s="1" t="n">
        <v>45615.73449074074</v>
      </c>
      <c r="C3352" s="1" t="n">
        <v>45962</v>
      </c>
      <c r="D3352" t="inlineStr">
        <is>
          <t>JÖNKÖPINGS LÄN</t>
        </is>
      </c>
      <c r="E3352" t="inlineStr">
        <is>
          <t>NÄSSJÖ</t>
        </is>
      </c>
      <c r="G3352" t="n">
        <v>4.8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6305-2025</t>
        </is>
      </c>
      <c r="B3353" s="1" t="n">
        <v>45698.68236111111</v>
      </c>
      <c r="C3353" s="1" t="n">
        <v>45962</v>
      </c>
      <c r="D3353" t="inlineStr">
        <is>
          <t>JÖNKÖPINGS LÄN</t>
        </is>
      </c>
      <c r="E3353" t="inlineStr">
        <is>
          <t>ANEBY</t>
        </is>
      </c>
      <c r="G3353" t="n">
        <v>1.5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68482-2020</t>
        </is>
      </c>
      <c r="B3354" s="1" t="n">
        <v>44186</v>
      </c>
      <c r="C3354" s="1" t="n">
        <v>45962</v>
      </c>
      <c r="D3354" t="inlineStr">
        <is>
          <t>JÖNKÖPINGS LÄN</t>
        </is>
      </c>
      <c r="E3354" t="inlineStr">
        <is>
          <t>VETLANDA</t>
        </is>
      </c>
      <c r="G3354" t="n">
        <v>2.2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817-2023</t>
        </is>
      </c>
      <c r="B3355" s="1" t="n">
        <v>44931</v>
      </c>
      <c r="C3355" s="1" t="n">
        <v>45962</v>
      </c>
      <c r="D3355" t="inlineStr">
        <is>
          <t>JÖNKÖPINGS LÄN</t>
        </is>
      </c>
      <c r="E3355" t="inlineStr">
        <is>
          <t>GISLAVED</t>
        </is>
      </c>
      <c r="G3355" t="n">
        <v>0.8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30647-2024</t>
        </is>
      </c>
      <c r="B3356" s="1" t="n">
        <v>45495.59086805556</v>
      </c>
      <c r="C3356" s="1" t="n">
        <v>45962</v>
      </c>
      <c r="D3356" t="inlineStr">
        <is>
          <t>JÖNKÖPINGS LÄN</t>
        </is>
      </c>
      <c r="E3356" t="inlineStr">
        <is>
          <t>TRANÅS</t>
        </is>
      </c>
      <c r="G3356" t="n">
        <v>1.6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40706-2022</t>
        </is>
      </c>
      <c r="B3357" s="1" t="n">
        <v>44824</v>
      </c>
      <c r="C3357" s="1" t="n">
        <v>45962</v>
      </c>
      <c r="D3357" t="inlineStr">
        <is>
          <t>JÖNKÖPINGS LÄN</t>
        </is>
      </c>
      <c r="E3357" t="inlineStr">
        <is>
          <t>VAGGERYD</t>
        </is>
      </c>
      <c r="G3357" t="n">
        <v>7.3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37899-2023</t>
        </is>
      </c>
      <c r="B3358" s="1" t="n">
        <v>45160.4716087963</v>
      </c>
      <c r="C3358" s="1" t="n">
        <v>45962</v>
      </c>
      <c r="D3358" t="inlineStr">
        <is>
          <t>JÖNKÖPINGS LÄN</t>
        </is>
      </c>
      <c r="E3358" t="inlineStr">
        <is>
          <t>VÄRNAMO</t>
        </is>
      </c>
      <c r="G3358" t="n">
        <v>1.4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22246-2025</t>
        </is>
      </c>
      <c r="B3359" s="1" t="n">
        <v>45785.68796296296</v>
      </c>
      <c r="C3359" s="1" t="n">
        <v>45962</v>
      </c>
      <c r="D3359" t="inlineStr">
        <is>
          <t>JÖNKÖPINGS LÄN</t>
        </is>
      </c>
      <c r="E3359" t="inlineStr">
        <is>
          <t>GISLAVED</t>
        </is>
      </c>
      <c r="F3359" t="inlineStr">
        <is>
          <t>Sveaskog</t>
        </is>
      </c>
      <c r="G3359" t="n">
        <v>0.9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39366-2023</t>
        </is>
      </c>
      <c r="B3360" s="1" t="n">
        <v>45166.62481481482</v>
      </c>
      <c r="C3360" s="1" t="n">
        <v>45962</v>
      </c>
      <c r="D3360" t="inlineStr">
        <is>
          <t>JÖNKÖPINGS LÄN</t>
        </is>
      </c>
      <c r="E3360" t="inlineStr">
        <is>
          <t>VAGGERYD</t>
        </is>
      </c>
      <c r="G3360" t="n">
        <v>0.9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29836-2024</t>
        </is>
      </c>
      <c r="B3361" s="1" t="n">
        <v>45485.59034722222</v>
      </c>
      <c r="C3361" s="1" t="n">
        <v>45962</v>
      </c>
      <c r="D3361" t="inlineStr">
        <is>
          <t>JÖNKÖPINGS LÄN</t>
        </is>
      </c>
      <c r="E3361" t="inlineStr">
        <is>
          <t>NÄSSJÖ</t>
        </is>
      </c>
      <c r="G3361" t="n">
        <v>4.6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5147-2022</t>
        </is>
      </c>
      <c r="B3362" s="1" t="n">
        <v>44593</v>
      </c>
      <c r="C3362" s="1" t="n">
        <v>45962</v>
      </c>
      <c r="D3362" t="inlineStr">
        <is>
          <t>JÖNKÖPINGS LÄN</t>
        </is>
      </c>
      <c r="E3362" t="inlineStr">
        <is>
          <t>JÖNKÖPING</t>
        </is>
      </c>
      <c r="G3362" t="n">
        <v>1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15577-2022</t>
        </is>
      </c>
      <c r="B3363" s="1" t="n">
        <v>44662.5583449074</v>
      </c>
      <c r="C3363" s="1" t="n">
        <v>45962</v>
      </c>
      <c r="D3363" t="inlineStr">
        <is>
          <t>JÖNKÖPINGS LÄN</t>
        </is>
      </c>
      <c r="E3363" t="inlineStr">
        <is>
          <t>VÄRNAMO</t>
        </is>
      </c>
      <c r="G3363" t="n">
        <v>9.199999999999999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4586-2025</t>
        </is>
      </c>
      <c r="B3364" s="1" t="n">
        <v>45687.51660879629</v>
      </c>
      <c r="C3364" s="1" t="n">
        <v>45962</v>
      </c>
      <c r="D3364" t="inlineStr">
        <is>
          <t>JÖNKÖPINGS LÄN</t>
        </is>
      </c>
      <c r="E3364" t="inlineStr">
        <is>
          <t>VÄRNAMO</t>
        </is>
      </c>
      <c r="G3364" t="n">
        <v>0.5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37703-2023</t>
        </is>
      </c>
      <c r="B3365" s="1" t="n">
        <v>45159</v>
      </c>
      <c r="C3365" s="1" t="n">
        <v>45962</v>
      </c>
      <c r="D3365" t="inlineStr">
        <is>
          <t>JÖNKÖPINGS LÄN</t>
        </is>
      </c>
      <c r="E3365" t="inlineStr">
        <is>
          <t>TRANÅS</t>
        </is>
      </c>
      <c r="G3365" t="n">
        <v>2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16379-2024</t>
        </is>
      </c>
      <c r="B3366" s="1" t="n">
        <v>45407.61017361111</v>
      </c>
      <c r="C3366" s="1" t="n">
        <v>45962</v>
      </c>
      <c r="D3366" t="inlineStr">
        <is>
          <t>JÖNKÖPINGS LÄN</t>
        </is>
      </c>
      <c r="E3366" t="inlineStr">
        <is>
          <t>SÄVSJÖ</t>
        </is>
      </c>
      <c r="G3366" t="n">
        <v>1.9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60202-2024</t>
        </is>
      </c>
      <c r="B3367" s="1" t="n">
        <v>45642.66414351852</v>
      </c>
      <c r="C3367" s="1" t="n">
        <v>45962</v>
      </c>
      <c r="D3367" t="inlineStr">
        <is>
          <t>JÖNKÖPINGS LÄN</t>
        </is>
      </c>
      <c r="E3367" t="inlineStr">
        <is>
          <t>VAGGERYD</t>
        </is>
      </c>
      <c r="G3367" t="n">
        <v>19.7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29558-2023</t>
        </is>
      </c>
      <c r="B3368" s="1" t="n">
        <v>45106.66707175926</v>
      </c>
      <c r="C3368" s="1" t="n">
        <v>45962</v>
      </c>
      <c r="D3368" t="inlineStr">
        <is>
          <t>JÖNKÖPINGS LÄN</t>
        </is>
      </c>
      <c r="E3368" t="inlineStr">
        <is>
          <t>SÄVSJÖ</t>
        </is>
      </c>
      <c r="G3368" t="n">
        <v>2.4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22248-2025</t>
        </is>
      </c>
      <c r="B3369" s="1" t="n">
        <v>45785.69043981482</v>
      </c>
      <c r="C3369" s="1" t="n">
        <v>45962</v>
      </c>
      <c r="D3369" t="inlineStr">
        <is>
          <t>JÖNKÖPINGS LÄN</t>
        </is>
      </c>
      <c r="E3369" t="inlineStr">
        <is>
          <t>GISLAVED</t>
        </is>
      </c>
      <c r="F3369" t="inlineStr">
        <is>
          <t>Sveaskog</t>
        </is>
      </c>
      <c r="G3369" t="n">
        <v>2.7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22253-2025</t>
        </is>
      </c>
      <c r="B3370" s="1" t="n">
        <v>45785.71899305555</v>
      </c>
      <c r="C3370" s="1" t="n">
        <v>45962</v>
      </c>
      <c r="D3370" t="inlineStr">
        <is>
          <t>JÖNKÖPINGS LÄN</t>
        </is>
      </c>
      <c r="E3370" t="inlineStr">
        <is>
          <t>VETLANDA</t>
        </is>
      </c>
      <c r="G3370" t="n">
        <v>1.9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8752-2022</t>
        </is>
      </c>
      <c r="B3371" s="1" t="n">
        <v>44614</v>
      </c>
      <c r="C3371" s="1" t="n">
        <v>45962</v>
      </c>
      <c r="D3371" t="inlineStr">
        <is>
          <t>JÖNKÖPINGS LÄN</t>
        </is>
      </c>
      <c r="E3371" t="inlineStr">
        <is>
          <t>JÖNKÖPING</t>
        </is>
      </c>
      <c r="G3371" t="n">
        <v>4.7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47449-2024</t>
        </is>
      </c>
      <c r="B3372" s="1" t="n">
        <v>45587</v>
      </c>
      <c r="C3372" s="1" t="n">
        <v>45962</v>
      </c>
      <c r="D3372" t="inlineStr">
        <is>
          <t>JÖNKÖPINGS LÄN</t>
        </is>
      </c>
      <c r="E3372" t="inlineStr">
        <is>
          <t>JÖNKÖPING</t>
        </is>
      </c>
      <c r="G3372" t="n">
        <v>9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21989-2025</t>
        </is>
      </c>
      <c r="B3373" s="1" t="n">
        <v>45784.65938657407</v>
      </c>
      <c r="C3373" s="1" t="n">
        <v>45962</v>
      </c>
      <c r="D3373" t="inlineStr">
        <is>
          <t>JÖNKÖPINGS LÄN</t>
        </is>
      </c>
      <c r="E3373" t="inlineStr">
        <is>
          <t>NÄSSJÖ</t>
        </is>
      </c>
      <c r="G3373" t="n">
        <v>0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50562-2023</t>
        </is>
      </c>
      <c r="B3374" s="1" t="n">
        <v>45210</v>
      </c>
      <c r="C3374" s="1" t="n">
        <v>45962</v>
      </c>
      <c r="D3374" t="inlineStr">
        <is>
          <t>JÖNKÖPINGS LÄN</t>
        </is>
      </c>
      <c r="E3374" t="inlineStr">
        <is>
          <t>NÄSSJÖ</t>
        </is>
      </c>
      <c r="G3374" t="n">
        <v>1.3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14654-2023</t>
        </is>
      </c>
      <c r="B3375" s="1" t="n">
        <v>45013</v>
      </c>
      <c r="C3375" s="1" t="n">
        <v>45962</v>
      </c>
      <c r="D3375" t="inlineStr">
        <is>
          <t>JÖNKÖPINGS LÄN</t>
        </is>
      </c>
      <c r="E3375" t="inlineStr">
        <is>
          <t>NÄSSJÖ</t>
        </is>
      </c>
      <c r="G3375" t="n">
        <v>1.2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86-2023</t>
        </is>
      </c>
      <c r="B3376" s="1" t="n">
        <v>44928.46545138889</v>
      </c>
      <c r="C3376" s="1" t="n">
        <v>45962</v>
      </c>
      <c r="D3376" t="inlineStr">
        <is>
          <t>JÖNKÖPINGS LÄN</t>
        </is>
      </c>
      <c r="E3376" t="inlineStr">
        <is>
          <t>VÄRNAMO</t>
        </is>
      </c>
      <c r="G3376" t="n">
        <v>1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37690-2023</t>
        </is>
      </c>
      <c r="B3377" s="1" t="n">
        <v>45159.56918981481</v>
      </c>
      <c r="C3377" s="1" t="n">
        <v>45962</v>
      </c>
      <c r="D3377" t="inlineStr">
        <is>
          <t>JÖNKÖPINGS LÄN</t>
        </is>
      </c>
      <c r="E3377" t="inlineStr">
        <is>
          <t>ANEBY</t>
        </is>
      </c>
      <c r="G3377" t="n">
        <v>2.8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28436-2021</t>
        </is>
      </c>
      <c r="B3378" s="1" t="n">
        <v>44356</v>
      </c>
      <c r="C3378" s="1" t="n">
        <v>45962</v>
      </c>
      <c r="D3378" t="inlineStr">
        <is>
          <t>JÖNKÖPINGS LÄN</t>
        </is>
      </c>
      <c r="E3378" t="inlineStr">
        <is>
          <t>GISLAVED</t>
        </is>
      </c>
      <c r="G3378" t="n">
        <v>1.3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1433-2025</t>
        </is>
      </c>
      <c r="B3379" s="1" t="n">
        <v>45669.61686342592</v>
      </c>
      <c r="C3379" s="1" t="n">
        <v>45962</v>
      </c>
      <c r="D3379" t="inlineStr">
        <is>
          <t>JÖNKÖPINGS LÄN</t>
        </is>
      </c>
      <c r="E3379" t="inlineStr">
        <is>
          <t>SÄVSJÖ</t>
        </is>
      </c>
      <c r="G3379" t="n">
        <v>1.1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1444-2025</t>
        </is>
      </c>
      <c r="B3380" s="1" t="n">
        <v>45669.82575231481</v>
      </c>
      <c r="C3380" s="1" t="n">
        <v>45962</v>
      </c>
      <c r="D3380" t="inlineStr">
        <is>
          <t>JÖNKÖPINGS LÄN</t>
        </is>
      </c>
      <c r="E3380" t="inlineStr">
        <is>
          <t>VETLANDA</t>
        </is>
      </c>
      <c r="G3380" t="n">
        <v>1.1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60287-2024</t>
        </is>
      </c>
      <c r="B3381" s="1" t="n">
        <v>45642.95520833333</v>
      </c>
      <c r="C3381" s="1" t="n">
        <v>45962</v>
      </c>
      <c r="D3381" t="inlineStr">
        <is>
          <t>JÖNKÖPINGS LÄN</t>
        </is>
      </c>
      <c r="E3381" t="inlineStr">
        <is>
          <t>GISLAVED</t>
        </is>
      </c>
      <c r="G3381" t="n">
        <v>1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3362-2024</t>
        </is>
      </c>
      <c r="B3382" s="1" t="n">
        <v>45317.64331018519</v>
      </c>
      <c r="C3382" s="1" t="n">
        <v>45962</v>
      </c>
      <c r="D3382" t="inlineStr">
        <is>
          <t>JÖNKÖPINGS LÄN</t>
        </is>
      </c>
      <c r="E3382" t="inlineStr">
        <is>
          <t>NÄSSJÖ</t>
        </is>
      </c>
      <c r="G3382" t="n">
        <v>0.4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58397-2024</t>
        </is>
      </c>
      <c r="B3383" s="1" t="n">
        <v>45634.489375</v>
      </c>
      <c r="C3383" s="1" t="n">
        <v>45962</v>
      </c>
      <c r="D3383" t="inlineStr">
        <is>
          <t>JÖNKÖPINGS LÄN</t>
        </is>
      </c>
      <c r="E3383" t="inlineStr">
        <is>
          <t>SÄVSJÖ</t>
        </is>
      </c>
      <c r="G3383" t="n">
        <v>0.5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58398-2024</t>
        </is>
      </c>
      <c r="B3384" s="1" t="n">
        <v>45634.49143518518</v>
      </c>
      <c r="C3384" s="1" t="n">
        <v>45962</v>
      </c>
      <c r="D3384" t="inlineStr">
        <is>
          <t>JÖNKÖPINGS LÄN</t>
        </is>
      </c>
      <c r="E3384" t="inlineStr">
        <is>
          <t>SÄVSJÖ</t>
        </is>
      </c>
      <c r="G3384" t="n">
        <v>0.8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26271-2024</t>
        </is>
      </c>
      <c r="B3385" s="1" t="n">
        <v>45468</v>
      </c>
      <c r="C3385" s="1" t="n">
        <v>45962</v>
      </c>
      <c r="D3385" t="inlineStr">
        <is>
          <t>JÖNKÖPINGS LÄN</t>
        </is>
      </c>
      <c r="E3385" t="inlineStr">
        <is>
          <t>VÄRNAMO</t>
        </is>
      </c>
      <c r="G3385" t="n">
        <v>5.7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22258-2025</t>
        </is>
      </c>
      <c r="B3386" s="1" t="n">
        <v>45785.73356481481</v>
      </c>
      <c r="C3386" s="1" t="n">
        <v>45962</v>
      </c>
      <c r="D3386" t="inlineStr">
        <is>
          <t>JÖNKÖPINGS LÄN</t>
        </is>
      </c>
      <c r="E3386" t="inlineStr">
        <is>
          <t>VETLANDA</t>
        </is>
      </c>
      <c r="G3386" t="n">
        <v>0.7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270-2023</t>
        </is>
      </c>
      <c r="B3387" s="1" t="n">
        <v>44928</v>
      </c>
      <c r="C3387" s="1" t="n">
        <v>45962</v>
      </c>
      <c r="D3387" t="inlineStr">
        <is>
          <t>JÖNKÖPINGS LÄN</t>
        </is>
      </c>
      <c r="E3387" t="inlineStr">
        <is>
          <t>GNOSJÖ</t>
        </is>
      </c>
      <c r="G3387" t="n">
        <v>1.9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22066-2025</t>
        </is>
      </c>
      <c r="B3388" s="1" t="n">
        <v>45785</v>
      </c>
      <c r="C3388" s="1" t="n">
        <v>45962</v>
      </c>
      <c r="D3388" t="inlineStr">
        <is>
          <t>JÖNKÖPINGS LÄN</t>
        </is>
      </c>
      <c r="E3388" t="inlineStr">
        <is>
          <t>SÄVSJÖ</t>
        </is>
      </c>
      <c r="G3388" t="n">
        <v>1.6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22081-2025</t>
        </is>
      </c>
      <c r="B3389" s="1" t="n">
        <v>45785</v>
      </c>
      <c r="C3389" s="1" t="n">
        <v>45962</v>
      </c>
      <c r="D3389" t="inlineStr">
        <is>
          <t>JÖNKÖPINGS LÄN</t>
        </is>
      </c>
      <c r="E3389" t="inlineStr">
        <is>
          <t>VAGGERYD</t>
        </is>
      </c>
      <c r="G3389" t="n">
        <v>1.4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22086-2025</t>
        </is>
      </c>
      <c r="B3390" s="1" t="n">
        <v>45785.44539351852</v>
      </c>
      <c r="C3390" s="1" t="n">
        <v>45962</v>
      </c>
      <c r="D3390" t="inlineStr">
        <is>
          <t>JÖNKÖPINGS LÄN</t>
        </is>
      </c>
      <c r="E3390" t="inlineStr">
        <is>
          <t>VÄRNAMO</t>
        </is>
      </c>
      <c r="G3390" t="n">
        <v>1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22087-2025</t>
        </is>
      </c>
      <c r="B3391" s="1" t="n">
        <v>45785.4494675926</v>
      </c>
      <c r="C3391" s="1" t="n">
        <v>45962</v>
      </c>
      <c r="D3391" t="inlineStr">
        <is>
          <t>JÖNKÖPINGS LÄN</t>
        </is>
      </c>
      <c r="E3391" t="inlineStr">
        <is>
          <t>VÄRNAMO</t>
        </is>
      </c>
      <c r="G3391" t="n">
        <v>4.8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51314-2024</t>
        </is>
      </c>
      <c r="B3392" s="1" t="n">
        <v>45604.32130787037</v>
      </c>
      <c r="C3392" s="1" t="n">
        <v>45962</v>
      </c>
      <c r="D3392" t="inlineStr">
        <is>
          <t>JÖNKÖPINGS LÄN</t>
        </is>
      </c>
      <c r="E3392" t="inlineStr">
        <is>
          <t>NÄSSJÖ</t>
        </is>
      </c>
      <c r="G3392" t="n">
        <v>1.7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22121-2025</t>
        </is>
      </c>
      <c r="B3393" s="1" t="n">
        <v>45785.52090277777</v>
      </c>
      <c r="C3393" s="1" t="n">
        <v>45962</v>
      </c>
      <c r="D3393" t="inlineStr">
        <is>
          <t>JÖNKÖPINGS LÄN</t>
        </is>
      </c>
      <c r="E3393" t="inlineStr">
        <is>
          <t>VETLANDA</t>
        </is>
      </c>
      <c r="G3393" t="n">
        <v>2.2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51893-2024</t>
        </is>
      </c>
      <c r="B3394" s="1" t="n">
        <v>45607.57563657407</v>
      </c>
      <c r="C3394" s="1" t="n">
        <v>45962</v>
      </c>
      <c r="D3394" t="inlineStr">
        <is>
          <t>JÖNKÖPINGS LÄN</t>
        </is>
      </c>
      <c r="E3394" t="inlineStr">
        <is>
          <t>VÄRNAMO</t>
        </is>
      </c>
      <c r="G3394" t="n">
        <v>2.6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16873-2025</t>
        </is>
      </c>
      <c r="B3395" s="1" t="n">
        <v>45754.9482175926</v>
      </c>
      <c r="C3395" s="1" t="n">
        <v>45962</v>
      </c>
      <c r="D3395" t="inlineStr">
        <is>
          <t>JÖNKÖPINGS LÄN</t>
        </is>
      </c>
      <c r="E3395" t="inlineStr">
        <is>
          <t>VAGGERYD</t>
        </is>
      </c>
      <c r="F3395" t="inlineStr">
        <is>
          <t>Sveaskog</t>
        </is>
      </c>
      <c r="G3395" t="n">
        <v>4.2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21994-2025</t>
        </is>
      </c>
      <c r="B3396" s="1" t="n">
        <v>45784.66596064815</v>
      </c>
      <c r="C3396" s="1" t="n">
        <v>45962</v>
      </c>
      <c r="D3396" t="inlineStr">
        <is>
          <t>JÖNKÖPINGS LÄN</t>
        </is>
      </c>
      <c r="E3396" t="inlineStr">
        <is>
          <t>GISLAVED</t>
        </is>
      </c>
      <c r="G3396" t="n">
        <v>0.8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21996-2025</t>
        </is>
      </c>
      <c r="B3397" s="1" t="n">
        <v>45784.67052083334</v>
      </c>
      <c r="C3397" s="1" t="n">
        <v>45962</v>
      </c>
      <c r="D3397" t="inlineStr">
        <is>
          <t>JÖNKÖPINGS LÄN</t>
        </is>
      </c>
      <c r="E3397" t="inlineStr">
        <is>
          <t>NÄSSJÖ</t>
        </is>
      </c>
      <c r="G3397" t="n">
        <v>0.8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19090-2024</t>
        </is>
      </c>
      <c r="B3398" s="1" t="n">
        <v>45428.22497685185</v>
      </c>
      <c r="C3398" s="1" t="n">
        <v>45962</v>
      </c>
      <c r="D3398" t="inlineStr">
        <is>
          <t>JÖNKÖPINGS LÄN</t>
        </is>
      </c>
      <c r="E3398" t="inlineStr">
        <is>
          <t>VÄRNAMO</t>
        </is>
      </c>
      <c r="G3398" t="n">
        <v>2.9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22221-2025</t>
        </is>
      </c>
      <c r="B3399" s="1" t="n">
        <v>45785.65899305556</v>
      </c>
      <c r="C3399" s="1" t="n">
        <v>45962</v>
      </c>
      <c r="D3399" t="inlineStr">
        <is>
          <t>JÖNKÖPINGS LÄN</t>
        </is>
      </c>
      <c r="E3399" t="inlineStr">
        <is>
          <t>JÖNKÖPING</t>
        </is>
      </c>
      <c r="G3399" t="n">
        <v>4.5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36564-2023</t>
        </is>
      </c>
      <c r="B3400" s="1" t="n">
        <v>45152</v>
      </c>
      <c r="C3400" s="1" t="n">
        <v>45962</v>
      </c>
      <c r="D3400" t="inlineStr">
        <is>
          <t>JÖNKÖPINGS LÄN</t>
        </is>
      </c>
      <c r="E3400" t="inlineStr">
        <is>
          <t>VAGGERYD</t>
        </is>
      </c>
      <c r="G3400" t="n">
        <v>0.2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36567-2023</t>
        </is>
      </c>
      <c r="B3401" s="1" t="n">
        <v>45152</v>
      </c>
      <c r="C3401" s="1" t="n">
        <v>45962</v>
      </c>
      <c r="D3401" t="inlineStr">
        <is>
          <t>JÖNKÖPINGS LÄN</t>
        </is>
      </c>
      <c r="E3401" t="inlineStr">
        <is>
          <t>VAGGERYD</t>
        </is>
      </c>
      <c r="G3401" t="n">
        <v>0.1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32114-2024</t>
        </is>
      </c>
      <c r="B3402" s="1" t="n">
        <v>45511</v>
      </c>
      <c r="C3402" s="1" t="n">
        <v>45962</v>
      </c>
      <c r="D3402" t="inlineStr">
        <is>
          <t>JÖNKÖPINGS LÄN</t>
        </is>
      </c>
      <c r="E3402" t="inlineStr">
        <is>
          <t>GISLAVED</t>
        </is>
      </c>
      <c r="G3402" t="n">
        <v>0.3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10127-2023</t>
        </is>
      </c>
      <c r="B3403" s="1" t="n">
        <v>44986</v>
      </c>
      <c r="C3403" s="1" t="n">
        <v>45962</v>
      </c>
      <c r="D3403" t="inlineStr">
        <is>
          <t>JÖNKÖPINGS LÄN</t>
        </is>
      </c>
      <c r="E3403" t="inlineStr">
        <is>
          <t>GISLAVED</t>
        </is>
      </c>
      <c r="G3403" t="n">
        <v>6.6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18173-2023</t>
        </is>
      </c>
      <c r="B3404" s="1" t="n">
        <v>45040</v>
      </c>
      <c r="C3404" s="1" t="n">
        <v>45962</v>
      </c>
      <c r="D3404" t="inlineStr">
        <is>
          <t>JÖNKÖPINGS LÄN</t>
        </is>
      </c>
      <c r="E3404" t="inlineStr">
        <is>
          <t>TRANÅS</t>
        </is>
      </c>
      <c r="G3404" t="n">
        <v>1.4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25613-2024</t>
        </is>
      </c>
      <c r="B3405" s="1" t="n">
        <v>45463.63712962963</v>
      </c>
      <c r="C3405" s="1" t="n">
        <v>45962</v>
      </c>
      <c r="D3405" t="inlineStr">
        <is>
          <t>JÖNKÖPINGS LÄN</t>
        </is>
      </c>
      <c r="E3405" t="inlineStr">
        <is>
          <t>EKSJÖ</t>
        </is>
      </c>
      <c r="G3405" t="n">
        <v>1.3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22158-2025</t>
        </is>
      </c>
      <c r="B3406" s="1" t="n">
        <v>45785.58204861111</v>
      </c>
      <c r="C3406" s="1" t="n">
        <v>45962</v>
      </c>
      <c r="D3406" t="inlineStr">
        <is>
          <t>JÖNKÖPINGS LÄN</t>
        </is>
      </c>
      <c r="E3406" t="inlineStr">
        <is>
          <t>EKSJÖ</t>
        </is>
      </c>
      <c r="G3406" t="n">
        <v>4.5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46133-2023</t>
        </is>
      </c>
      <c r="B3407" s="1" t="n">
        <v>45190</v>
      </c>
      <c r="C3407" s="1" t="n">
        <v>45962</v>
      </c>
      <c r="D3407" t="inlineStr">
        <is>
          <t>JÖNKÖPINGS LÄN</t>
        </is>
      </c>
      <c r="E3407" t="inlineStr">
        <is>
          <t>VETLANDA</t>
        </is>
      </c>
      <c r="G3407" t="n">
        <v>7.1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48371-2023</t>
        </is>
      </c>
      <c r="B3408" s="1" t="n">
        <v>45205</v>
      </c>
      <c r="C3408" s="1" t="n">
        <v>45962</v>
      </c>
      <c r="D3408" t="inlineStr">
        <is>
          <t>JÖNKÖPINGS LÄN</t>
        </is>
      </c>
      <c r="E3408" t="inlineStr">
        <is>
          <t>JÖNKÖPING</t>
        </is>
      </c>
      <c r="G3408" t="n">
        <v>4.9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25079-2024</t>
        </is>
      </c>
      <c r="B3409" s="1" t="n">
        <v>45462.38087962963</v>
      </c>
      <c r="C3409" s="1" t="n">
        <v>45962</v>
      </c>
      <c r="D3409" t="inlineStr">
        <is>
          <t>JÖNKÖPINGS LÄN</t>
        </is>
      </c>
      <c r="E3409" t="inlineStr">
        <is>
          <t>JÖNKÖPING</t>
        </is>
      </c>
      <c r="G3409" t="n">
        <v>1.4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65067-2023</t>
        </is>
      </c>
      <c r="B3410" s="1" t="n">
        <v>45287</v>
      </c>
      <c r="C3410" s="1" t="n">
        <v>45962</v>
      </c>
      <c r="D3410" t="inlineStr">
        <is>
          <t>JÖNKÖPINGS LÄN</t>
        </is>
      </c>
      <c r="E3410" t="inlineStr">
        <is>
          <t>HABO</t>
        </is>
      </c>
      <c r="G3410" t="n">
        <v>2.1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49392-2022</t>
        </is>
      </c>
      <c r="B3411" s="1" t="n">
        <v>44861.62300925926</v>
      </c>
      <c r="C3411" s="1" t="n">
        <v>45962</v>
      </c>
      <c r="D3411" t="inlineStr">
        <is>
          <t>JÖNKÖPINGS LÄN</t>
        </is>
      </c>
      <c r="E3411" t="inlineStr">
        <is>
          <t>JÖNKÖPING</t>
        </is>
      </c>
      <c r="G3411" t="n">
        <v>1.4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9845-2025</t>
        </is>
      </c>
      <c r="B3412" s="1" t="n">
        <v>45716</v>
      </c>
      <c r="C3412" s="1" t="n">
        <v>45962</v>
      </c>
      <c r="D3412" t="inlineStr">
        <is>
          <t>JÖNKÖPINGS LÄN</t>
        </is>
      </c>
      <c r="E3412" t="inlineStr">
        <is>
          <t>EKSJÖ</t>
        </is>
      </c>
      <c r="G3412" t="n">
        <v>0.7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27082-2023</t>
        </is>
      </c>
      <c r="B3413" s="1" t="n">
        <v>45096.36502314815</v>
      </c>
      <c r="C3413" s="1" t="n">
        <v>45962</v>
      </c>
      <c r="D3413" t="inlineStr">
        <is>
          <t>JÖNKÖPINGS LÄN</t>
        </is>
      </c>
      <c r="E3413" t="inlineStr">
        <is>
          <t>EKSJÖ</t>
        </is>
      </c>
      <c r="G3413" t="n">
        <v>0.5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27086-2023</t>
        </is>
      </c>
      <c r="B3414" s="1" t="n">
        <v>45096</v>
      </c>
      <c r="C3414" s="1" t="n">
        <v>45962</v>
      </c>
      <c r="D3414" t="inlineStr">
        <is>
          <t>JÖNKÖPINGS LÄN</t>
        </is>
      </c>
      <c r="E3414" t="inlineStr">
        <is>
          <t>EKSJÖ</t>
        </is>
      </c>
      <c r="G3414" t="n">
        <v>3.5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792-2021</t>
        </is>
      </c>
      <c r="B3415" s="1" t="n">
        <v>44204</v>
      </c>
      <c r="C3415" s="1" t="n">
        <v>45962</v>
      </c>
      <c r="D3415" t="inlineStr">
        <is>
          <t>JÖNKÖPINGS LÄN</t>
        </is>
      </c>
      <c r="E3415" t="inlineStr">
        <is>
          <t>VÄRNAMO</t>
        </is>
      </c>
      <c r="G3415" t="n">
        <v>0.9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848-2021</t>
        </is>
      </c>
      <c r="B3416" s="1" t="n">
        <v>44204.68939814815</v>
      </c>
      <c r="C3416" s="1" t="n">
        <v>45962</v>
      </c>
      <c r="D3416" t="inlineStr">
        <is>
          <t>JÖNKÖPINGS LÄN</t>
        </is>
      </c>
      <c r="E3416" t="inlineStr">
        <is>
          <t>TRANÅS</t>
        </is>
      </c>
      <c r="G3416" t="n">
        <v>1.9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47837-2024</t>
        </is>
      </c>
      <c r="B3417" s="1" t="n">
        <v>45588.64974537037</v>
      </c>
      <c r="C3417" s="1" t="n">
        <v>45962</v>
      </c>
      <c r="D3417" t="inlineStr">
        <is>
          <t>JÖNKÖPINGS LÄN</t>
        </is>
      </c>
      <c r="E3417" t="inlineStr">
        <is>
          <t>GISLAVED</t>
        </is>
      </c>
      <c r="G3417" t="n">
        <v>3.9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40157-2023</t>
        </is>
      </c>
      <c r="B3418" s="1" t="n">
        <v>45169.36275462963</v>
      </c>
      <c r="C3418" s="1" t="n">
        <v>45962</v>
      </c>
      <c r="D3418" t="inlineStr">
        <is>
          <t>JÖNKÖPINGS LÄN</t>
        </is>
      </c>
      <c r="E3418" t="inlineStr">
        <is>
          <t>MULLSJÖ</t>
        </is>
      </c>
      <c r="G3418" t="n">
        <v>4.5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54255-2023</t>
        </is>
      </c>
      <c r="B3419" s="1" t="n">
        <v>45232</v>
      </c>
      <c r="C3419" s="1" t="n">
        <v>45962</v>
      </c>
      <c r="D3419" t="inlineStr">
        <is>
          <t>JÖNKÖPINGS LÄN</t>
        </is>
      </c>
      <c r="E3419" t="inlineStr">
        <is>
          <t>EKSJÖ</t>
        </is>
      </c>
      <c r="G3419" t="n">
        <v>3.8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38662-2024</t>
        </is>
      </c>
      <c r="B3420" s="1" t="n">
        <v>45547.27622685185</v>
      </c>
      <c r="C3420" s="1" t="n">
        <v>45962</v>
      </c>
      <c r="D3420" t="inlineStr">
        <is>
          <t>JÖNKÖPINGS LÄN</t>
        </is>
      </c>
      <c r="E3420" t="inlineStr">
        <is>
          <t>VÄRNAMO</t>
        </is>
      </c>
      <c r="G3420" t="n">
        <v>1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23254-2023</t>
        </is>
      </c>
      <c r="B3421" s="1" t="n">
        <v>45075</v>
      </c>
      <c r="C3421" s="1" t="n">
        <v>45962</v>
      </c>
      <c r="D3421" t="inlineStr">
        <is>
          <t>JÖNKÖPINGS LÄN</t>
        </is>
      </c>
      <c r="E3421" t="inlineStr">
        <is>
          <t>GNOSJÖ</t>
        </is>
      </c>
      <c r="G3421" t="n">
        <v>1.4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21995-2025</t>
        </is>
      </c>
      <c r="B3422" s="1" t="n">
        <v>45784.66774305556</v>
      </c>
      <c r="C3422" s="1" t="n">
        <v>45962</v>
      </c>
      <c r="D3422" t="inlineStr">
        <is>
          <t>JÖNKÖPINGS LÄN</t>
        </is>
      </c>
      <c r="E3422" t="inlineStr">
        <is>
          <t>GISLAVED</t>
        </is>
      </c>
      <c r="G3422" t="n">
        <v>2.8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47190-2024</t>
        </is>
      </c>
      <c r="B3423" s="1" t="n">
        <v>45586.62837962963</v>
      </c>
      <c r="C3423" s="1" t="n">
        <v>45962</v>
      </c>
      <c r="D3423" t="inlineStr">
        <is>
          <t>JÖNKÖPINGS LÄN</t>
        </is>
      </c>
      <c r="E3423" t="inlineStr">
        <is>
          <t>JÖNKÖPING</t>
        </is>
      </c>
      <c r="G3423" t="n">
        <v>4.3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47873-2021</t>
        </is>
      </c>
      <c r="B3424" s="1" t="n">
        <v>44448.69263888889</v>
      </c>
      <c r="C3424" s="1" t="n">
        <v>45962</v>
      </c>
      <c r="D3424" t="inlineStr">
        <is>
          <t>JÖNKÖPINGS LÄN</t>
        </is>
      </c>
      <c r="E3424" t="inlineStr">
        <is>
          <t>VAGGERYD</t>
        </is>
      </c>
      <c r="G3424" t="n">
        <v>1.4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7723-2025</t>
        </is>
      </c>
      <c r="B3425" s="1" t="n">
        <v>45706.45083333334</v>
      </c>
      <c r="C3425" s="1" t="n">
        <v>45962</v>
      </c>
      <c r="D3425" t="inlineStr">
        <is>
          <t>JÖNKÖPINGS LÄN</t>
        </is>
      </c>
      <c r="E3425" t="inlineStr">
        <is>
          <t>EKSJÖ</t>
        </is>
      </c>
      <c r="G3425" t="n">
        <v>0.8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27889-2024</t>
        </is>
      </c>
      <c r="B3426" s="1" t="n">
        <v>45475.85295138889</v>
      </c>
      <c r="C3426" s="1" t="n">
        <v>45962</v>
      </c>
      <c r="D3426" t="inlineStr">
        <is>
          <t>JÖNKÖPINGS LÄN</t>
        </is>
      </c>
      <c r="E3426" t="inlineStr">
        <is>
          <t>GISLAVED</t>
        </is>
      </c>
      <c r="G3426" t="n">
        <v>3.2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4689-2022</t>
        </is>
      </c>
      <c r="B3427" s="1" t="n">
        <v>44592.48420138889</v>
      </c>
      <c r="C3427" s="1" t="n">
        <v>45962</v>
      </c>
      <c r="D3427" t="inlineStr">
        <is>
          <t>JÖNKÖPINGS LÄN</t>
        </is>
      </c>
      <c r="E3427" t="inlineStr">
        <is>
          <t>VETLANDA</t>
        </is>
      </c>
      <c r="G3427" t="n">
        <v>4.2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22721-2024</t>
        </is>
      </c>
      <c r="B3428" s="1" t="n">
        <v>45448.36395833334</v>
      </c>
      <c r="C3428" s="1" t="n">
        <v>45962</v>
      </c>
      <c r="D3428" t="inlineStr">
        <is>
          <t>JÖNKÖPINGS LÄN</t>
        </is>
      </c>
      <c r="E3428" t="inlineStr">
        <is>
          <t>VETLANDA</t>
        </is>
      </c>
      <c r="G3428" t="n">
        <v>1.4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39361-2023</t>
        </is>
      </c>
      <c r="B3429" s="1" t="n">
        <v>45166</v>
      </c>
      <c r="C3429" s="1" t="n">
        <v>45962</v>
      </c>
      <c r="D3429" t="inlineStr">
        <is>
          <t>JÖNKÖPINGS LÄN</t>
        </is>
      </c>
      <c r="E3429" t="inlineStr">
        <is>
          <t>EKSJÖ</t>
        </is>
      </c>
      <c r="G3429" t="n">
        <v>2.1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67848-2020</t>
        </is>
      </c>
      <c r="B3430" s="1" t="n">
        <v>44182</v>
      </c>
      <c r="C3430" s="1" t="n">
        <v>45962</v>
      </c>
      <c r="D3430" t="inlineStr">
        <is>
          <t>JÖNKÖPINGS LÄN</t>
        </is>
      </c>
      <c r="E3430" t="inlineStr">
        <is>
          <t>ANEBY</t>
        </is>
      </c>
      <c r="G3430" t="n">
        <v>0.8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2849-2024</t>
        </is>
      </c>
      <c r="B3431" s="1" t="n">
        <v>45315</v>
      </c>
      <c r="C3431" s="1" t="n">
        <v>45962</v>
      </c>
      <c r="D3431" t="inlineStr">
        <is>
          <t>JÖNKÖPINGS LÄN</t>
        </is>
      </c>
      <c r="E3431" t="inlineStr">
        <is>
          <t>VETLANDA</t>
        </is>
      </c>
      <c r="G3431" t="n">
        <v>2.5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55373-2024</t>
        </is>
      </c>
      <c r="B3432" s="1" t="n">
        <v>45621.9333449074</v>
      </c>
      <c r="C3432" s="1" t="n">
        <v>45962</v>
      </c>
      <c r="D3432" t="inlineStr">
        <is>
          <t>JÖNKÖPINGS LÄN</t>
        </is>
      </c>
      <c r="E3432" t="inlineStr">
        <is>
          <t>HABO</t>
        </is>
      </c>
      <c r="G3432" t="n">
        <v>1.7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22733-2024</t>
        </is>
      </c>
      <c r="B3433" s="1" t="n">
        <v>45448.38703703704</v>
      </c>
      <c r="C3433" s="1" t="n">
        <v>45962</v>
      </c>
      <c r="D3433" t="inlineStr">
        <is>
          <t>JÖNKÖPINGS LÄN</t>
        </is>
      </c>
      <c r="E3433" t="inlineStr">
        <is>
          <t>SÄVSJÖ</t>
        </is>
      </c>
      <c r="G3433" t="n">
        <v>2.2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25198-2024</t>
        </is>
      </c>
      <c r="B3434" s="1" t="n">
        <v>45462.56997685185</v>
      </c>
      <c r="C3434" s="1" t="n">
        <v>45962</v>
      </c>
      <c r="D3434" t="inlineStr">
        <is>
          <t>JÖNKÖPINGS LÄN</t>
        </is>
      </c>
      <c r="E3434" t="inlineStr">
        <is>
          <t>VETLANDA</t>
        </is>
      </c>
      <c r="G3434" t="n">
        <v>0.8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20967-2024</t>
        </is>
      </c>
      <c r="B3435" s="1" t="n">
        <v>45439.58064814815</v>
      </c>
      <c r="C3435" s="1" t="n">
        <v>45962</v>
      </c>
      <c r="D3435" t="inlineStr">
        <is>
          <t>JÖNKÖPINGS LÄN</t>
        </is>
      </c>
      <c r="E3435" t="inlineStr">
        <is>
          <t>VETLANDA</t>
        </is>
      </c>
      <c r="G3435" t="n">
        <v>1.6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17845-2024</t>
        </is>
      </c>
      <c r="B3436" s="1" t="n">
        <v>45419.38777777777</v>
      </c>
      <c r="C3436" s="1" t="n">
        <v>45962</v>
      </c>
      <c r="D3436" t="inlineStr">
        <is>
          <t>JÖNKÖPINGS LÄN</t>
        </is>
      </c>
      <c r="E3436" t="inlineStr">
        <is>
          <t>HABO</t>
        </is>
      </c>
      <c r="G3436" t="n">
        <v>0.7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49662-2023</t>
        </is>
      </c>
      <c r="B3437" s="1" t="n">
        <v>45211.99126157408</v>
      </c>
      <c r="C3437" s="1" t="n">
        <v>45962</v>
      </c>
      <c r="D3437" t="inlineStr">
        <is>
          <t>JÖNKÖPINGS LÄN</t>
        </is>
      </c>
      <c r="E3437" t="inlineStr">
        <is>
          <t>NÄSSJÖ</t>
        </is>
      </c>
      <c r="G3437" t="n">
        <v>0.5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49674-2023</t>
        </is>
      </c>
      <c r="B3438" s="1" t="n">
        <v>45212.33314814815</v>
      </c>
      <c r="C3438" s="1" t="n">
        <v>45962</v>
      </c>
      <c r="D3438" t="inlineStr">
        <is>
          <t>JÖNKÖPINGS LÄN</t>
        </is>
      </c>
      <c r="E3438" t="inlineStr">
        <is>
          <t>VAGGERYD</t>
        </is>
      </c>
      <c r="G3438" t="n">
        <v>0.5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42467-2023</t>
        </is>
      </c>
      <c r="B3439" s="1" t="n">
        <v>45175</v>
      </c>
      <c r="C3439" s="1" t="n">
        <v>45962</v>
      </c>
      <c r="D3439" t="inlineStr">
        <is>
          <t>JÖNKÖPINGS LÄN</t>
        </is>
      </c>
      <c r="E3439" t="inlineStr">
        <is>
          <t>EKSJÖ</t>
        </is>
      </c>
      <c r="G3439" t="n">
        <v>1.4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59804-2024</t>
        </is>
      </c>
      <c r="B3440" s="1" t="n">
        <v>45639.60168981482</v>
      </c>
      <c r="C3440" s="1" t="n">
        <v>45962</v>
      </c>
      <c r="D3440" t="inlineStr">
        <is>
          <t>JÖNKÖPINGS LÄN</t>
        </is>
      </c>
      <c r="E3440" t="inlineStr">
        <is>
          <t>GISLAVED</t>
        </is>
      </c>
      <c r="G3440" t="n">
        <v>11.1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39165-2023</t>
        </is>
      </c>
      <c r="B3441" s="1" t="n">
        <v>45166.36192129629</v>
      </c>
      <c r="C3441" s="1" t="n">
        <v>45962</v>
      </c>
      <c r="D3441" t="inlineStr">
        <is>
          <t>JÖNKÖPINGS LÄN</t>
        </is>
      </c>
      <c r="E3441" t="inlineStr">
        <is>
          <t>VETLANDA</t>
        </is>
      </c>
      <c r="G3441" t="n">
        <v>0.8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35113-2024</t>
        </is>
      </c>
      <c r="B3442" s="1" t="n">
        <v>45529.83986111111</v>
      </c>
      <c r="C3442" s="1" t="n">
        <v>45962</v>
      </c>
      <c r="D3442" t="inlineStr">
        <is>
          <t>JÖNKÖPINGS LÄN</t>
        </is>
      </c>
      <c r="E3442" t="inlineStr">
        <is>
          <t>MULLSJÖ</t>
        </is>
      </c>
      <c r="G3442" t="n">
        <v>1.8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22954-2024</t>
        </is>
      </c>
      <c r="B3443" s="1" t="n">
        <v>45449.4112962963</v>
      </c>
      <c r="C3443" s="1" t="n">
        <v>45962</v>
      </c>
      <c r="D3443" t="inlineStr">
        <is>
          <t>JÖNKÖPINGS LÄN</t>
        </is>
      </c>
      <c r="E3443" t="inlineStr">
        <is>
          <t>VETLANDA</t>
        </is>
      </c>
      <c r="G3443" t="n">
        <v>2.2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48479-2022</t>
        </is>
      </c>
      <c r="B3444" s="1" t="n">
        <v>44858.70806712963</v>
      </c>
      <c r="C3444" s="1" t="n">
        <v>45962</v>
      </c>
      <c r="D3444" t="inlineStr">
        <is>
          <t>JÖNKÖPINGS LÄN</t>
        </is>
      </c>
      <c r="E3444" t="inlineStr">
        <is>
          <t>NÄSSJÖ</t>
        </is>
      </c>
      <c r="F3444" t="inlineStr">
        <is>
          <t>Kommuner</t>
        </is>
      </c>
      <c r="G3444" t="n">
        <v>3.4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41143-2021</t>
        </is>
      </c>
      <c r="B3445" s="1" t="n">
        <v>44423.87825231482</v>
      </c>
      <c r="C3445" s="1" t="n">
        <v>45962</v>
      </c>
      <c r="D3445" t="inlineStr">
        <is>
          <t>JÖNKÖPINGS LÄN</t>
        </is>
      </c>
      <c r="E3445" t="inlineStr">
        <is>
          <t>JÖNKÖPING</t>
        </is>
      </c>
      <c r="G3445" t="n">
        <v>0.8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55294-2022</t>
        </is>
      </c>
      <c r="B3446" s="1" t="n">
        <v>44882</v>
      </c>
      <c r="C3446" s="1" t="n">
        <v>45962</v>
      </c>
      <c r="D3446" t="inlineStr">
        <is>
          <t>JÖNKÖPINGS LÄN</t>
        </is>
      </c>
      <c r="E3446" t="inlineStr">
        <is>
          <t>JÖNKÖPING</t>
        </is>
      </c>
      <c r="G3446" t="n">
        <v>2.1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53072-2021</t>
        </is>
      </c>
      <c r="B3447" s="1" t="n">
        <v>44467</v>
      </c>
      <c r="C3447" s="1" t="n">
        <v>45962</v>
      </c>
      <c r="D3447" t="inlineStr">
        <is>
          <t>JÖNKÖPINGS LÄN</t>
        </is>
      </c>
      <c r="E3447" t="inlineStr">
        <is>
          <t>VAGGERYD</t>
        </is>
      </c>
      <c r="G3447" t="n">
        <v>7.7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60042-2022</t>
        </is>
      </c>
      <c r="B3448" s="1" t="n">
        <v>44909.51429398148</v>
      </c>
      <c r="C3448" s="1" t="n">
        <v>45962</v>
      </c>
      <c r="D3448" t="inlineStr">
        <is>
          <t>JÖNKÖPINGS LÄN</t>
        </is>
      </c>
      <c r="E3448" t="inlineStr">
        <is>
          <t>GISLAVED</t>
        </is>
      </c>
      <c r="F3448" t="inlineStr">
        <is>
          <t>Kommuner</t>
        </is>
      </c>
      <c r="G3448" t="n">
        <v>3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68943-2020</t>
        </is>
      </c>
      <c r="B3449" s="1" t="n">
        <v>44187</v>
      </c>
      <c r="C3449" s="1" t="n">
        <v>45962</v>
      </c>
      <c r="D3449" t="inlineStr">
        <is>
          <t>JÖNKÖPINGS LÄN</t>
        </is>
      </c>
      <c r="E3449" t="inlineStr">
        <is>
          <t>TRANÅS</t>
        </is>
      </c>
      <c r="G3449" t="n">
        <v>2.3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16997-2025</t>
        </is>
      </c>
      <c r="B3450" s="1" t="n">
        <v>45755.52471064815</v>
      </c>
      <c r="C3450" s="1" t="n">
        <v>45962</v>
      </c>
      <c r="D3450" t="inlineStr">
        <is>
          <t>JÖNKÖPINGS LÄN</t>
        </is>
      </c>
      <c r="E3450" t="inlineStr">
        <is>
          <t>VAGGERYD</t>
        </is>
      </c>
      <c r="F3450" t="inlineStr">
        <is>
          <t>Sveaskog</t>
        </is>
      </c>
      <c r="G3450" t="n">
        <v>3.8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17000-2025</t>
        </is>
      </c>
      <c r="B3451" s="1" t="n">
        <v>45755.52888888889</v>
      </c>
      <c r="C3451" s="1" t="n">
        <v>45962</v>
      </c>
      <c r="D3451" t="inlineStr">
        <is>
          <t>JÖNKÖPINGS LÄN</t>
        </is>
      </c>
      <c r="E3451" t="inlineStr">
        <is>
          <t>VAGGERYD</t>
        </is>
      </c>
      <c r="F3451" t="inlineStr">
        <is>
          <t>Sveaskog</t>
        </is>
      </c>
      <c r="G3451" t="n">
        <v>1.1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22465-2025</t>
        </is>
      </c>
      <c r="B3452" s="1" t="n">
        <v>45786.61424768518</v>
      </c>
      <c r="C3452" s="1" t="n">
        <v>45962</v>
      </c>
      <c r="D3452" t="inlineStr">
        <is>
          <t>JÖNKÖPINGS LÄN</t>
        </is>
      </c>
      <c r="E3452" t="inlineStr">
        <is>
          <t>VETLANDA</t>
        </is>
      </c>
      <c r="G3452" t="n">
        <v>1.2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28188-2021</t>
        </is>
      </c>
      <c r="B3453" s="1" t="n">
        <v>44355</v>
      </c>
      <c r="C3453" s="1" t="n">
        <v>45962</v>
      </c>
      <c r="D3453" t="inlineStr">
        <is>
          <t>JÖNKÖPINGS LÄN</t>
        </is>
      </c>
      <c r="E3453" t="inlineStr">
        <is>
          <t>TRANÅS</t>
        </is>
      </c>
      <c r="G3453" t="n">
        <v>1.5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22430-2025</t>
        </is>
      </c>
      <c r="B3454" s="1" t="n">
        <v>45786.57684027778</v>
      </c>
      <c r="C3454" s="1" t="n">
        <v>45962</v>
      </c>
      <c r="D3454" t="inlineStr">
        <is>
          <t>JÖNKÖPINGS LÄN</t>
        </is>
      </c>
      <c r="E3454" t="inlineStr">
        <is>
          <t>TRANÅS</t>
        </is>
      </c>
      <c r="G3454" t="n">
        <v>1.5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64718-2023</t>
        </is>
      </c>
      <c r="B3455" s="1" t="n">
        <v>45281</v>
      </c>
      <c r="C3455" s="1" t="n">
        <v>45962</v>
      </c>
      <c r="D3455" t="inlineStr">
        <is>
          <t>JÖNKÖPINGS LÄN</t>
        </is>
      </c>
      <c r="E3455" t="inlineStr">
        <is>
          <t>GNOSJÖ</t>
        </is>
      </c>
      <c r="G3455" t="n">
        <v>4.4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57698-2022</t>
        </is>
      </c>
      <c r="B3456" s="1" t="n">
        <v>44883</v>
      </c>
      <c r="C3456" s="1" t="n">
        <v>45962</v>
      </c>
      <c r="D3456" t="inlineStr">
        <is>
          <t>JÖNKÖPINGS LÄN</t>
        </is>
      </c>
      <c r="E3456" t="inlineStr">
        <is>
          <t>GISLAVED</t>
        </is>
      </c>
      <c r="G3456" t="n">
        <v>5.4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52260-2021</t>
        </is>
      </c>
      <c r="B3457" s="1" t="n">
        <v>44463.63087962963</v>
      </c>
      <c r="C3457" s="1" t="n">
        <v>45962</v>
      </c>
      <c r="D3457" t="inlineStr">
        <is>
          <t>JÖNKÖPINGS LÄN</t>
        </is>
      </c>
      <c r="E3457" t="inlineStr">
        <is>
          <t>VETLANDA</t>
        </is>
      </c>
      <c r="G3457" t="n">
        <v>1.6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49590-2021</t>
        </is>
      </c>
      <c r="B3458" s="1" t="n">
        <v>44455.39747685185</v>
      </c>
      <c r="C3458" s="1" t="n">
        <v>45962</v>
      </c>
      <c r="D3458" t="inlineStr">
        <is>
          <t>JÖNKÖPINGS LÄN</t>
        </is>
      </c>
      <c r="E3458" t="inlineStr">
        <is>
          <t>GISLAVED</t>
        </is>
      </c>
      <c r="G3458" t="n">
        <v>0.6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4683-2021</t>
        </is>
      </c>
      <c r="B3459" s="1" t="n">
        <v>44225</v>
      </c>
      <c r="C3459" s="1" t="n">
        <v>45962</v>
      </c>
      <c r="D3459" t="inlineStr">
        <is>
          <t>JÖNKÖPINGS LÄN</t>
        </is>
      </c>
      <c r="E3459" t="inlineStr">
        <is>
          <t>JÖNKÖPING</t>
        </is>
      </c>
      <c r="G3459" t="n">
        <v>0.7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4308-2024</t>
        </is>
      </c>
      <c r="B3460" s="1" t="n">
        <v>45324.64302083333</v>
      </c>
      <c r="C3460" s="1" t="n">
        <v>45962</v>
      </c>
      <c r="D3460" t="inlineStr">
        <is>
          <t>JÖNKÖPINGS LÄN</t>
        </is>
      </c>
      <c r="E3460" t="inlineStr">
        <is>
          <t>JÖNKÖPING</t>
        </is>
      </c>
      <c r="F3460" t="inlineStr">
        <is>
          <t>Kyrkan</t>
        </is>
      </c>
      <c r="G3460" t="n">
        <v>2.6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22691-2025</t>
        </is>
      </c>
      <c r="B3461" s="1" t="n">
        <v>45789.53395833333</v>
      </c>
      <c r="C3461" s="1" t="n">
        <v>45962</v>
      </c>
      <c r="D3461" t="inlineStr">
        <is>
          <t>JÖNKÖPINGS LÄN</t>
        </is>
      </c>
      <c r="E3461" t="inlineStr">
        <is>
          <t>HABO</t>
        </is>
      </c>
      <c r="G3461" t="n">
        <v>3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32545-2022</t>
        </is>
      </c>
      <c r="B3462" s="1" t="n">
        <v>44783.33467592593</v>
      </c>
      <c r="C3462" s="1" t="n">
        <v>45962</v>
      </c>
      <c r="D3462" t="inlineStr">
        <is>
          <t>JÖNKÖPINGS LÄN</t>
        </is>
      </c>
      <c r="E3462" t="inlineStr">
        <is>
          <t>HABO</t>
        </is>
      </c>
      <c r="F3462" t="inlineStr">
        <is>
          <t>Sveaskog</t>
        </is>
      </c>
      <c r="G3462" t="n">
        <v>1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4416-2024</t>
        </is>
      </c>
      <c r="B3463" s="1" t="n">
        <v>45327</v>
      </c>
      <c r="C3463" s="1" t="n">
        <v>45962</v>
      </c>
      <c r="D3463" t="inlineStr">
        <is>
          <t>JÖNKÖPINGS LÄN</t>
        </is>
      </c>
      <c r="E3463" t="inlineStr">
        <is>
          <t>VETLANDA</t>
        </is>
      </c>
      <c r="G3463" t="n">
        <v>1.8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39087-2023</t>
        </is>
      </c>
      <c r="B3464" s="1" t="n">
        <v>45164</v>
      </c>
      <c r="C3464" s="1" t="n">
        <v>45962</v>
      </c>
      <c r="D3464" t="inlineStr">
        <is>
          <t>JÖNKÖPINGS LÄN</t>
        </is>
      </c>
      <c r="E3464" t="inlineStr">
        <is>
          <t>VETLANDA</t>
        </is>
      </c>
      <c r="G3464" t="n">
        <v>2.1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19885-2023</t>
        </is>
      </c>
      <c r="B3465" s="1" t="n">
        <v>45054.36605324074</v>
      </c>
      <c r="C3465" s="1" t="n">
        <v>45962</v>
      </c>
      <c r="D3465" t="inlineStr">
        <is>
          <t>JÖNKÖPINGS LÄN</t>
        </is>
      </c>
      <c r="E3465" t="inlineStr">
        <is>
          <t>VAGGERYD</t>
        </is>
      </c>
      <c r="G3465" t="n">
        <v>0.7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19889-2023</t>
        </is>
      </c>
      <c r="B3466" s="1" t="n">
        <v>45054</v>
      </c>
      <c r="C3466" s="1" t="n">
        <v>45962</v>
      </c>
      <c r="D3466" t="inlineStr">
        <is>
          <t>JÖNKÖPINGS LÄN</t>
        </is>
      </c>
      <c r="E3466" t="inlineStr">
        <is>
          <t>VAGGERYD</t>
        </is>
      </c>
      <c r="G3466" t="n">
        <v>3.6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19898-2023</t>
        </is>
      </c>
      <c r="B3467" s="1" t="n">
        <v>45054.39552083334</v>
      </c>
      <c r="C3467" s="1" t="n">
        <v>45962</v>
      </c>
      <c r="D3467" t="inlineStr">
        <is>
          <t>JÖNKÖPINGS LÄN</t>
        </is>
      </c>
      <c r="E3467" t="inlineStr">
        <is>
          <t>GISLAVED</t>
        </is>
      </c>
      <c r="G3467" t="n">
        <v>1.1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25141-2023</t>
        </is>
      </c>
      <c r="B3468" s="1" t="n">
        <v>45086.46122685185</v>
      </c>
      <c r="C3468" s="1" t="n">
        <v>45962</v>
      </c>
      <c r="D3468" t="inlineStr">
        <is>
          <t>JÖNKÖPINGS LÄN</t>
        </is>
      </c>
      <c r="E3468" t="inlineStr">
        <is>
          <t>EKSJÖ</t>
        </is>
      </c>
      <c r="G3468" t="n">
        <v>1.1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4957-2022</t>
        </is>
      </c>
      <c r="B3469" s="1" t="n">
        <v>44593</v>
      </c>
      <c r="C3469" s="1" t="n">
        <v>45962</v>
      </c>
      <c r="D3469" t="inlineStr">
        <is>
          <t>JÖNKÖPINGS LÄN</t>
        </is>
      </c>
      <c r="E3469" t="inlineStr">
        <is>
          <t>MULLSJÖ</t>
        </is>
      </c>
      <c r="G3469" t="n">
        <v>2.3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51998-2024</t>
        </is>
      </c>
      <c r="B3470" s="1" t="n">
        <v>45607</v>
      </c>
      <c r="C3470" s="1" t="n">
        <v>45962</v>
      </c>
      <c r="D3470" t="inlineStr">
        <is>
          <t>JÖNKÖPINGS LÄN</t>
        </is>
      </c>
      <c r="E3470" t="inlineStr">
        <is>
          <t>SÄVSJÖ</t>
        </is>
      </c>
      <c r="F3470" t="inlineStr">
        <is>
          <t>Övriga Aktiebolag</t>
        </is>
      </c>
      <c r="G3470" t="n">
        <v>2.9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62577-2023</t>
        </is>
      </c>
      <c r="B3471" s="1" t="n">
        <v>45270.42966435185</v>
      </c>
      <c r="C3471" s="1" t="n">
        <v>45962</v>
      </c>
      <c r="D3471" t="inlineStr">
        <is>
          <t>JÖNKÖPINGS LÄN</t>
        </is>
      </c>
      <c r="E3471" t="inlineStr">
        <is>
          <t>JÖNKÖPING</t>
        </is>
      </c>
      <c r="G3471" t="n">
        <v>0.7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62583-2023</t>
        </is>
      </c>
      <c r="B3472" s="1" t="n">
        <v>45270</v>
      </c>
      <c r="C3472" s="1" t="n">
        <v>45962</v>
      </c>
      <c r="D3472" t="inlineStr">
        <is>
          <t>JÖNKÖPINGS LÄN</t>
        </is>
      </c>
      <c r="E3472" t="inlineStr">
        <is>
          <t>NÄSSJÖ</t>
        </is>
      </c>
      <c r="G3472" t="n">
        <v>2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61331-2024</t>
        </is>
      </c>
      <c r="B3473" s="1" t="n">
        <v>45646.35680555556</v>
      </c>
      <c r="C3473" s="1" t="n">
        <v>45962</v>
      </c>
      <c r="D3473" t="inlineStr">
        <is>
          <t>JÖNKÖPINGS LÄN</t>
        </is>
      </c>
      <c r="E3473" t="inlineStr">
        <is>
          <t>SÄVSJÖ</t>
        </is>
      </c>
      <c r="G3473" t="n">
        <v>1.9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45947-2024</t>
        </is>
      </c>
      <c r="B3474" s="1" t="n">
        <v>45580.5531712963</v>
      </c>
      <c r="C3474" s="1" t="n">
        <v>45962</v>
      </c>
      <c r="D3474" t="inlineStr">
        <is>
          <t>JÖNKÖPINGS LÄN</t>
        </is>
      </c>
      <c r="E3474" t="inlineStr">
        <is>
          <t>VETLANDA</t>
        </is>
      </c>
      <c r="G3474" t="n">
        <v>0.6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32110-2024</t>
        </is>
      </c>
      <c r="B3475" s="1" t="n">
        <v>45511</v>
      </c>
      <c r="C3475" s="1" t="n">
        <v>45962</v>
      </c>
      <c r="D3475" t="inlineStr">
        <is>
          <t>JÖNKÖPINGS LÄN</t>
        </is>
      </c>
      <c r="E3475" t="inlineStr">
        <is>
          <t>GISLAVED</t>
        </is>
      </c>
      <c r="G3475" t="n">
        <v>1.4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7817-2024</t>
        </is>
      </c>
      <c r="B3476" s="1" t="n">
        <v>45349</v>
      </c>
      <c r="C3476" s="1" t="n">
        <v>45962</v>
      </c>
      <c r="D3476" t="inlineStr">
        <is>
          <t>JÖNKÖPINGS LÄN</t>
        </is>
      </c>
      <c r="E3476" t="inlineStr">
        <is>
          <t>MULLSJÖ</t>
        </is>
      </c>
      <c r="G3476" t="n">
        <v>8.9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48612-2024</t>
        </is>
      </c>
      <c r="B3477" s="1" t="n">
        <v>45593.45177083334</v>
      </c>
      <c r="C3477" s="1" t="n">
        <v>45962</v>
      </c>
      <c r="D3477" t="inlineStr">
        <is>
          <t>JÖNKÖPINGS LÄN</t>
        </is>
      </c>
      <c r="E3477" t="inlineStr">
        <is>
          <t>VAGGERYD</t>
        </is>
      </c>
      <c r="F3477" t="inlineStr">
        <is>
          <t>Sveaskog</t>
        </is>
      </c>
      <c r="G3477" t="n">
        <v>3.8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7430-2023</t>
        </is>
      </c>
      <c r="B3478" s="1" t="n">
        <v>44971.56957175926</v>
      </c>
      <c r="C3478" s="1" t="n">
        <v>45962</v>
      </c>
      <c r="D3478" t="inlineStr">
        <is>
          <t>JÖNKÖPINGS LÄN</t>
        </is>
      </c>
      <c r="E3478" t="inlineStr">
        <is>
          <t>VÄRNAMO</t>
        </is>
      </c>
      <c r="F3478" t="inlineStr">
        <is>
          <t>Kommuner</t>
        </is>
      </c>
      <c r="G3478" t="n">
        <v>12.9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701-2024</t>
        </is>
      </c>
      <c r="B3479" s="1" t="n">
        <v>45300</v>
      </c>
      <c r="C3479" s="1" t="n">
        <v>45962</v>
      </c>
      <c r="D3479" t="inlineStr">
        <is>
          <t>JÖNKÖPINGS LÄN</t>
        </is>
      </c>
      <c r="E3479" t="inlineStr">
        <is>
          <t>ANEBY</t>
        </is>
      </c>
      <c r="G3479" t="n">
        <v>1.7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47883-2024</t>
        </is>
      </c>
      <c r="B3480" s="1" t="n">
        <v>45588</v>
      </c>
      <c r="C3480" s="1" t="n">
        <v>45962</v>
      </c>
      <c r="D3480" t="inlineStr">
        <is>
          <t>JÖNKÖPINGS LÄN</t>
        </is>
      </c>
      <c r="E3480" t="inlineStr">
        <is>
          <t>JÖNKÖPING</t>
        </is>
      </c>
      <c r="G3480" t="n">
        <v>2.7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762-2024</t>
        </is>
      </c>
      <c r="B3481" s="1" t="n">
        <v>45300.51416666667</v>
      </c>
      <c r="C3481" s="1" t="n">
        <v>45962</v>
      </c>
      <c r="D3481" t="inlineStr">
        <is>
          <t>JÖNKÖPINGS LÄN</t>
        </is>
      </c>
      <c r="E3481" t="inlineStr">
        <is>
          <t>VAGGERYD</t>
        </is>
      </c>
      <c r="G3481" t="n">
        <v>1.8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22620-2025</t>
        </is>
      </c>
      <c r="B3482" s="1" t="n">
        <v>45789.43079861111</v>
      </c>
      <c r="C3482" s="1" t="n">
        <v>45962</v>
      </c>
      <c r="D3482" t="inlineStr">
        <is>
          <t>JÖNKÖPINGS LÄN</t>
        </is>
      </c>
      <c r="E3482" t="inlineStr">
        <is>
          <t>TRANÅS</t>
        </is>
      </c>
      <c r="G3482" t="n">
        <v>0.9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22298-2025</t>
        </is>
      </c>
      <c r="B3483" s="1" t="n">
        <v>45786.35311342592</v>
      </c>
      <c r="C3483" s="1" t="n">
        <v>45962</v>
      </c>
      <c r="D3483" t="inlineStr">
        <is>
          <t>JÖNKÖPINGS LÄN</t>
        </is>
      </c>
      <c r="E3483" t="inlineStr">
        <is>
          <t>EKSJÖ</t>
        </is>
      </c>
      <c r="G3483" t="n">
        <v>0.6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5180-2024</t>
        </is>
      </c>
      <c r="B3484" s="1" t="n">
        <v>45330</v>
      </c>
      <c r="C3484" s="1" t="n">
        <v>45962</v>
      </c>
      <c r="D3484" t="inlineStr">
        <is>
          <t>JÖNKÖPINGS LÄN</t>
        </is>
      </c>
      <c r="E3484" t="inlineStr">
        <is>
          <t>VETLANDA</t>
        </is>
      </c>
      <c r="G3484" t="n">
        <v>4.2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57007-2023</t>
        </is>
      </c>
      <c r="B3485" s="1" t="n">
        <v>45244.68857638889</v>
      </c>
      <c r="C3485" s="1" t="n">
        <v>45962</v>
      </c>
      <c r="D3485" t="inlineStr">
        <is>
          <t>JÖNKÖPINGS LÄN</t>
        </is>
      </c>
      <c r="E3485" t="inlineStr">
        <is>
          <t>GISLAVED</t>
        </is>
      </c>
      <c r="G3485" t="n">
        <v>1.4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50020-2024</t>
        </is>
      </c>
      <c r="B3486" s="1" t="n">
        <v>45599.49371527778</v>
      </c>
      <c r="C3486" s="1" t="n">
        <v>45962</v>
      </c>
      <c r="D3486" t="inlineStr">
        <is>
          <t>JÖNKÖPINGS LÄN</t>
        </is>
      </c>
      <c r="E3486" t="inlineStr">
        <is>
          <t>NÄSSJÖ</t>
        </is>
      </c>
      <c r="G3486" t="n">
        <v>1.5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19047-2025</t>
        </is>
      </c>
      <c r="B3487" s="1" t="n">
        <v>45764.83226851852</v>
      </c>
      <c r="C3487" s="1" t="n">
        <v>45962</v>
      </c>
      <c r="D3487" t="inlineStr">
        <is>
          <t>JÖNKÖPINGS LÄN</t>
        </is>
      </c>
      <c r="E3487" t="inlineStr">
        <is>
          <t>SÄVSJÖ</t>
        </is>
      </c>
      <c r="G3487" t="n">
        <v>4.1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49956-2021</t>
        </is>
      </c>
      <c r="B3488" s="1" t="n">
        <v>44456.30787037037</v>
      </c>
      <c r="C3488" s="1" t="n">
        <v>45962</v>
      </c>
      <c r="D3488" t="inlineStr">
        <is>
          <t>JÖNKÖPINGS LÄN</t>
        </is>
      </c>
      <c r="E3488" t="inlineStr">
        <is>
          <t>GISLAVED</t>
        </is>
      </c>
      <c r="G3488" t="n">
        <v>2.7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25625-2024</t>
        </is>
      </c>
      <c r="B3489" s="1" t="n">
        <v>45463.64422453703</v>
      </c>
      <c r="C3489" s="1" t="n">
        <v>45962</v>
      </c>
      <c r="D3489" t="inlineStr">
        <is>
          <t>JÖNKÖPINGS LÄN</t>
        </is>
      </c>
      <c r="E3489" t="inlineStr">
        <is>
          <t>VAGGERYD</t>
        </is>
      </c>
      <c r="F3489" t="inlineStr">
        <is>
          <t>Sveaskog</t>
        </is>
      </c>
      <c r="G3489" t="n">
        <v>1.6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1991-2025</t>
        </is>
      </c>
      <c r="B3490" s="1" t="n">
        <v>45672.43244212963</v>
      </c>
      <c r="C3490" s="1" t="n">
        <v>45962</v>
      </c>
      <c r="D3490" t="inlineStr">
        <is>
          <t>JÖNKÖPINGS LÄN</t>
        </is>
      </c>
      <c r="E3490" t="inlineStr">
        <is>
          <t>SÄVSJÖ</t>
        </is>
      </c>
      <c r="F3490" t="inlineStr">
        <is>
          <t>Kommuner</t>
        </is>
      </c>
      <c r="G3490" t="n">
        <v>2.3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52104-2024</t>
        </is>
      </c>
      <c r="B3491" s="1" t="n">
        <v>45608.42292824074</v>
      </c>
      <c r="C3491" s="1" t="n">
        <v>45962</v>
      </c>
      <c r="D3491" t="inlineStr">
        <is>
          <t>JÖNKÖPINGS LÄN</t>
        </is>
      </c>
      <c r="E3491" t="inlineStr">
        <is>
          <t>VÄRNAMO</t>
        </is>
      </c>
      <c r="G3491" t="n">
        <v>0.6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22367-2025</t>
        </is>
      </c>
      <c r="B3492" s="1" t="n">
        <v>45786.47188657407</v>
      </c>
      <c r="C3492" s="1" t="n">
        <v>45962</v>
      </c>
      <c r="D3492" t="inlineStr">
        <is>
          <t>JÖNKÖPINGS LÄN</t>
        </is>
      </c>
      <c r="E3492" t="inlineStr">
        <is>
          <t>VÄRNAMO</t>
        </is>
      </c>
      <c r="G3492" t="n">
        <v>1.8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60327-2024</t>
        </is>
      </c>
      <c r="B3493" s="1" t="n">
        <v>45643.38037037037</v>
      </c>
      <c r="C3493" s="1" t="n">
        <v>45962</v>
      </c>
      <c r="D3493" t="inlineStr">
        <is>
          <t>JÖNKÖPINGS LÄN</t>
        </is>
      </c>
      <c r="E3493" t="inlineStr">
        <is>
          <t>VETLANDA</t>
        </is>
      </c>
      <c r="G3493" t="n">
        <v>7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52790-2024</t>
        </is>
      </c>
      <c r="B3494" s="1" t="n">
        <v>45610</v>
      </c>
      <c r="C3494" s="1" t="n">
        <v>45962</v>
      </c>
      <c r="D3494" t="inlineStr">
        <is>
          <t>JÖNKÖPINGS LÄN</t>
        </is>
      </c>
      <c r="E3494" t="inlineStr">
        <is>
          <t>ANEBY</t>
        </is>
      </c>
      <c r="G3494" t="n">
        <v>1.1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61368-2023</t>
        </is>
      </c>
      <c r="B3495" s="1" t="n">
        <v>45264</v>
      </c>
      <c r="C3495" s="1" t="n">
        <v>45962</v>
      </c>
      <c r="D3495" t="inlineStr">
        <is>
          <t>JÖNKÖPINGS LÄN</t>
        </is>
      </c>
      <c r="E3495" t="inlineStr">
        <is>
          <t>GISLAVED</t>
        </is>
      </c>
      <c r="G3495" t="n">
        <v>2.9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58836-2022</t>
        </is>
      </c>
      <c r="B3496" s="1" t="n">
        <v>44903.48534722222</v>
      </c>
      <c r="C3496" s="1" t="n">
        <v>45962</v>
      </c>
      <c r="D3496" t="inlineStr">
        <is>
          <t>JÖNKÖPINGS LÄN</t>
        </is>
      </c>
      <c r="E3496" t="inlineStr">
        <is>
          <t>VAGGERYD</t>
        </is>
      </c>
      <c r="G3496" t="n">
        <v>1.2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18570-2024</t>
        </is>
      </c>
      <c r="B3497" s="1" t="n">
        <v>45425.70068287037</v>
      </c>
      <c r="C3497" s="1" t="n">
        <v>45962</v>
      </c>
      <c r="D3497" t="inlineStr">
        <is>
          <t>JÖNKÖPINGS LÄN</t>
        </is>
      </c>
      <c r="E3497" t="inlineStr">
        <is>
          <t>GISLAVED</t>
        </is>
      </c>
      <c r="G3497" t="n">
        <v>0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17323-2022</t>
        </is>
      </c>
      <c r="B3498" s="1" t="n">
        <v>44678.49657407407</v>
      </c>
      <c r="C3498" s="1" t="n">
        <v>45962</v>
      </c>
      <c r="D3498" t="inlineStr">
        <is>
          <t>JÖNKÖPINGS LÄN</t>
        </is>
      </c>
      <c r="E3498" t="inlineStr">
        <is>
          <t>VÄRNAMO</t>
        </is>
      </c>
      <c r="G3498" t="n">
        <v>1.3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17380-2022</t>
        </is>
      </c>
      <c r="B3499" s="1" t="n">
        <v>44678.64928240741</v>
      </c>
      <c r="C3499" s="1" t="n">
        <v>45962</v>
      </c>
      <c r="D3499" t="inlineStr">
        <is>
          <t>JÖNKÖPINGS LÄN</t>
        </is>
      </c>
      <c r="E3499" t="inlineStr">
        <is>
          <t>ANEBY</t>
        </is>
      </c>
      <c r="G3499" t="n">
        <v>1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62267-2022</t>
        </is>
      </c>
      <c r="B3500" s="1" t="n">
        <v>44923</v>
      </c>
      <c r="C3500" s="1" t="n">
        <v>45962</v>
      </c>
      <c r="D3500" t="inlineStr">
        <is>
          <t>JÖNKÖPINGS LÄN</t>
        </is>
      </c>
      <c r="E3500" t="inlineStr">
        <is>
          <t>GISLAVED</t>
        </is>
      </c>
      <c r="G3500" t="n">
        <v>2.9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54288-2024</t>
        </is>
      </c>
      <c r="B3501" s="1" t="n">
        <v>45617.27299768518</v>
      </c>
      <c r="C3501" s="1" t="n">
        <v>45962</v>
      </c>
      <c r="D3501" t="inlineStr">
        <is>
          <t>JÖNKÖPINGS LÄN</t>
        </is>
      </c>
      <c r="E3501" t="inlineStr">
        <is>
          <t>HABO</t>
        </is>
      </c>
      <c r="G3501" t="n">
        <v>1.8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5995-2024</t>
        </is>
      </c>
      <c r="B3502" s="1" t="n">
        <v>45336.58576388889</v>
      </c>
      <c r="C3502" s="1" t="n">
        <v>45962</v>
      </c>
      <c r="D3502" t="inlineStr">
        <is>
          <t>JÖNKÖPINGS LÄN</t>
        </is>
      </c>
      <c r="E3502" t="inlineStr">
        <is>
          <t>TRANÅS</t>
        </is>
      </c>
      <c r="G3502" t="n">
        <v>1.8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3068-2025</t>
        </is>
      </c>
      <c r="B3503" s="1" t="n">
        <v>45678.63623842593</v>
      </c>
      <c r="C3503" s="1" t="n">
        <v>45962</v>
      </c>
      <c r="D3503" t="inlineStr">
        <is>
          <t>JÖNKÖPINGS LÄN</t>
        </is>
      </c>
      <c r="E3503" t="inlineStr">
        <is>
          <t>GISLAVED</t>
        </is>
      </c>
      <c r="G3503" t="n">
        <v>2.5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11185-2025</t>
        </is>
      </c>
      <c r="B3504" s="1" t="n">
        <v>45725.54928240741</v>
      </c>
      <c r="C3504" s="1" t="n">
        <v>45962</v>
      </c>
      <c r="D3504" t="inlineStr">
        <is>
          <t>JÖNKÖPINGS LÄN</t>
        </is>
      </c>
      <c r="E3504" t="inlineStr">
        <is>
          <t>SÄVSJÖ</t>
        </is>
      </c>
      <c r="G3504" t="n">
        <v>3.1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16467-2025</t>
        </is>
      </c>
      <c r="B3505" s="1" t="n">
        <v>45751.54304398148</v>
      </c>
      <c r="C3505" s="1" t="n">
        <v>45962</v>
      </c>
      <c r="D3505" t="inlineStr">
        <is>
          <t>JÖNKÖPINGS LÄN</t>
        </is>
      </c>
      <c r="E3505" t="inlineStr">
        <is>
          <t>MULLSJÖ</t>
        </is>
      </c>
      <c r="G3505" t="n">
        <v>2.1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17127-2024</t>
        </is>
      </c>
      <c r="B3506" s="1" t="n">
        <v>45412.58770833333</v>
      </c>
      <c r="C3506" s="1" t="n">
        <v>45962</v>
      </c>
      <c r="D3506" t="inlineStr">
        <is>
          <t>JÖNKÖPINGS LÄN</t>
        </is>
      </c>
      <c r="E3506" t="inlineStr">
        <is>
          <t>SÄVSJÖ</t>
        </is>
      </c>
      <c r="G3506" t="n">
        <v>1.1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10432-2022</t>
        </is>
      </c>
      <c r="B3507" s="1" t="n">
        <v>44623</v>
      </c>
      <c r="C3507" s="1" t="n">
        <v>45962</v>
      </c>
      <c r="D3507" t="inlineStr">
        <is>
          <t>JÖNKÖPINGS LÄN</t>
        </is>
      </c>
      <c r="E3507" t="inlineStr">
        <is>
          <t>HABO</t>
        </is>
      </c>
      <c r="G3507" t="n">
        <v>1.6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42212-2021</t>
        </is>
      </c>
      <c r="B3508" s="1" t="n">
        <v>44426.77716435185</v>
      </c>
      <c r="C3508" s="1" t="n">
        <v>45962</v>
      </c>
      <c r="D3508" t="inlineStr">
        <is>
          <t>JÖNKÖPINGS LÄN</t>
        </is>
      </c>
      <c r="E3508" t="inlineStr">
        <is>
          <t>SÄVSJÖ</t>
        </is>
      </c>
      <c r="G3508" t="n">
        <v>0.4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68338-2020</t>
        </is>
      </c>
      <c r="B3509" s="1" t="n">
        <v>44186.32173611111</v>
      </c>
      <c r="C3509" s="1" t="n">
        <v>45962</v>
      </c>
      <c r="D3509" t="inlineStr">
        <is>
          <t>JÖNKÖPINGS LÄN</t>
        </is>
      </c>
      <c r="E3509" t="inlineStr">
        <is>
          <t>SÄVSJÖ</t>
        </is>
      </c>
      <c r="G3509" t="n">
        <v>0.4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22574-2025</t>
        </is>
      </c>
      <c r="B3510" s="1" t="n">
        <v>45786</v>
      </c>
      <c r="C3510" s="1" t="n">
        <v>45962</v>
      </c>
      <c r="D3510" t="inlineStr">
        <is>
          <t>JÖNKÖPINGS LÄN</t>
        </is>
      </c>
      <c r="E3510" t="inlineStr">
        <is>
          <t>EKSJÖ</t>
        </is>
      </c>
      <c r="G3510" t="n">
        <v>0.5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7175-2022</t>
        </is>
      </c>
      <c r="B3511" s="1" t="n">
        <v>44605.34027777778</v>
      </c>
      <c r="C3511" s="1" t="n">
        <v>45962</v>
      </c>
      <c r="D3511" t="inlineStr">
        <is>
          <t>JÖNKÖPINGS LÄN</t>
        </is>
      </c>
      <c r="E3511" t="inlineStr">
        <is>
          <t>NÄSSJÖ</t>
        </is>
      </c>
      <c r="G3511" t="n">
        <v>1.5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39976-2024</t>
        </is>
      </c>
      <c r="B3512" s="1" t="n">
        <v>45553</v>
      </c>
      <c r="C3512" s="1" t="n">
        <v>45962</v>
      </c>
      <c r="D3512" t="inlineStr">
        <is>
          <t>JÖNKÖPINGS LÄN</t>
        </is>
      </c>
      <c r="E3512" t="inlineStr">
        <is>
          <t>TRANÅS</t>
        </is>
      </c>
      <c r="G3512" t="n">
        <v>4.4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56413-2023</t>
        </is>
      </c>
      <c r="B3513" s="1" t="n">
        <v>45243.44006944444</v>
      </c>
      <c r="C3513" s="1" t="n">
        <v>45962</v>
      </c>
      <c r="D3513" t="inlineStr">
        <is>
          <t>JÖNKÖPINGS LÄN</t>
        </is>
      </c>
      <c r="E3513" t="inlineStr">
        <is>
          <t>VÄRNAMO</t>
        </is>
      </c>
      <c r="G3513" t="n">
        <v>3.9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19123-2025</t>
        </is>
      </c>
      <c r="B3514" s="1" t="n">
        <v>45768.83069444444</v>
      </c>
      <c r="C3514" s="1" t="n">
        <v>45962</v>
      </c>
      <c r="D3514" t="inlineStr">
        <is>
          <t>JÖNKÖPINGS LÄN</t>
        </is>
      </c>
      <c r="E3514" t="inlineStr">
        <is>
          <t>SÄVSJÖ</t>
        </is>
      </c>
      <c r="G3514" t="n">
        <v>0.6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30399-2021</t>
        </is>
      </c>
      <c r="B3515" s="1" t="n">
        <v>44364.52954861111</v>
      </c>
      <c r="C3515" s="1" t="n">
        <v>45962</v>
      </c>
      <c r="D3515" t="inlineStr">
        <is>
          <t>JÖNKÖPINGS LÄN</t>
        </is>
      </c>
      <c r="E3515" t="inlineStr">
        <is>
          <t>VAGGERYD</t>
        </is>
      </c>
      <c r="G3515" t="n">
        <v>0.5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42220-2023</t>
        </is>
      </c>
      <c r="B3516" s="1" t="n">
        <v>45179.9259375</v>
      </c>
      <c r="C3516" s="1" t="n">
        <v>45962</v>
      </c>
      <c r="D3516" t="inlineStr">
        <is>
          <t>JÖNKÖPINGS LÄN</t>
        </is>
      </c>
      <c r="E3516" t="inlineStr">
        <is>
          <t>JÖNKÖPING</t>
        </is>
      </c>
      <c r="G3516" t="n">
        <v>3.1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4644-2022</t>
        </is>
      </c>
      <c r="B3517" s="1" t="n">
        <v>44592</v>
      </c>
      <c r="C3517" s="1" t="n">
        <v>45962</v>
      </c>
      <c r="D3517" t="inlineStr">
        <is>
          <t>JÖNKÖPINGS LÄN</t>
        </is>
      </c>
      <c r="E3517" t="inlineStr">
        <is>
          <t>VETLANDA</t>
        </is>
      </c>
      <c r="G3517" t="n">
        <v>0.6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43290-2023</t>
        </is>
      </c>
      <c r="B3518" s="1" t="n">
        <v>45183</v>
      </c>
      <c r="C3518" s="1" t="n">
        <v>45962</v>
      </c>
      <c r="D3518" t="inlineStr">
        <is>
          <t>JÖNKÖPINGS LÄN</t>
        </is>
      </c>
      <c r="E3518" t="inlineStr">
        <is>
          <t>JÖNKÖPING</t>
        </is>
      </c>
      <c r="G3518" t="n">
        <v>4.6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43291-2023</t>
        </is>
      </c>
      <c r="B3519" s="1" t="n">
        <v>45183</v>
      </c>
      <c r="C3519" s="1" t="n">
        <v>45962</v>
      </c>
      <c r="D3519" t="inlineStr">
        <is>
          <t>JÖNKÖPINGS LÄN</t>
        </is>
      </c>
      <c r="E3519" t="inlineStr">
        <is>
          <t>ANEBY</t>
        </is>
      </c>
      <c r="G3519" t="n">
        <v>1.5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61425-2024</t>
        </is>
      </c>
      <c r="B3520" s="1" t="n">
        <v>45646.45358796296</v>
      </c>
      <c r="C3520" s="1" t="n">
        <v>45962</v>
      </c>
      <c r="D3520" t="inlineStr">
        <is>
          <t>JÖNKÖPINGS LÄN</t>
        </is>
      </c>
      <c r="E3520" t="inlineStr">
        <is>
          <t>SÄVSJÖ</t>
        </is>
      </c>
      <c r="G3520" t="n">
        <v>2.4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56403-2024</t>
        </is>
      </c>
      <c r="B3521" s="1" t="n">
        <v>45625</v>
      </c>
      <c r="C3521" s="1" t="n">
        <v>45962</v>
      </c>
      <c r="D3521" t="inlineStr">
        <is>
          <t>JÖNKÖPINGS LÄN</t>
        </is>
      </c>
      <c r="E3521" t="inlineStr">
        <is>
          <t>VETLANDA</t>
        </is>
      </c>
      <c r="G3521" t="n">
        <v>3.5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5612-2021</t>
        </is>
      </c>
      <c r="B3522" s="1" t="n">
        <v>44230</v>
      </c>
      <c r="C3522" s="1" t="n">
        <v>45962</v>
      </c>
      <c r="D3522" t="inlineStr">
        <is>
          <t>JÖNKÖPINGS LÄN</t>
        </is>
      </c>
      <c r="E3522" t="inlineStr">
        <is>
          <t>GNOSJÖ</t>
        </is>
      </c>
      <c r="G3522" t="n">
        <v>1.4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2440-2021</t>
        </is>
      </c>
      <c r="B3523" s="1" t="n">
        <v>44214</v>
      </c>
      <c r="C3523" s="1" t="n">
        <v>45962</v>
      </c>
      <c r="D3523" t="inlineStr">
        <is>
          <t>JÖNKÖPINGS LÄN</t>
        </is>
      </c>
      <c r="E3523" t="inlineStr">
        <is>
          <t>VÄRNAMO</t>
        </is>
      </c>
      <c r="G3523" t="n">
        <v>1.7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62813-2020</t>
        </is>
      </c>
      <c r="B3524" s="1" t="n">
        <v>44161</v>
      </c>
      <c r="C3524" s="1" t="n">
        <v>45962</v>
      </c>
      <c r="D3524" t="inlineStr">
        <is>
          <t>JÖNKÖPINGS LÄN</t>
        </is>
      </c>
      <c r="E3524" t="inlineStr">
        <is>
          <t>TRANÅS</t>
        </is>
      </c>
      <c r="G3524" t="n">
        <v>4.7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73249-2021</t>
        </is>
      </c>
      <c r="B3525" s="1" t="n">
        <v>44550.71657407407</v>
      </c>
      <c r="C3525" s="1" t="n">
        <v>45962</v>
      </c>
      <c r="D3525" t="inlineStr">
        <is>
          <t>JÖNKÖPINGS LÄN</t>
        </is>
      </c>
      <c r="E3525" t="inlineStr">
        <is>
          <t>TRANÅS</t>
        </is>
      </c>
      <c r="G3525" t="n">
        <v>4.5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20143-2023</t>
        </is>
      </c>
      <c r="B3526" s="1" t="n">
        <v>45055</v>
      </c>
      <c r="C3526" s="1" t="n">
        <v>45962</v>
      </c>
      <c r="D3526" t="inlineStr">
        <is>
          <t>JÖNKÖPINGS LÄN</t>
        </is>
      </c>
      <c r="E3526" t="inlineStr">
        <is>
          <t>VETLANDA</t>
        </is>
      </c>
      <c r="G3526" t="n">
        <v>2.4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5599-2025</t>
        </is>
      </c>
      <c r="B3527" s="1" t="n">
        <v>45693.58241898148</v>
      </c>
      <c r="C3527" s="1" t="n">
        <v>45962</v>
      </c>
      <c r="D3527" t="inlineStr">
        <is>
          <t>JÖNKÖPINGS LÄN</t>
        </is>
      </c>
      <c r="E3527" t="inlineStr">
        <is>
          <t>NÄSSJÖ</t>
        </is>
      </c>
      <c r="G3527" t="n">
        <v>1.6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19356-2021</t>
        </is>
      </c>
      <c r="B3528" s="1" t="n">
        <v>44309</v>
      </c>
      <c r="C3528" s="1" t="n">
        <v>45962</v>
      </c>
      <c r="D3528" t="inlineStr">
        <is>
          <t>JÖNKÖPINGS LÄN</t>
        </is>
      </c>
      <c r="E3528" t="inlineStr">
        <is>
          <t>EKSJÖ</t>
        </is>
      </c>
      <c r="F3528" t="inlineStr">
        <is>
          <t>Sveaskog</t>
        </is>
      </c>
      <c r="G3528" t="n">
        <v>4.1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53537-2021</t>
        </is>
      </c>
      <c r="B3529" s="1" t="n">
        <v>44468</v>
      </c>
      <c r="C3529" s="1" t="n">
        <v>45962</v>
      </c>
      <c r="D3529" t="inlineStr">
        <is>
          <t>JÖNKÖPINGS LÄN</t>
        </is>
      </c>
      <c r="E3529" t="inlineStr">
        <is>
          <t>VETLANDA</t>
        </is>
      </c>
      <c r="G3529" t="n">
        <v>2.7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19348-2025</t>
        </is>
      </c>
      <c r="B3530" s="1" t="n">
        <v>45769.60498842593</v>
      </c>
      <c r="C3530" s="1" t="n">
        <v>45962</v>
      </c>
      <c r="D3530" t="inlineStr">
        <is>
          <t>JÖNKÖPINGS LÄN</t>
        </is>
      </c>
      <c r="E3530" t="inlineStr">
        <is>
          <t>JÖNKÖPING</t>
        </is>
      </c>
      <c r="G3530" t="n">
        <v>0.4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12003-2023</t>
        </is>
      </c>
      <c r="B3531" s="1" t="n">
        <v>44995</v>
      </c>
      <c r="C3531" s="1" t="n">
        <v>45962</v>
      </c>
      <c r="D3531" t="inlineStr">
        <is>
          <t>JÖNKÖPINGS LÄN</t>
        </is>
      </c>
      <c r="E3531" t="inlineStr">
        <is>
          <t>VETLANDA</t>
        </is>
      </c>
      <c r="G3531" t="n">
        <v>1.1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9730-2024</t>
        </is>
      </c>
      <c r="B3532" s="1" t="n">
        <v>45362.56993055555</v>
      </c>
      <c r="C3532" s="1" t="n">
        <v>45962</v>
      </c>
      <c r="D3532" t="inlineStr">
        <is>
          <t>JÖNKÖPINGS LÄN</t>
        </is>
      </c>
      <c r="E3532" t="inlineStr">
        <is>
          <t>VETLANDA</t>
        </is>
      </c>
      <c r="G3532" t="n">
        <v>0.6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57252-2024</t>
        </is>
      </c>
      <c r="B3533" s="1" t="n">
        <v>45629.55606481482</v>
      </c>
      <c r="C3533" s="1" t="n">
        <v>45962</v>
      </c>
      <c r="D3533" t="inlineStr">
        <is>
          <t>JÖNKÖPINGS LÄN</t>
        </is>
      </c>
      <c r="E3533" t="inlineStr">
        <is>
          <t>GISLAVED</t>
        </is>
      </c>
      <c r="G3533" t="n">
        <v>1.3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22422-2025</t>
        </is>
      </c>
      <c r="B3534" s="1" t="n">
        <v>45786.56335648148</v>
      </c>
      <c r="C3534" s="1" t="n">
        <v>45962</v>
      </c>
      <c r="D3534" t="inlineStr">
        <is>
          <t>JÖNKÖPINGS LÄN</t>
        </is>
      </c>
      <c r="E3534" t="inlineStr">
        <is>
          <t>VETLANDA</t>
        </is>
      </c>
      <c r="G3534" t="n">
        <v>0.5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57318-2024</t>
        </is>
      </c>
      <c r="B3535" s="1" t="n">
        <v>45629.61628472222</v>
      </c>
      <c r="C3535" s="1" t="n">
        <v>45962</v>
      </c>
      <c r="D3535" t="inlineStr">
        <is>
          <t>JÖNKÖPINGS LÄN</t>
        </is>
      </c>
      <c r="E3535" t="inlineStr">
        <is>
          <t>VETLANDA</t>
        </is>
      </c>
      <c r="G3535" t="n">
        <v>1.6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63176-2021</t>
        </is>
      </c>
      <c r="B3536" s="1" t="n">
        <v>44507.43497685185</v>
      </c>
      <c r="C3536" s="1" t="n">
        <v>45962</v>
      </c>
      <c r="D3536" t="inlineStr">
        <is>
          <t>JÖNKÖPINGS LÄN</t>
        </is>
      </c>
      <c r="E3536" t="inlineStr">
        <is>
          <t>JÖNKÖPING</t>
        </is>
      </c>
      <c r="G3536" t="n">
        <v>0.9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62119-2020</t>
        </is>
      </c>
      <c r="B3537" s="1" t="n">
        <v>44159</v>
      </c>
      <c r="C3537" s="1" t="n">
        <v>45962</v>
      </c>
      <c r="D3537" t="inlineStr">
        <is>
          <t>JÖNKÖPINGS LÄN</t>
        </is>
      </c>
      <c r="E3537" t="inlineStr">
        <is>
          <t>GISLAVED</t>
        </is>
      </c>
      <c r="G3537" t="n">
        <v>3.2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46275-2021</t>
        </is>
      </c>
      <c r="B3538" s="1" t="n">
        <v>44442.57108796296</v>
      </c>
      <c r="C3538" s="1" t="n">
        <v>45962</v>
      </c>
      <c r="D3538" t="inlineStr">
        <is>
          <t>JÖNKÖPINGS LÄN</t>
        </is>
      </c>
      <c r="E3538" t="inlineStr">
        <is>
          <t>VETLANDA</t>
        </is>
      </c>
      <c r="G3538" t="n">
        <v>8.800000000000001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43999-2024</t>
        </is>
      </c>
      <c r="B3539" s="1" t="n">
        <v>45572.54373842593</v>
      </c>
      <c r="C3539" s="1" t="n">
        <v>45962</v>
      </c>
      <c r="D3539" t="inlineStr">
        <is>
          <t>JÖNKÖPINGS LÄN</t>
        </is>
      </c>
      <c r="E3539" t="inlineStr">
        <is>
          <t>VÄRNAMO</t>
        </is>
      </c>
      <c r="F3539" t="inlineStr">
        <is>
          <t>Sveaskog</t>
        </is>
      </c>
      <c r="G3539" t="n">
        <v>1.3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44002-2024</t>
        </is>
      </c>
      <c r="B3540" s="1" t="n">
        <v>45572.54646990741</v>
      </c>
      <c r="C3540" s="1" t="n">
        <v>45962</v>
      </c>
      <c r="D3540" t="inlineStr">
        <is>
          <t>JÖNKÖPINGS LÄN</t>
        </is>
      </c>
      <c r="E3540" t="inlineStr">
        <is>
          <t>VÄRNAMO</t>
        </is>
      </c>
      <c r="F3540" t="inlineStr">
        <is>
          <t>Sveaskog</t>
        </is>
      </c>
      <c r="G3540" t="n">
        <v>13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11700-2024</t>
        </is>
      </c>
      <c r="B3541" s="1" t="n">
        <v>45373.60802083334</v>
      </c>
      <c r="C3541" s="1" t="n">
        <v>45962</v>
      </c>
      <c r="D3541" t="inlineStr">
        <is>
          <t>JÖNKÖPINGS LÄN</t>
        </is>
      </c>
      <c r="E3541" t="inlineStr">
        <is>
          <t>JÖNKÖPING</t>
        </is>
      </c>
      <c r="G3541" t="n">
        <v>4.3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50730-2024</t>
        </is>
      </c>
      <c r="B3542" s="1" t="n">
        <v>45602.38793981481</v>
      </c>
      <c r="C3542" s="1" t="n">
        <v>45962</v>
      </c>
      <c r="D3542" t="inlineStr">
        <is>
          <t>JÖNKÖPINGS LÄN</t>
        </is>
      </c>
      <c r="E3542" t="inlineStr">
        <is>
          <t>NÄSSJÖ</t>
        </is>
      </c>
      <c r="G3542" t="n">
        <v>1.6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15162-2024</t>
        </is>
      </c>
      <c r="B3543" s="1" t="n">
        <v>45400.32546296297</v>
      </c>
      <c r="C3543" s="1" t="n">
        <v>45962</v>
      </c>
      <c r="D3543" t="inlineStr">
        <is>
          <t>JÖNKÖPINGS LÄN</t>
        </is>
      </c>
      <c r="E3543" t="inlineStr">
        <is>
          <t>GISLAVED</t>
        </is>
      </c>
      <c r="G3543" t="n">
        <v>1.3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40779-2024</t>
        </is>
      </c>
      <c r="B3544" s="1" t="n">
        <v>45558</v>
      </c>
      <c r="C3544" s="1" t="n">
        <v>45962</v>
      </c>
      <c r="D3544" t="inlineStr">
        <is>
          <t>JÖNKÖPINGS LÄN</t>
        </is>
      </c>
      <c r="E3544" t="inlineStr">
        <is>
          <t>VÄRNAMO</t>
        </is>
      </c>
      <c r="G3544" t="n">
        <v>0.6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17945-2024</t>
        </is>
      </c>
      <c r="B3545" s="1" t="n">
        <v>45419</v>
      </c>
      <c r="C3545" s="1" t="n">
        <v>45962</v>
      </c>
      <c r="D3545" t="inlineStr">
        <is>
          <t>JÖNKÖPINGS LÄN</t>
        </is>
      </c>
      <c r="E3545" t="inlineStr">
        <is>
          <t>EKSJÖ</t>
        </is>
      </c>
      <c r="F3545" t="inlineStr">
        <is>
          <t>Kyrkan</t>
        </is>
      </c>
      <c r="G3545" t="n">
        <v>6.7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17963-2024</t>
        </is>
      </c>
      <c r="B3546" s="1" t="n">
        <v>45419</v>
      </c>
      <c r="C3546" s="1" t="n">
        <v>45962</v>
      </c>
      <c r="D3546" t="inlineStr">
        <is>
          <t>JÖNKÖPINGS LÄN</t>
        </is>
      </c>
      <c r="E3546" t="inlineStr">
        <is>
          <t>TRANÅS</t>
        </is>
      </c>
      <c r="G3546" t="n">
        <v>2.6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5277-2025</t>
        </is>
      </c>
      <c r="B3547" s="1" t="n">
        <v>45692.42841435185</v>
      </c>
      <c r="C3547" s="1" t="n">
        <v>45962</v>
      </c>
      <c r="D3547" t="inlineStr">
        <is>
          <t>JÖNKÖPINGS LÄN</t>
        </is>
      </c>
      <c r="E3547" t="inlineStr">
        <is>
          <t>VETLANDA</t>
        </is>
      </c>
      <c r="G3547" t="n">
        <v>1.2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59811-2024</t>
        </is>
      </c>
      <c r="B3548" s="1" t="n">
        <v>45639.60688657407</v>
      </c>
      <c r="C3548" s="1" t="n">
        <v>45962</v>
      </c>
      <c r="D3548" t="inlineStr">
        <is>
          <t>JÖNKÖPINGS LÄN</t>
        </is>
      </c>
      <c r="E3548" t="inlineStr">
        <is>
          <t>VAGGERYD</t>
        </is>
      </c>
      <c r="F3548" t="inlineStr">
        <is>
          <t>Sveaskog</t>
        </is>
      </c>
      <c r="G3548" t="n">
        <v>6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50561-2024</t>
        </is>
      </c>
      <c r="B3549" s="1" t="n">
        <v>45601.59809027778</v>
      </c>
      <c r="C3549" s="1" t="n">
        <v>45962</v>
      </c>
      <c r="D3549" t="inlineStr">
        <is>
          <t>JÖNKÖPINGS LÄN</t>
        </is>
      </c>
      <c r="E3549" t="inlineStr">
        <is>
          <t>VETLANDA</t>
        </is>
      </c>
      <c r="G3549" t="n">
        <v>6.9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40630-2024</t>
        </is>
      </c>
      <c r="B3550" s="1" t="n">
        <v>45557.77335648148</v>
      </c>
      <c r="C3550" s="1" t="n">
        <v>45962</v>
      </c>
      <c r="D3550" t="inlineStr">
        <is>
          <t>JÖNKÖPINGS LÄN</t>
        </is>
      </c>
      <c r="E3550" t="inlineStr">
        <is>
          <t>VETLANDA</t>
        </is>
      </c>
      <c r="G3550" t="n">
        <v>0.6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22220-2024</t>
        </is>
      </c>
      <c r="B3551" s="1" t="n">
        <v>45445</v>
      </c>
      <c r="C3551" s="1" t="n">
        <v>45962</v>
      </c>
      <c r="D3551" t="inlineStr">
        <is>
          <t>JÖNKÖPINGS LÄN</t>
        </is>
      </c>
      <c r="E3551" t="inlineStr">
        <is>
          <t>VÄRNAMO</t>
        </is>
      </c>
      <c r="G3551" t="n">
        <v>2.3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24058-2024</t>
        </is>
      </c>
      <c r="B3552" s="1" t="n">
        <v>45456.52788194444</v>
      </c>
      <c r="C3552" s="1" t="n">
        <v>45962</v>
      </c>
      <c r="D3552" t="inlineStr">
        <is>
          <t>JÖNKÖPINGS LÄN</t>
        </is>
      </c>
      <c r="E3552" t="inlineStr">
        <is>
          <t>VETLANDA</t>
        </is>
      </c>
      <c r="G3552" t="n">
        <v>1.6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18314-2024</t>
        </is>
      </c>
      <c r="B3553" s="1" t="n">
        <v>45422.50045138889</v>
      </c>
      <c r="C3553" s="1" t="n">
        <v>45962</v>
      </c>
      <c r="D3553" t="inlineStr">
        <is>
          <t>JÖNKÖPINGS LÄN</t>
        </is>
      </c>
      <c r="E3553" t="inlineStr">
        <is>
          <t>GNOSJÖ</t>
        </is>
      </c>
      <c r="G3553" t="n">
        <v>1.3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39717-2022</t>
        </is>
      </c>
      <c r="B3554" s="1" t="n">
        <v>44819.28025462963</v>
      </c>
      <c r="C3554" s="1" t="n">
        <v>45962</v>
      </c>
      <c r="D3554" t="inlineStr">
        <is>
          <t>JÖNKÖPINGS LÄN</t>
        </is>
      </c>
      <c r="E3554" t="inlineStr">
        <is>
          <t>NÄSSJÖ</t>
        </is>
      </c>
      <c r="G3554" t="n">
        <v>1.4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1359-2024</t>
        </is>
      </c>
      <c r="B3555" s="1" t="n">
        <v>45303.49871527778</v>
      </c>
      <c r="C3555" s="1" t="n">
        <v>45962</v>
      </c>
      <c r="D3555" t="inlineStr">
        <is>
          <t>JÖNKÖPINGS LÄN</t>
        </is>
      </c>
      <c r="E3555" t="inlineStr">
        <is>
          <t>NÄSSJÖ</t>
        </is>
      </c>
      <c r="G3555" t="n">
        <v>1.2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63262-2023</t>
        </is>
      </c>
      <c r="B3556" s="1" t="n">
        <v>45273</v>
      </c>
      <c r="C3556" s="1" t="n">
        <v>45962</v>
      </c>
      <c r="D3556" t="inlineStr">
        <is>
          <t>JÖNKÖPINGS LÄN</t>
        </is>
      </c>
      <c r="E3556" t="inlineStr">
        <is>
          <t>GISLAVED</t>
        </is>
      </c>
      <c r="G3556" t="n">
        <v>0.9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29707-2024</t>
        </is>
      </c>
      <c r="B3557" s="1" t="n">
        <v>45485</v>
      </c>
      <c r="C3557" s="1" t="n">
        <v>45962</v>
      </c>
      <c r="D3557" t="inlineStr">
        <is>
          <t>JÖNKÖPINGS LÄN</t>
        </is>
      </c>
      <c r="E3557" t="inlineStr">
        <is>
          <t>GNOSJÖ</t>
        </is>
      </c>
      <c r="G3557" t="n">
        <v>7.7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1474-2024</t>
        </is>
      </c>
      <c r="B3558" s="1" t="n">
        <v>45304.77090277777</v>
      </c>
      <c r="C3558" s="1" t="n">
        <v>45962</v>
      </c>
      <c r="D3558" t="inlineStr">
        <is>
          <t>JÖNKÖPINGS LÄN</t>
        </is>
      </c>
      <c r="E3558" t="inlineStr">
        <is>
          <t>ANEBY</t>
        </is>
      </c>
      <c r="G3558" t="n">
        <v>1.5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16875-2025</t>
        </is>
      </c>
      <c r="B3559" s="1" t="n">
        <v>45754.95871527777</v>
      </c>
      <c r="C3559" s="1" t="n">
        <v>45962</v>
      </c>
      <c r="D3559" t="inlineStr">
        <is>
          <t>JÖNKÖPINGS LÄN</t>
        </is>
      </c>
      <c r="E3559" t="inlineStr">
        <is>
          <t>VAGGERYD</t>
        </is>
      </c>
      <c r="F3559" t="inlineStr">
        <is>
          <t>Sveaskog</t>
        </is>
      </c>
      <c r="G3559" t="n">
        <v>6.2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41791-2021</t>
        </is>
      </c>
      <c r="B3560" s="1" t="n">
        <v>44425</v>
      </c>
      <c r="C3560" s="1" t="n">
        <v>45962</v>
      </c>
      <c r="D3560" t="inlineStr">
        <is>
          <t>JÖNKÖPINGS LÄN</t>
        </is>
      </c>
      <c r="E3560" t="inlineStr">
        <is>
          <t>EKSJÖ</t>
        </is>
      </c>
      <c r="G3560" t="n">
        <v>0.6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50410-2024</t>
        </is>
      </c>
      <c r="B3561" s="1" t="n">
        <v>45601.36858796296</v>
      </c>
      <c r="C3561" s="1" t="n">
        <v>45962</v>
      </c>
      <c r="D3561" t="inlineStr">
        <is>
          <t>JÖNKÖPINGS LÄN</t>
        </is>
      </c>
      <c r="E3561" t="inlineStr">
        <is>
          <t>EKSJÖ</t>
        </is>
      </c>
      <c r="G3561" t="n">
        <v>0.5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9874-2025</t>
        </is>
      </c>
      <c r="B3562" s="1" t="n">
        <v>45716.6490162037</v>
      </c>
      <c r="C3562" s="1" t="n">
        <v>45962</v>
      </c>
      <c r="D3562" t="inlineStr">
        <is>
          <t>JÖNKÖPINGS LÄN</t>
        </is>
      </c>
      <c r="E3562" t="inlineStr">
        <is>
          <t>VETLANDA</t>
        </is>
      </c>
      <c r="G3562" t="n">
        <v>1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16529-2025</t>
        </is>
      </c>
      <c r="B3563" s="1" t="n">
        <v>45751.64454861111</v>
      </c>
      <c r="C3563" s="1" t="n">
        <v>45962</v>
      </c>
      <c r="D3563" t="inlineStr">
        <is>
          <t>JÖNKÖPINGS LÄN</t>
        </is>
      </c>
      <c r="E3563" t="inlineStr">
        <is>
          <t>NÄSSJÖ</t>
        </is>
      </c>
      <c r="G3563" t="n">
        <v>2.3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55606-2024</t>
        </is>
      </c>
      <c r="B3564" s="1" t="n">
        <v>45622.57844907408</v>
      </c>
      <c r="C3564" s="1" t="n">
        <v>45962</v>
      </c>
      <c r="D3564" t="inlineStr">
        <is>
          <t>JÖNKÖPINGS LÄN</t>
        </is>
      </c>
      <c r="E3564" t="inlineStr">
        <is>
          <t>VÄRNAMO</t>
        </is>
      </c>
      <c r="G3564" t="n">
        <v>0.5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11630-2023</t>
        </is>
      </c>
      <c r="B3565" s="1" t="n">
        <v>44992</v>
      </c>
      <c r="C3565" s="1" t="n">
        <v>45962</v>
      </c>
      <c r="D3565" t="inlineStr">
        <is>
          <t>JÖNKÖPINGS LÄN</t>
        </is>
      </c>
      <c r="E3565" t="inlineStr">
        <is>
          <t>TRANÅS</t>
        </is>
      </c>
      <c r="G3565" t="n">
        <v>0.8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7585-2025</t>
        </is>
      </c>
      <c r="B3566" s="1" t="n">
        <v>45705.62732638889</v>
      </c>
      <c r="C3566" s="1" t="n">
        <v>45962</v>
      </c>
      <c r="D3566" t="inlineStr">
        <is>
          <t>JÖNKÖPINGS LÄN</t>
        </is>
      </c>
      <c r="E3566" t="inlineStr">
        <is>
          <t>EKSJÖ</t>
        </is>
      </c>
      <c r="G3566" t="n">
        <v>2.3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42469-2023</t>
        </is>
      </c>
      <c r="B3567" s="1" t="n">
        <v>45175</v>
      </c>
      <c r="C3567" s="1" t="n">
        <v>45962</v>
      </c>
      <c r="D3567" t="inlineStr">
        <is>
          <t>JÖNKÖPINGS LÄN</t>
        </is>
      </c>
      <c r="E3567" t="inlineStr">
        <is>
          <t>EKSJÖ</t>
        </is>
      </c>
      <c r="G3567" t="n">
        <v>1.1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23801-2024</t>
        </is>
      </c>
      <c r="B3568" s="1" t="n">
        <v>45455.4374537037</v>
      </c>
      <c r="C3568" s="1" t="n">
        <v>45962</v>
      </c>
      <c r="D3568" t="inlineStr">
        <is>
          <t>JÖNKÖPINGS LÄN</t>
        </is>
      </c>
      <c r="E3568" t="inlineStr">
        <is>
          <t>JÖNKÖPING</t>
        </is>
      </c>
      <c r="F3568" t="inlineStr">
        <is>
          <t>Sveaskog</t>
        </is>
      </c>
      <c r="G3568" t="n">
        <v>0.8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7298-2023</t>
        </is>
      </c>
      <c r="B3569" s="1" t="n">
        <v>44970</v>
      </c>
      <c r="C3569" s="1" t="n">
        <v>45962</v>
      </c>
      <c r="D3569" t="inlineStr">
        <is>
          <t>JÖNKÖPINGS LÄN</t>
        </is>
      </c>
      <c r="E3569" t="inlineStr">
        <is>
          <t>VÄRNAMO</t>
        </is>
      </c>
      <c r="G3569" t="n">
        <v>0.9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19117-2023</t>
        </is>
      </c>
      <c r="B3570" s="1" t="n">
        <v>45048</v>
      </c>
      <c r="C3570" s="1" t="n">
        <v>45962</v>
      </c>
      <c r="D3570" t="inlineStr">
        <is>
          <t>JÖNKÖPINGS LÄN</t>
        </is>
      </c>
      <c r="E3570" t="inlineStr">
        <is>
          <t>VAGGERYD</t>
        </is>
      </c>
      <c r="G3570" t="n">
        <v>5.5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12577-2025</t>
        </is>
      </c>
      <c r="B3571" s="1" t="n">
        <v>45732.45341435185</v>
      </c>
      <c r="C3571" s="1" t="n">
        <v>45962</v>
      </c>
      <c r="D3571" t="inlineStr">
        <is>
          <t>JÖNKÖPINGS LÄN</t>
        </is>
      </c>
      <c r="E3571" t="inlineStr">
        <is>
          <t>NÄSSJÖ</t>
        </is>
      </c>
      <c r="G3571" t="n">
        <v>0.8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12880-2024</t>
        </is>
      </c>
      <c r="B3572" s="1" t="n">
        <v>45385.33305555556</v>
      </c>
      <c r="C3572" s="1" t="n">
        <v>45962</v>
      </c>
      <c r="D3572" t="inlineStr">
        <is>
          <t>JÖNKÖPINGS LÄN</t>
        </is>
      </c>
      <c r="E3572" t="inlineStr">
        <is>
          <t>GISLAVED</t>
        </is>
      </c>
      <c r="G3572" t="n">
        <v>5.2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35738-2024</t>
        </is>
      </c>
      <c r="B3573" s="1" t="n">
        <v>45532.53065972222</v>
      </c>
      <c r="C3573" s="1" t="n">
        <v>45962</v>
      </c>
      <c r="D3573" t="inlineStr">
        <is>
          <t>JÖNKÖPINGS LÄN</t>
        </is>
      </c>
      <c r="E3573" t="inlineStr">
        <is>
          <t>EKSJÖ</t>
        </is>
      </c>
      <c r="G3573" t="n">
        <v>0.5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22463-2025</t>
        </is>
      </c>
      <c r="B3574" s="1" t="n">
        <v>45786.61159722223</v>
      </c>
      <c r="C3574" s="1" t="n">
        <v>45962</v>
      </c>
      <c r="D3574" t="inlineStr">
        <is>
          <t>JÖNKÖPINGS LÄN</t>
        </is>
      </c>
      <c r="E3574" t="inlineStr">
        <is>
          <t>VETLANDA</t>
        </is>
      </c>
      <c r="G3574" t="n">
        <v>0.9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858-2022</t>
        </is>
      </c>
      <c r="B3575" s="1" t="n">
        <v>44571</v>
      </c>
      <c r="C3575" s="1" t="n">
        <v>45962</v>
      </c>
      <c r="D3575" t="inlineStr">
        <is>
          <t>JÖNKÖPINGS LÄN</t>
        </is>
      </c>
      <c r="E3575" t="inlineStr">
        <is>
          <t>JÖNKÖPING</t>
        </is>
      </c>
      <c r="G3575" t="n">
        <v>2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16096-2025</t>
        </is>
      </c>
      <c r="B3576" s="1" t="n">
        <v>45749.92576388889</v>
      </c>
      <c r="C3576" s="1" t="n">
        <v>45962</v>
      </c>
      <c r="D3576" t="inlineStr">
        <is>
          <t>JÖNKÖPINGS LÄN</t>
        </is>
      </c>
      <c r="E3576" t="inlineStr">
        <is>
          <t>VAGGERYD</t>
        </is>
      </c>
      <c r="F3576" t="inlineStr">
        <is>
          <t>Sveaskog</t>
        </is>
      </c>
      <c r="G3576" t="n">
        <v>7.8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16149-2025</t>
        </is>
      </c>
      <c r="B3577" s="1" t="n">
        <v>45750.48006944444</v>
      </c>
      <c r="C3577" s="1" t="n">
        <v>45962</v>
      </c>
      <c r="D3577" t="inlineStr">
        <is>
          <t>JÖNKÖPINGS LÄN</t>
        </is>
      </c>
      <c r="E3577" t="inlineStr">
        <is>
          <t>HABO</t>
        </is>
      </c>
      <c r="G3577" t="n">
        <v>0.7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20451-2025</t>
        </is>
      </c>
      <c r="B3578" s="1" t="n">
        <v>45775.50077546296</v>
      </c>
      <c r="C3578" s="1" t="n">
        <v>45962</v>
      </c>
      <c r="D3578" t="inlineStr">
        <is>
          <t>JÖNKÖPINGS LÄN</t>
        </is>
      </c>
      <c r="E3578" t="inlineStr">
        <is>
          <t>VÄRNAMO</t>
        </is>
      </c>
      <c r="G3578" t="n">
        <v>4.2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35253-2024</t>
        </is>
      </c>
      <c r="B3579" s="1" t="n">
        <v>45530.57599537037</v>
      </c>
      <c r="C3579" s="1" t="n">
        <v>45962</v>
      </c>
      <c r="D3579" t="inlineStr">
        <is>
          <t>JÖNKÖPINGS LÄN</t>
        </is>
      </c>
      <c r="E3579" t="inlineStr">
        <is>
          <t>EKSJÖ</t>
        </is>
      </c>
      <c r="G3579" t="n">
        <v>1.4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17116-2025</t>
        </is>
      </c>
      <c r="B3580" s="1" t="n">
        <v>45755.6825462963</v>
      </c>
      <c r="C3580" s="1" t="n">
        <v>45962</v>
      </c>
      <c r="D3580" t="inlineStr">
        <is>
          <t>JÖNKÖPINGS LÄN</t>
        </is>
      </c>
      <c r="E3580" t="inlineStr">
        <is>
          <t>VAGGERYD</t>
        </is>
      </c>
      <c r="G3580" t="n">
        <v>3.1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17125-2025</t>
        </is>
      </c>
      <c r="B3581" s="1" t="n">
        <v>45755.70262731481</v>
      </c>
      <c r="C3581" s="1" t="n">
        <v>45962</v>
      </c>
      <c r="D3581" t="inlineStr">
        <is>
          <t>JÖNKÖPINGS LÄN</t>
        </is>
      </c>
      <c r="E3581" t="inlineStr">
        <is>
          <t>JÖNKÖPING</t>
        </is>
      </c>
      <c r="G3581" t="n">
        <v>2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32318-2022</t>
        </is>
      </c>
      <c r="B3582" s="1" t="n">
        <v>44781</v>
      </c>
      <c r="C3582" s="1" t="n">
        <v>45962</v>
      </c>
      <c r="D3582" t="inlineStr">
        <is>
          <t>JÖNKÖPINGS LÄN</t>
        </is>
      </c>
      <c r="E3582" t="inlineStr">
        <is>
          <t>VETLANDA</t>
        </is>
      </c>
      <c r="G3582" t="n">
        <v>2.2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1062-2021</t>
        </is>
      </c>
      <c r="B3583" s="1" t="n">
        <v>44207</v>
      </c>
      <c r="C3583" s="1" t="n">
        <v>45962</v>
      </c>
      <c r="D3583" t="inlineStr">
        <is>
          <t>JÖNKÖPINGS LÄN</t>
        </is>
      </c>
      <c r="E3583" t="inlineStr">
        <is>
          <t>GISLAVED</t>
        </is>
      </c>
      <c r="G3583" t="n">
        <v>1.8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46863-2023</t>
        </is>
      </c>
      <c r="B3584" s="1" t="n">
        <v>45200</v>
      </c>
      <c r="C3584" s="1" t="n">
        <v>45962</v>
      </c>
      <c r="D3584" t="inlineStr">
        <is>
          <t>JÖNKÖPINGS LÄN</t>
        </is>
      </c>
      <c r="E3584" t="inlineStr">
        <is>
          <t>VÄRNAMO</t>
        </is>
      </c>
      <c r="F3584" t="inlineStr">
        <is>
          <t>Övriga Aktiebolag</t>
        </is>
      </c>
      <c r="G3584" t="n">
        <v>4.3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10643-2023</t>
        </is>
      </c>
      <c r="B3585" s="1" t="n">
        <v>44988</v>
      </c>
      <c r="C3585" s="1" t="n">
        <v>45962</v>
      </c>
      <c r="D3585" t="inlineStr">
        <is>
          <t>JÖNKÖPINGS LÄN</t>
        </is>
      </c>
      <c r="E3585" t="inlineStr">
        <is>
          <t>VAGGERYD</t>
        </is>
      </c>
      <c r="G3585" t="n">
        <v>4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22696-2025</t>
        </is>
      </c>
      <c r="B3586" s="1" t="n">
        <v>45789.54226851852</v>
      </c>
      <c r="C3586" s="1" t="n">
        <v>45962</v>
      </c>
      <c r="D3586" t="inlineStr">
        <is>
          <t>JÖNKÖPINGS LÄN</t>
        </is>
      </c>
      <c r="E3586" t="inlineStr">
        <is>
          <t>JÖNKÖPING</t>
        </is>
      </c>
      <c r="G3586" t="n">
        <v>0.8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3221-2023</t>
        </is>
      </c>
      <c r="B3587" s="1" t="n">
        <v>44946</v>
      </c>
      <c r="C3587" s="1" t="n">
        <v>45962</v>
      </c>
      <c r="D3587" t="inlineStr">
        <is>
          <t>JÖNKÖPINGS LÄN</t>
        </is>
      </c>
      <c r="E3587" t="inlineStr">
        <is>
          <t>VAGGERYD</t>
        </is>
      </c>
      <c r="G3587" t="n">
        <v>0.5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37003-2024</t>
        </is>
      </c>
      <c r="B3588" s="1" t="n">
        <v>45539.34539351852</v>
      </c>
      <c r="C3588" s="1" t="n">
        <v>45962</v>
      </c>
      <c r="D3588" t="inlineStr">
        <is>
          <t>JÖNKÖPINGS LÄN</t>
        </is>
      </c>
      <c r="E3588" t="inlineStr">
        <is>
          <t>JÖNKÖPING</t>
        </is>
      </c>
      <c r="G3588" t="n">
        <v>1.2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35597-2023</t>
        </is>
      </c>
      <c r="B3589" s="1" t="n">
        <v>45147.49393518519</v>
      </c>
      <c r="C3589" s="1" t="n">
        <v>45962</v>
      </c>
      <c r="D3589" t="inlineStr">
        <is>
          <t>JÖNKÖPINGS LÄN</t>
        </is>
      </c>
      <c r="E3589" t="inlineStr">
        <is>
          <t>ANEBY</t>
        </is>
      </c>
      <c r="G3589" t="n">
        <v>2.5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35617-2023</t>
        </is>
      </c>
      <c r="B3590" s="1" t="n">
        <v>45147</v>
      </c>
      <c r="C3590" s="1" t="n">
        <v>45962</v>
      </c>
      <c r="D3590" t="inlineStr">
        <is>
          <t>JÖNKÖPINGS LÄN</t>
        </is>
      </c>
      <c r="E3590" t="inlineStr">
        <is>
          <t>EKSJÖ</t>
        </is>
      </c>
      <c r="G3590" t="n">
        <v>0.5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20990-2024</t>
        </is>
      </c>
      <c r="B3591" s="1" t="n">
        <v>45439</v>
      </c>
      <c r="C3591" s="1" t="n">
        <v>45962</v>
      </c>
      <c r="D3591" t="inlineStr">
        <is>
          <t>JÖNKÖPINGS LÄN</t>
        </is>
      </c>
      <c r="E3591" t="inlineStr">
        <is>
          <t>TRANÅS</t>
        </is>
      </c>
      <c r="G3591" t="n">
        <v>2.2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15048-2022</t>
        </is>
      </c>
      <c r="B3592" s="1" t="n">
        <v>44657.63938657408</v>
      </c>
      <c r="C3592" s="1" t="n">
        <v>45962</v>
      </c>
      <c r="D3592" t="inlineStr">
        <is>
          <t>JÖNKÖPINGS LÄN</t>
        </is>
      </c>
      <c r="E3592" t="inlineStr">
        <is>
          <t>GISLAVED</t>
        </is>
      </c>
      <c r="G3592" t="n">
        <v>0.4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14778-2023</t>
        </is>
      </c>
      <c r="B3593" s="1" t="n">
        <v>45014.57861111111</v>
      </c>
      <c r="C3593" s="1" t="n">
        <v>45962</v>
      </c>
      <c r="D3593" t="inlineStr">
        <is>
          <t>JÖNKÖPINGS LÄN</t>
        </is>
      </c>
      <c r="E3593" t="inlineStr">
        <is>
          <t>NÄSSJÖ</t>
        </is>
      </c>
      <c r="G3593" t="n">
        <v>2.5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15666-2023</t>
        </is>
      </c>
      <c r="B3594" s="1" t="n">
        <v>45021</v>
      </c>
      <c r="C3594" s="1" t="n">
        <v>45962</v>
      </c>
      <c r="D3594" t="inlineStr">
        <is>
          <t>JÖNKÖPINGS LÄN</t>
        </is>
      </c>
      <c r="E3594" t="inlineStr">
        <is>
          <t>VETLANDA</t>
        </is>
      </c>
      <c r="G3594" t="n">
        <v>3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22870-2025</t>
        </is>
      </c>
      <c r="B3595" s="1" t="n">
        <v>45790.36791666667</v>
      </c>
      <c r="C3595" s="1" t="n">
        <v>45962</v>
      </c>
      <c r="D3595" t="inlineStr">
        <is>
          <t>JÖNKÖPINGS LÄN</t>
        </is>
      </c>
      <c r="E3595" t="inlineStr">
        <is>
          <t>GISLAVED</t>
        </is>
      </c>
      <c r="G3595" t="n">
        <v>6.4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49446-2024</t>
        </is>
      </c>
      <c r="B3596" s="1" t="n">
        <v>45595.95630787037</v>
      </c>
      <c r="C3596" s="1" t="n">
        <v>45962</v>
      </c>
      <c r="D3596" t="inlineStr">
        <is>
          <t>JÖNKÖPINGS LÄN</t>
        </is>
      </c>
      <c r="E3596" t="inlineStr">
        <is>
          <t>HABO</t>
        </is>
      </c>
      <c r="G3596" t="n">
        <v>1.1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49449-2024</t>
        </is>
      </c>
      <c r="B3597" s="1" t="n">
        <v>45595.96761574074</v>
      </c>
      <c r="C3597" s="1" t="n">
        <v>45962</v>
      </c>
      <c r="D3597" t="inlineStr">
        <is>
          <t>JÖNKÖPINGS LÄN</t>
        </is>
      </c>
      <c r="E3597" t="inlineStr">
        <is>
          <t>HABO</t>
        </is>
      </c>
      <c r="G3597" t="n">
        <v>0.6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8613-2023</t>
        </is>
      </c>
      <c r="B3598" s="1" t="n">
        <v>44977</v>
      </c>
      <c r="C3598" s="1" t="n">
        <v>45962</v>
      </c>
      <c r="D3598" t="inlineStr">
        <is>
          <t>JÖNKÖPINGS LÄN</t>
        </is>
      </c>
      <c r="E3598" t="inlineStr">
        <is>
          <t>VETLANDA</t>
        </is>
      </c>
      <c r="G3598" t="n">
        <v>0.6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25861-2024</t>
        </is>
      </c>
      <c r="B3599" s="1" t="n">
        <v>45467</v>
      </c>
      <c r="C3599" s="1" t="n">
        <v>45962</v>
      </c>
      <c r="D3599" t="inlineStr">
        <is>
          <t>JÖNKÖPINGS LÄN</t>
        </is>
      </c>
      <c r="E3599" t="inlineStr">
        <is>
          <t>EKSJÖ</t>
        </is>
      </c>
      <c r="G3599" t="n">
        <v>0.7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48999-2024</t>
        </is>
      </c>
      <c r="B3600" s="1" t="n">
        <v>45594.49311342592</v>
      </c>
      <c r="C3600" s="1" t="n">
        <v>45962</v>
      </c>
      <c r="D3600" t="inlineStr">
        <is>
          <t>JÖNKÖPINGS LÄN</t>
        </is>
      </c>
      <c r="E3600" t="inlineStr">
        <is>
          <t>ANEBY</t>
        </is>
      </c>
      <c r="G3600" t="n">
        <v>1.4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13781-2021</t>
        </is>
      </c>
      <c r="B3601" s="1" t="n">
        <v>44274.85268518519</v>
      </c>
      <c r="C3601" s="1" t="n">
        <v>45962</v>
      </c>
      <c r="D3601" t="inlineStr">
        <is>
          <t>JÖNKÖPINGS LÄN</t>
        </is>
      </c>
      <c r="E3601" t="inlineStr">
        <is>
          <t>NÄSSJÖ</t>
        </is>
      </c>
      <c r="G3601" t="n">
        <v>1.7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22987-2025</t>
        </is>
      </c>
      <c r="B3602" s="1" t="n">
        <v>45790.57364583333</v>
      </c>
      <c r="C3602" s="1" t="n">
        <v>45962</v>
      </c>
      <c r="D3602" t="inlineStr">
        <is>
          <t>JÖNKÖPINGS LÄN</t>
        </is>
      </c>
      <c r="E3602" t="inlineStr">
        <is>
          <t>EKSJÖ</t>
        </is>
      </c>
      <c r="G3602" t="n">
        <v>0.3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22994-2025</t>
        </is>
      </c>
      <c r="B3603" s="1" t="n">
        <v>45790.58230324074</v>
      </c>
      <c r="C3603" s="1" t="n">
        <v>45962</v>
      </c>
      <c r="D3603" t="inlineStr">
        <is>
          <t>JÖNKÖPINGS LÄN</t>
        </is>
      </c>
      <c r="E3603" t="inlineStr">
        <is>
          <t>VÄRNAMO</t>
        </is>
      </c>
      <c r="G3603" t="n">
        <v>0.8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23062-2025</t>
        </is>
      </c>
      <c r="B3604" s="1" t="n">
        <v>45790.81799768518</v>
      </c>
      <c r="C3604" s="1" t="n">
        <v>45962</v>
      </c>
      <c r="D3604" t="inlineStr">
        <is>
          <t>JÖNKÖPINGS LÄN</t>
        </is>
      </c>
      <c r="E3604" t="inlineStr">
        <is>
          <t>JÖNKÖPING</t>
        </is>
      </c>
      <c r="G3604" t="n">
        <v>1.3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29459-2023</t>
        </is>
      </c>
      <c r="B3605" s="1" t="n">
        <v>45106</v>
      </c>
      <c r="C3605" s="1" t="n">
        <v>45962</v>
      </c>
      <c r="D3605" t="inlineStr">
        <is>
          <t>JÖNKÖPINGS LÄN</t>
        </is>
      </c>
      <c r="E3605" t="inlineStr">
        <is>
          <t>VÄRNAMO</t>
        </is>
      </c>
      <c r="G3605" t="n">
        <v>0.7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29493-2023</t>
        </is>
      </c>
      <c r="B3606" s="1" t="n">
        <v>45106.58976851852</v>
      </c>
      <c r="C3606" s="1" t="n">
        <v>45962</v>
      </c>
      <c r="D3606" t="inlineStr">
        <is>
          <t>JÖNKÖPINGS LÄN</t>
        </is>
      </c>
      <c r="E3606" t="inlineStr">
        <is>
          <t>VETLANDA</t>
        </is>
      </c>
      <c r="G3606" t="n">
        <v>0.5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4592-2022</t>
        </is>
      </c>
      <c r="B3607" s="1" t="n">
        <v>44592.28611111111</v>
      </c>
      <c r="C3607" s="1" t="n">
        <v>45962</v>
      </c>
      <c r="D3607" t="inlineStr">
        <is>
          <t>JÖNKÖPINGS LÄN</t>
        </is>
      </c>
      <c r="E3607" t="inlineStr">
        <is>
          <t>JÖNKÖPING</t>
        </is>
      </c>
      <c r="G3607" t="n">
        <v>2.2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23557-2022</t>
        </is>
      </c>
      <c r="B3608" s="1" t="n">
        <v>44721</v>
      </c>
      <c r="C3608" s="1" t="n">
        <v>45962</v>
      </c>
      <c r="D3608" t="inlineStr">
        <is>
          <t>JÖNKÖPINGS LÄN</t>
        </is>
      </c>
      <c r="E3608" t="inlineStr">
        <is>
          <t>ANEBY</t>
        </is>
      </c>
      <c r="G3608" t="n">
        <v>2.2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44647-2024</t>
        </is>
      </c>
      <c r="B3609" s="1" t="n">
        <v>45574.51628472222</v>
      </c>
      <c r="C3609" s="1" t="n">
        <v>45962</v>
      </c>
      <c r="D3609" t="inlineStr">
        <is>
          <t>JÖNKÖPINGS LÄN</t>
        </is>
      </c>
      <c r="E3609" t="inlineStr">
        <is>
          <t>VETLANDA</t>
        </is>
      </c>
      <c r="F3609" t="inlineStr">
        <is>
          <t>Sveaskog</t>
        </is>
      </c>
      <c r="G3609" t="n">
        <v>0.7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38373-2024</t>
        </is>
      </c>
      <c r="B3610" s="1" t="n">
        <v>45545.90186342593</v>
      </c>
      <c r="C3610" s="1" t="n">
        <v>45962</v>
      </c>
      <c r="D3610" t="inlineStr">
        <is>
          <t>JÖNKÖPINGS LÄN</t>
        </is>
      </c>
      <c r="E3610" t="inlineStr">
        <is>
          <t>VETLANDA</t>
        </is>
      </c>
      <c r="G3610" t="n">
        <v>1.6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14221-2023</t>
        </is>
      </c>
      <c r="B3611" s="1" t="n">
        <v>45009.62383101852</v>
      </c>
      <c r="C3611" s="1" t="n">
        <v>45962</v>
      </c>
      <c r="D3611" t="inlineStr">
        <is>
          <t>JÖNKÖPINGS LÄN</t>
        </is>
      </c>
      <c r="E3611" t="inlineStr">
        <is>
          <t>GISLAVED</t>
        </is>
      </c>
      <c r="G3611" t="n">
        <v>3.4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38918-2024</t>
        </is>
      </c>
      <c r="B3612" s="1" t="n">
        <v>45547.83950231481</v>
      </c>
      <c r="C3612" s="1" t="n">
        <v>45962</v>
      </c>
      <c r="D3612" t="inlineStr">
        <is>
          <t>JÖNKÖPINGS LÄN</t>
        </is>
      </c>
      <c r="E3612" t="inlineStr">
        <is>
          <t>JÖNKÖPING</t>
        </is>
      </c>
      <c r="F3612" t="inlineStr">
        <is>
          <t>Sveaskog</t>
        </is>
      </c>
      <c r="G3612" t="n">
        <v>0.5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11515-2024</t>
        </is>
      </c>
      <c r="B3613" s="1" t="n">
        <v>45372.77957175926</v>
      </c>
      <c r="C3613" s="1" t="n">
        <v>45962</v>
      </c>
      <c r="D3613" t="inlineStr">
        <is>
          <t>JÖNKÖPINGS LÄN</t>
        </is>
      </c>
      <c r="E3613" t="inlineStr">
        <is>
          <t>MULLSJÖ</t>
        </is>
      </c>
      <c r="F3613" t="inlineStr">
        <is>
          <t>Kyrkan</t>
        </is>
      </c>
      <c r="G3613" t="n">
        <v>7.2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27014-2023</t>
        </is>
      </c>
      <c r="B3614" s="1" t="n">
        <v>45094.85483796296</v>
      </c>
      <c r="C3614" s="1" t="n">
        <v>45962</v>
      </c>
      <c r="D3614" t="inlineStr">
        <is>
          <t>JÖNKÖPINGS LÄN</t>
        </is>
      </c>
      <c r="E3614" t="inlineStr">
        <is>
          <t>SÄVSJÖ</t>
        </is>
      </c>
      <c r="G3614" t="n">
        <v>2.2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11588-2024</t>
        </is>
      </c>
      <c r="B3615" s="1" t="n">
        <v>45373.3705787037</v>
      </c>
      <c r="C3615" s="1" t="n">
        <v>45962</v>
      </c>
      <c r="D3615" t="inlineStr">
        <is>
          <t>JÖNKÖPINGS LÄN</t>
        </is>
      </c>
      <c r="E3615" t="inlineStr">
        <is>
          <t>VAGGERYD</t>
        </is>
      </c>
      <c r="G3615" t="n">
        <v>0.9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22831-2025</t>
        </is>
      </c>
      <c r="B3616" s="1" t="n">
        <v>45789.87405092592</v>
      </c>
      <c r="C3616" s="1" t="n">
        <v>45962</v>
      </c>
      <c r="D3616" t="inlineStr">
        <is>
          <t>JÖNKÖPINGS LÄN</t>
        </is>
      </c>
      <c r="E3616" t="inlineStr">
        <is>
          <t>VAGGERYD</t>
        </is>
      </c>
      <c r="F3616" t="inlineStr">
        <is>
          <t>Sveaskog</t>
        </is>
      </c>
      <c r="G3616" t="n">
        <v>5.5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55553-2023</t>
        </is>
      </c>
      <c r="B3617" s="1" t="n">
        <v>45238.62673611111</v>
      </c>
      <c r="C3617" s="1" t="n">
        <v>45962</v>
      </c>
      <c r="D3617" t="inlineStr">
        <is>
          <t>JÖNKÖPINGS LÄN</t>
        </is>
      </c>
      <c r="E3617" t="inlineStr">
        <is>
          <t>EKSJÖ</t>
        </is>
      </c>
      <c r="G3617" t="n">
        <v>3.9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3647-2024</t>
        </is>
      </c>
      <c r="B3618" s="1" t="n">
        <v>45320</v>
      </c>
      <c r="C3618" s="1" t="n">
        <v>45962</v>
      </c>
      <c r="D3618" t="inlineStr">
        <is>
          <t>JÖNKÖPINGS LÄN</t>
        </is>
      </c>
      <c r="E3618" t="inlineStr">
        <is>
          <t>NÄSSJÖ</t>
        </is>
      </c>
      <c r="G3618" t="n">
        <v>1.4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38203-2023</t>
        </is>
      </c>
      <c r="B3619" s="1" t="n">
        <v>45161.52252314815</v>
      </c>
      <c r="C3619" s="1" t="n">
        <v>45962</v>
      </c>
      <c r="D3619" t="inlineStr">
        <is>
          <t>JÖNKÖPINGS LÄN</t>
        </is>
      </c>
      <c r="E3619" t="inlineStr">
        <is>
          <t>GISLAVED</t>
        </is>
      </c>
      <c r="G3619" t="n">
        <v>2.6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54213-2024</t>
        </is>
      </c>
      <c r="B3620" s="1" t="n">
        <v>45616</v>
      </c>
      <c r="C3620" s="1" t="n">
        <v>45962</v>
      </c>
      <c r="D3620" t="inlineStr">
        <is>
          <t>JÖNKÖPINGS LÄN</t>
        </is>
      </c>
      <c r="E3620" t="inlineStr">
        <is>
          <t>ANEBY</t>
        </is>
      </c>
      <c r="G3620" t="n">
        <v>0.2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22830-2025</t>
        </is>
      </c>
      <c r="B3621" s="1" t="n">
        <v>45789.86465277777</v>
      </c>
      <c r="C3621" s="1" t="n">
        <v>45962</v>
      </c>
      <c r="D3621" t="inlineStr">
        <is>
          <t>JÖNKÖPINGS LÄN</t>
        </is>
      </c>
      <c r="E3621" t="inlineStr">
        <is>
          <t>VAGGERYD</t>
        </is>
      </c>
      <c r="F3621" t="inlineStr">
        <is>
          <t>Sveaskog</t>
        </is>
      </c>
      <c r="G3621" t="n">
        <v>2.6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35604-2024</t>
        </is>
      </c>
      <c r="B3622" s="1" t="n">
        <v>45531</v>
      </c>
      <c r="C3622" s="1" t="n">
        <v>45962</v>
      </c>
      <c r="D3622" t="inlineStr">
        <is>
          <t>JÖNKÖPINGS LÄN</t>
        </is>
      </c>
      <c r="E3622" t="inlineStr">
        <is>
          <t>VÄRNAMO</t>
        </is>
      </c>
      <c r="G3622" t="n">
        <v>0.7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54239-2024</t>
        </is>
      </c>
      <c r="B3623" s="1" t="n">
        <v>45616.67851851852</v>
      </c>
      <c r="C3623" s="1" t="n">
        <v>45962</v>
      </c>
      <c r="D3623" t="inlineStr">
        <is>
          <t>JÖNKÖPINGS LÄN</t>
        </is>
      </c>
      <c r="E3623" t="inlineStr">
        <is>
          <t>VETLANDA</t>
        </is>
      </c>
      <c r="G3623" t="n">
        <v>2.4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18434-2022</t>
        </is>
      </c>
      <c r="B3624" s="1" t="n">
        <v>44686.45782407407</v>
      </c>
      <c r="C3624" s="1" t="n">
        <v>45962</v>
      </c>
      <c r="D3624" t="inlineStr">
        <is>
          <t>JÖNKÖPINGS LÄN</t>
        </is>
      </c>
      <c r="E3624" t="inlineStr">
        <is>
          <t>VÄRNAMO</t>
        </is>
      </c>
      <c r="G3624" t="n">
        <v>1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62745-2023</t>
        </is>
      </c>
      <c r="B3625" s="1" t="n">
        <v>45271</v>
      </c>
      <c r="C3625" s="1" t="n">
        <v>45962</v>
      </c>
      <c r="D3625" t="inlineStr">
        <is>
          <t>JÖNKÖPINGS LÄN</t>
        </is>
      </c>
      <c r="E3625" t="inlineStr">
        <is>
          <t>HABO</t>
        </is>
      </c>
      <c r="G3625" t="n">
        <v>3.8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23270-2025</t>
        </is>
      </c>
      <c r="B3626" s="1" t="n">
        <v>45791.56214120371</v>
      </c>
      <c r="C3626" s="1" t="n">
        <v>45962</v>
      </c>
      <c r="D3626" t="inlineStr">
        <is>
          <t>JÖNKÖPINGS LÄN</t>
        </is>
      </c>
      <c r="E3626" t="inlineStr">
        <is>
          <t>VAGGERYD</t>
        </is>
      </c>
      <c r="G3626" t="n">
        <v>0.3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59713-2024</t>
        </is>
      </c>
      <c r="B3627" s="1" t="n">
        <v>45639.45501157407</v>
      </c>
      <c r="C3627" s="1" t="n">
        <v>45962</v>
      </c>
      <c r="D3627" t="inlineStr">
        <is>
          <t>JÖNKÖPINGS LÄN</t>
        </is>
      </c>
      <c r="E3627" t="inlineStr">
        <is>
          <t>VETLANDA</t>
        </is>
      </c>
      <c r="G3627" t="n">
        <v>1.9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61198-2020</t>
        </is>
      </c>
      <c r="B3628" s="1" t="n">
        <v>44155.39440972222</v>
      </c>
      <c r="C3628" s="1" t="n">
        <v>45962</v>
      </c>
      <c r="D3628" t="inlineStr">
        <is>
          <t>JÖNKÖPINGS LÄN</t>
        </is>
      </c>
      <c r="E3628" t="inlineStr">
        <is>
          <t>SÄVSJÖ</t>
        </is>
      </c>
      <c r="G3628" t="n">
        <v>1.3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23885-2024</t>
        </is>
      </c>
      <c r="B3629" s="1" t="n">
        <v>45455.64677083334</v>
      </c>
      <c r="C3629" s="1" t="n">
        <v>45962</v>
      </c>
      <c r="D3629" t="inlineStr">
        <is>
          <t>JÖNKÖPINGS LÄN</t>
        </is>
      </c>
      <c r="E3629" t="inlineStr">
        <is>
          <t>SÄVSJÖ</t>
        </is>
      </c>
      <c r="G3629" t="n">
        <v>0.7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24533-2024</t>
        </is>
      </c>
      <c r="B3630" s="1" t="n">
        <v>45460.38287037037</v>
      </c>
      <c r="C3630" s="1" t="n">
        <v>45962</v>
      </c>
      <c r="D3630" t="inlineStr">
        <is>
          <t>JÖNKÖPINGS LÄN</t>
        </is>
      </c>
      <c r="E3630" t="inlineStr">
        <is>
          <t>NÄSSJÖ</t>
        </is>
      </c>
      <c r="G3630" t="n">
        <v>2.7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16726-2023</t>
        </is>
      </c>
      <c r="B3631" s="1" t="n">
        <v>45030.67268518519</v>
      </c>
      <c r="C3631" s="1" t="n">
        <v>45962</v>
      </c>
      <c r="D3631" t="inlineStr">
        <is>
          <t>JÖNKÖPINGS LÄN</t>
        </is>
      </c>
      <c r="E3631" t="inlineStr">
        <is>
          <t>HABO</t>
        </is>
      </c>
      <c r="G3631" t="n">
        <v>0.7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37515-2024</t>
        </is>
      </c>
      <c r="B3632" s="1" t="n">
        <v>45541.38644675926</v>
      </c>
      <c r="C3632" s="1" t="n">
        <v>45962</v>
      </c>
      <c r="D3632" t="inlineStr">
        <is>
          <t>JÖNKÖPINGS LÄN</t>
        </is>
      </c>
      <c r="E3632" t="inlineStr">
        <is>
          <t>JÖNKÖPING</t>
        </is>
      </c>
      <c r="G3632" t="n">
        <v>0.9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33213-2023</t>
        </is>
      </c>
      <c r="B3633" s="1" t="n">
        <v>45114</v>
      </c>
      <c r="C3633" s="1" t="n">
        <v>45962</v>
      </c>
      <c r="D3633" t="inlineStr">
        <is>
          <t>JÖNKÖPINGS LÄN</t>
        </is>
      </c>
      <c r="E3633" t="inlineStr">
        <is>
          <t>TRANÅS</t>
        </is>
      </c>
      <c r="G3633" t="n">
        <v>2.7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10045-2025</t>
        </is>
      </c>
      <c r="B3634" s="1" t="n">
        <v>45719.50693287037</v>
      </c>
      <c r="C3634" s="1" t="n">
        <v>45962</v>
      </c>
      <c r="D3634" t="inlineStr">
        <is>
          <t>JÖNKÖPINGS LÄN</t>
        </is>
      </c>
      <c r="E3634" t="inlineStr">
        <is>
          <t>EKSJÖ</t>
        </is>
      </c>
      <c r="G3634" t="n">
        <v>1.9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22842-2025</t>
        </is>
      </c>
      <c r="B3635" s="1" t="n">
        <v>45790</v>
      </c>
      <c r="C3635" s="1" t="n">
        <v>45962</v>
      </c>
      <c r="D3635" t="inlineStr">
        <is>
          <t>JÖNKÖPINGS LÄN</t>
        </is>
      </c>
      <c r="E3635" t="inlineStr">
        <is>
          <t>HABO</t>
        </is>
      </c>
      <c r="G3635" t="n">
        <v>1.3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12950-2025</t>
        </is>
      </c>
      <c r="B3636" s="1" t="n">
        <v>45734.39568287037</v>
      </c>
      <c r="C3636" s="1" t="n">
        <v>45962</v>
      </c>
      <c r="D3636" t="inlineStr">
        <is>
          <t>JÖNKÖPINGS LÄN</t>
        </is>
      </c>
      <c r="E3636" t="inlineStr">
        <is>
          <t>NÄSSJÖ</t>
        </is>
      </c>
      <c r="G3636" t="n">
        <v>0.7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54899-2024</t>
        </is>
      </c>
      <c r="B3637" s="1" t="n">
        <v>45618</v>
      </c>
      <c r="C3637" s="1" t="n">
        <v>45962</v>
      </c>
      <c r="D3637" t="inlineStr">
        <is>
          <t>JÖNKÖPINGS LÄN</t>
        </is>
      </c>
      <c r="E3637" t="inlineStr">
        <is>
          <t>JÖNKÖPING</t>
        </is>
      </c>
      <c r="G3637" t="n">
        <v>4.7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23330-2025</t>
        </is>
      </c>
      <c r="B3638" s="1" t="n">
        <v>45791.64484953704</v>
      </c>
      <c r="C3638" s="1" t="n">
        <v>45962</v>
      </c>
      <c r="D3638" t="inlineStr">
        <is>
          <t>JÖNKÖPINGS LÄN</t>
        </is>
      </c>
      <c r="E3638" t="inlineStr">
        <is>
          <t>VETLANDA</t>
        </is>
      </c>
      <c r="G3638" t="n">
        <v>1.3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6433-2025</t>
        </is>
      </c>
      <c r="B3639" s="1" t="n">
        <v>45699.5131712963</v>
      </c>
      <c r="C3639" s="1" t="n">
        <v>45962</v>
      </c>
      <c r="D3639" t="inlineStr">
        <is>
          <t>JÖNKÖPINGS LÄN</t>
        </is>
      </c>
      <c r="E3639" t="inlineStr">
        <is>
          <t>VETLANDA</t>
        </is>
      </c>
      <c r="G3639" t="n">
        <v>0.7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14428-2025</t>
        </is>
      </c>
      <c r="B3640" s="1" t="n">
        <v>45741.49657407407</v>
      </c>
      <c r="C3640" s="1" t="n">
        <v>45962</v>
      </c>
      <c r="D3640" t="inlineStr">
        <is>
          <t>JÖNKÖPINGS LÄN</t>
        </is>
      </c>
      <c r="E3640" t="inlineStr">
        <is>
          <t>EKSJÖ</t>
        </is>
      </c>
      <c r="F3640" t="inlineStr">
        <is>
          <t>Sveaskog</t>
        </is>
      </c>
      <c r="G3640" t="n">
        <v>1.8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29031-2023</t>
        </is>
      </c>
      <c r="B3641" s="1" t="n">
        <v>45104.73398148148</v>
      </c>
      <c r="C3641" s="1" t="n">
        <v>45962</v>
      </c>
      <c r="D3641" t="inlineStr">
        <is>
          <t>JÖNKÖPINGS LÄN</t>
        </is>
      </c>
      <c r="E3641" t="inlineStr">
        <is>
          <t>VETLANDA</t>
        </is>
      </c>
      <c r="G3641" t="n">
        <v>1.4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46061-2021</t>
        </is>
      </c>
      <c r="B3642" s="1" t="n">
        <v>44442.22429398148</v>
      </c>
      <c r="C3642" s="1" t="n">
        <v>45962</v>
      </c>
      <c r="D3642" t="inlineStr">
        <is>
          <t>JÖNKÖPINGS LÄN</t>
        </is>
      </c>
      <c r="E3642" t="inlineStr">
        <is>
          <t>NÄSSJÖ</t>
        </is>
      </c>
      <c r="G3642" t="n">
        <v>1.6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39280-2024</t>
        </is>
      </c>
      <c r="B3643" s="1" t="n">
        <v>45551.36004629629</v>
      </c>
      <c r="C3643" s="1" t="n">
        <v>45962</v>
      </c>
      <c r="D3643" t="inlineStr">
        <is>
          <t>JÖNKÖPINGS LÄN</t>
        </is>
      </c>
      <c r="E3643" t="inlineStr">
        <is>
          <t>JÖNKÖPING</t>
        </is>
      </c>
      <c r="G3643" t="n">
        <v>1.6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39648-2024</t>
        </is>
      </c>
      <c r="B3644" s="1" t="n">
        <v>45552</v>
      </c>
      <c r="C3644" s="1" t="n">
        <v>45962</v>
      </c>
      <c r="D3644" t="inlineStr">
        <is>
          <t>JÖNKÖPINGS LÄN</t>
        </is>
      </c>
      <c r="E3644" t="inlineStr">
        <is>
          <t>TRANÅS</t>
        </is>
      </c>
      <c r="G3644" t="n">
        <v>1.3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68915-2020</t>
        </is>
      </c>
      <c r="B3645" s="1" t="n">
        <v>44187.67861111111</v>
      </c>
      <c r="C3645" s="1" t="n">
        <v>45962</v>
      </c>
      <c r="D3645" t="inlineStr">
        <is>
          <t>JÖNKÖPINGS LÄN</t>
        </is>
      </c>
      <c r="E3645" t="inlineStr">
        <is>
          <t>NÄSSJÖ</t>
        </is>
      </c>
      <c r="G3645" t="n">
        <v>0.7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47709-2023</t>
        </is>
      </c>
      <c r="B3646" s="1" t="n">
        <v>45203.64381944444</v>
      </c>
      <c r="C3646" s="1" t="n">
        <v>45962</v>
      </c>
      <c r="D3646" t="inlineStr">
        <is>
          <t>JÖNKÖPINGS LÄN</t>
        </is>
      </c>
      <c r="E3646" t="inlineStr">
        <is>
          <t>NÄSSJÖ</t>
        </is>
      </c>
      <c r="G3646" t="n">
        <v>3.3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39357-2023</t>
        </is>
      </c>
      <c r="B3647" s="1" t="n">
        <v>45166</v>
      </c>
      <c r="C3647" s="1" t="n">
        <v>45962</v>
      </c>
      <c r="D3647" t="inlineStr">
        <is>
          <t>JÖNKÖPINGS LÄN</t>
        </is>
      </c>
      <c r="E3647" t="inlineStr">
        <is>
          <t>EKSJÖ</t>
        </is>
      </c>
      <c r="G3647" t="n">
        <v>2.5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47118-2023</t>
        </is>
      </c>
      <c r="B3648" s="1" t="n">
        <v>45201.67722222222</v>
      </c>
      <c r="C3648" s="1" t="n">
        <v>45962</v>
      </c>
      <c r="D3648" t="inlineStr">
        <is>
          <t>JÖNKÖPINGS LÄN</t>
        </is>
      </c>
      <c r="E3648" t="inlineStr">
        <is>
          <t>ANEBY</t>
        </is>
      </c>
      <c r="G3648" t="n">
        <v>2.9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47008-2024</t>
        </is>
      </c>
      <c r="B3649" s="1" t="n">
        <v>45586.38421296296</v>
      </c>
      <c r="C3649" s="1" t="n">
        <v>45962</v>
      </c>
      <c r="D3649" t="inlineStr">
        <is>
          <t>JÖNKÖPINGS LÄN</t>
        </is>
      </c>
      <c r="E3649" t="inlineStr">
        <is>
          <t>NÄSSJÖ</t>
        </is>
      </c>
      <c r="G3649" t="n">
        <v>3.2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9258-2022</t>
        </is>
      </c>
      <c r="B3650" s="1" t="n">
        <v>44616</v>
      </c>
      <c r="C3650" s="1" t="n">
        <v>45962</v>
      </c>
      <c r="D3650" t="inlineStr">
        <is>
          <t>JÖNKÖPINGS LÄN</t>
        </is>
      </c>
      <c r="E3650" t="inlineStr">
        <is>
          <t>EKSJÖ</t>
        </is>
      </c>
      <c r="G3650" t="n">
        <v>0.8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54362-2021</t>
        </is>
      </c>
      <c r="B3651" s="1" t="n">
        <v>44470</v>
      </c>
      <c r="C3651" s="1" t="n">
        <v>45962</v>
      </c>
      <c r="D3651" t="inlineStr">
        <is>
          <t>JÖNKÖPINGS LÄN</t>
        </is>
      </c>
      <c r="E3651" t="inlineStr">
        <is>
          <t>GNOSJÖ</t>
        </is>
      </c>
      <c r="G3651" t="n">
        <v>0.7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73154-2021</t>
        </is>
      </c>
      <c r="B3652" s="1" t="n">
        <v>44550.52243055555</v>
      </c>
      <c r="C3652" s="1" t="n">
        <v>45962</v>
      </c>
      <c r="D3652" t="inlineStr">
        <is>
          <t>JÖNKÖPINGS LÄN</t>
        </is>
      </c>
      <c r="E3652" t="inlineStr">
        <is>
          <t>GISLAVED</t>
        </is>
      </c>
      <c r="G3652" t="n">
        <v>0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13679-2022</t>
        </is>
      </c>
      <c r="B3653" s="1" t="n">
        <v>44648</v>
      </c>
      <c r="C3653" s="1" t="n">
        <v>45962</v>
      </c>
      <c r="D3653" t="inlineStr">
        <is>
          <t>JÖNKÖPINGS LÄN</t>
        </is>
      </c>
      <c r="E3653" t="inlineStr">
        <is>
          <t>VAGGERYD</t>
        </is>
      </c>
      <c r="G3653" t="n">
        <v>0.5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2199-2023</t>
        </is>
      </c>
      <c r="B3654" s="1" t="n">
        <v>44942.3762037037</v>
      </c>
      <c r="C3654" s="1" t="n">
        <v>45962</v>
      </c>
      <c r="D3654" t="inlineStr">
        <is>
          <t>JÖNKÖPINGS LÄN</t>
        </is>
      </c>
      <c r="E3654" t="inlineStr">
        <is>
          <t>VÄRNAMO</t>
        </is>
      </c>
      <c r="G3654" t="n">
        <v>1.1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61283-2024</t>
        </is>
      </c>
      <c r="B3655" s="1" t="n">
        <v>45645</v>
      </c>
      <c r="C3655" s="1" t="n">
        <v>45962</v>
      </c>
      <c r="D3655" t="inlineStr">
        <is>
          <t>JÖNKÖPINGS LÄN</t>
        </is>
      </c>
      <c r="E3655" t="inlineStr">
        <is>
          <t>VETLANDA</t>
        </is>
      </c>
      <c r="G3655" t="n">
        <v>1.4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32020-2024</t>
        </is>
      </c>
      <c r="B3656" s="1" t="n">
        <v>45510</v>
      </c>
      <c r="C3656" s="1" t="n">
        <v>45962</v>
      </c>
      <c r="D3656" t="inlineStr">
        <is>
          <t>JÖNKÖPINGS LÄN</t>
        </is>
      </c>
      <c r="E3656" t="inlineStr">
        <is>
          <t>VETLANDA</t>
        </is>
      </c>
      <c r="G3656" t="n">
        <v>1.4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16243-2025</t>
        </is>
      </c>
      <c r="B3657" s="1" t="n">
        <v>45749</v>
      </c>
      <c r="C3657" s="1" t="n">
        <v>45962</v>
      </c>
      <c r="D3657" t="inlineStr">
        <is>
          <t>JÖNKÖPINGS LÄN</t>
        </is>
      </c>
      <c r="E3657" t="inlineStr">
        <is>
          <t>GNOSJÖ</t>
        </is>
      </c>
      <c r="F3657" t="inlineStr">
        <is>
          <t>Kyrkan</t>
        </is>
      </c>
      <c r="G3657" t="n">
        <v>2.1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61287-2024</t>
        </is>
      </c>
      <c r="B3658" s="1" t="n">
        <v>45645.81003472222</v>
      </c>
      <c r="C3658" s="1" t="n">
        <v>45962</v>
      </c>
      <c r="D3658" t="inlineStr">
        <is>
          <t>JÖNKÖPINGS LÄN</t>
        </is>
      </c>
      <c r="E3658" t="inlineStr">
        <is>
          <t>VETLANDA</t>
        </is>
      </c>
      <c r="F3658" t="inlineStr">
        <is>
          <t>Sveaskog</t>
        </is>
      </c>
      <c r="G3658" t="n">
        <v>2.1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16805-2025</t>
        </is>
      </c>
      <c r="B3659" s="1" t="n">
        <v>45754.62659722222</v>
      </c>
      <c r="C3659" s="1" t="n">
        <v>45962</v>
      </c>
      <c r="D3659" t="inlineStr">
        <is>
          <t>JÖNKÖPINGS LÄN</t>
        </is>
      </c>
      <c r="E3659" t="inlineStr">
        <is>
          <t>VETLANDA</t>
        </is>
      </c>
      <c r="F3659" t="inlineStr">
        <is>
          <t>Sveaskog</t>
        </is>
      </c>
      <c r="G3659" t="n">
        <v>3.9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16813-2025</t>
        </is>
      </c>
      <c r="B3660" s="1" t="n">
        <v>45754.63344907408</v>
      </c>
      <c r="C3660" s="1" t="n">
        <v>45962</v>
      </c>
      <c r="D3660" t="inlineStr">
        <is>
          <t>JÖNKÖPINGS LÄN</t>
        </is>
      </c>
      <c r="E3660" t="inlineStr">
        <is>
          <t>MULLSJÖ</t>
        </is>
      </c>
      <c r="G3660" t="n">
        <v>2.9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3710-2023</t>
        </is>
      </c>
      <c r="B3661" s="1" t="n">
        <v>44951</v>
      </c>
      <c r="C3661" s="1" t="n">
        <v>45962</v>
      </c>
      <c r="D3661" t="inlineStr">
        <is>
          <t>JÖNKÖPINGS LÄN</t>
        </is>
      </c>
      <c r="E3661" t="inlineStr">
        <is>
          <t>HABO</t>
        </is>
      </c>
      <c r="G3661" t="n">
        <v>1.7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6126-2025</t>
        </is>
      </c>
      <c r="B3662" s="1" t="n">
        <v>45698.3561574074</v>
      </c>
      <c r="C3662" s="1" t="n">
        <v>45962</v>
      </c>
      <c r="D3662" t="inlineStr">
        <is>
          <t>JÖNKÖPINGS LÄN</t>
        </is>
      </c>
      <c r="E3662" t="inlineStr">
        <is>
          <t>GISLAVED</t>
        </is>
      </c>
      <c r="G3662" t="n">
        <v>1.1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17328-2024</t>
        </is>
      </c>
      <c r="B3663" s="1" t="n">
        <v>45414.55210648148</v>
      </c>
      <c r="C3663" s="1" t="n">
        <v>45962</v>
      </c>
      <c r="D3663" t="inlineStr">
        <is>
          <t>JÖNKÖPINGS LÄN</t>
        </is>
      </c>
      <c r="E3663" t="inlineStr">
        <is>
          <t>VÄRNAMO</t>
        </is>
      </c>
      <c r="F3663" t="inlineStr">
        <is>
          <t>Sveaskog</t>
        </is>
      </c>
      <c r="G3663" t="n">
        <v>0.7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55705-2023</t>
        </is>
      </c>
      <c r="B3664" s="1" t="n">
        <v>45239.37428240741</v>
      </c>
      <c r="C3664" s="1" t="n">
        <v>45962</v>
      </c>
      <c r="D3664" t="inlineStr">
        <is>
          <t>JÖNKÖPINGS LÄN</t>
        </is>
      </c>
      <c r="E3664" t="inlineStr">
        <is>
          <t>VAGGERYD</t>
        </is>
      </c>
      <c r="G3664" t="n">
        <v>0.7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11112-2025</t>
        </is>
      </c>
      <c r="B3665" s="1" t="n">
        <v>45723.62244212963</v>
      </c>
      <c r="C3665" s="1" t="n">
        <v>45962</v>
      </c>
      <c r="D3665" t="inlineStr">
        <is>
          <t>JÖNKÖPINGS LÄN</t>
        </is>
      </c>
      <c r="E3665" t="inlineStr">
        <is>
          <t>VÄRNAMO</t>
        </is>
      </c>
      <c r="G3665" t="n">
        <v>1.5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51944-2022</t>
        </is>
      </c>
      <c r="B3666" s="1" t="n">
        <v>44868</v>
      </c>
      <c r="C3666" s="1" t="n">
        <v>45962</v>
      </c>
      <c r="D3666" t="inlineStr">
        <is>
          <t>JÖNKÖPINGS LÄN</t>
        </is>
      </c>
      <c r="E3666" t="inlineStr">
        <is>
          <t>VAGGERYD</t>
        </is>
      </c>
      <c r="G3666" t="n">
        <v>4.6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4438-2025</t>
        </is>
      </c>
      <c r="B3667" s="1" t="n">
        <v>45686.51674768519</v>
      </c>
      <c r="C3667" s="1" t="n">
        <v>45962</v>
      </c>
      <c r="D3667" t="inlineStr">
        <is>
          <t>JÖNKÖPINGS LÄN</t>
        </is>
      </c>
      <c r="E3667" t="inlineStr">
        <is>
          <t>MULLSJÖ</t>
        </is>
      </c>
      <c r="G3667" t="n">
        <v>0.5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4439-2025</t>
        </is>
      </c>
      <c r="B3668" s="1" t="n">
        <v>45686.51806712963</v>
      </c>
      <c r="C3668" s="1" t="n">
        <v>45962</v>
      </c>
      <c r="D3668" t="inlineStr">
        <is>
          <t>JÖNKÖPINGS LÄN</t>
        </is>
      </c>
      <c r="E3668" t="inlineStr">
        <is>
          <t>EKSJÖ</t>
        </is>
      </c>
      <c r="G3668" t="n">
        <v>0.6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29527-2024</t>
        </is>
      </c>
      <c r="B3669" s="1" t="n">
        <v>45484.46942129629</v>
      </c>
      <c r="C3669" s="1" t="n">
        <v>45962</v>
      </c>
      <c r="D3669" t="inlineStr">
        <is>
          <t>JÖNKÖPINGS LÄN</t>
        </is>
      </c>
      <c r="E3669" t="inlineStr">
        <is>
          <t>MULLSJÖ</t>
        </is>
      </c>
      <c r="G3669" t="n">
        <v>5.1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5136-2025</t>
        </is>
      </c>
      <c r="B3670" s="1" t="n">
        <v>45691.5809837963</v>
      </c>
      <c r="C3670" s="1" t="n">
        <v>45962</v>
      </c>
      <c r="D3670" t="inlineStr">
        <is>
          <t>JÖNKÖPINGS LÄN</t>
        </is>
      </c>
      <c r="E3670" t="inlineStr">
        <is>
          <t>VETLANDA</t>
        </is>
      </c>
      <c r="F3670" t="inlineStr">
        <is>
          <t>Sveaskog</t>
        </is>
      </c>
      <c r="G3670" t="n">
        <v>1.5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3662-2024</t>
        </is>
      </c>
      <c r="B3671" s="1" t="n">
        <v>45321.34763888889</v>
      </c>
      <c r="C3671" s="1" t="n">
        <v>45962</v>
      </c>
      <c r="D3671" t="inlineStr">
        <is>
          <t>JÖNKÖPINGS LÄN</t>
        </is>
      </c>
      <c r="E3671" t="inlineStr">
        <is>
          <t>SÄVSJÖ</t>
        </is>
      </c>
      <c r="G3671" t="n">
        <v>0.8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34061-2023</t>
        </is>
      </c>
      <c r="B3672" s="1" t="n">
        <v>45135</v>
      </c>
      <c r="C3672" s="1" t="n">
        <v>45962</v>
      </c>
      <c r="D3672" t="inlineStr">
        <is>
          <t>JÖNKÖPINGS LÄN</t>
        </is>
      </c>
      <c r="E3672" t="inlineStr">
        <is>
          <t>VETLANDA</t>
        </is>
      </c>
      <c r="G3672" t="n">
        <v>6.8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34068-2023</t>
        </is>
      </c>
      <c r="B3673" s="1" t="n">
        <v>45135</v>
      </c>
      <c r="C3673" s="1" t="n">
        <v>45962</v>
      </c>
      <c r="D3673" t="inlineStr">
        <is>
          <t>JÖNKÖPINGS LÄN</t>
        </is>
      </c>
      <c r="E3673" t="inlineStr">
        <is>
          <t>VETLANDA</t>
        </is>
      </c>
      <c r="G3673" t="n">
        <v>2.9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34072-2023</t>
        </is>
      </c>
      <c r="B3674" s="1" t="n">
        <v>45135</v>
      </c>
      <c r="C3674" s="1" t="n">
        <v>45962</v>
      </c>
      <c r="D3674" t="inlineStr">
        <is>
          <t>JÖNKÖPINGS LÄN</t>
        </is>
      </c>
      <c r="E3674" t="inlineStr">
        <is>
          <t>VETLANDA</t>
        </is>
      </c>
      <c r="G3674" t="n">
        <v>10.2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500-2025</t>
        </is>
      </c>
      <c r="B3675" s="1" t="n">
        <v>45664.46778935185</v>
      </c>
      <c r="C3675" s="1" t="n">
        <v>45962</v>
      </c>
      <c r="D3675" t="inlineStr">
        <is>
          <t>JÖNKÖPINGS LÄN</t>
        </is>
      </c>
      <c r="E3675" t="inlineStr">
        <is>
          <t>VÄRNAMO</t>
        </is>
      </c>
      <c r="G3675" t="n">
        <v>1.2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41893-2024</t>
        </is>
      </c>
      <c r="B3676" s="1" t="n">
        <v>45561.4999537037</v>
      </c>
      <c r="C3676" s="1" t="n">
        <v>45962</v>
      </c>
      <c r="D3676" t="inlineStr">
        <is>
          <t>JÖNKÖPINGS LÄN</t>
        </is>
      </c>
      <c r="E3676" t="inlineStr">
        <is>
          <t>VÄRNAMO</t>
        </is>
      </c>
      <c r="G3676" t="n">
        <v>0.7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7959-2024</t>
        </is>
      </c>
      <c r="B3677" s="1" t="n">
        <v>45350.56959490741</v>
      </c>
      <c r="C3677" s="1" t="n">
        <v>45962</v>
      </c>
      <c r="D3677" t="inlineStr">
        <is>
          <t>JÖNKÖPINGS LÄN</t>
        </is>
      </c>
      <c r="E3677" t="inlineStr">
        <is>
          <t>JÖNKÖPING</t>
        </is>
      </c>
      <c r="G3677" t="n">
        <v>1.1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23151-2025</t>
        </is>
      </c>
      <c r="B3678" s="1" t="n">
        <v>45791.405</v>
      </c>
      <c r="C3678" s="1" t="n">
        <v>45962</v>
      </c>
      <c r="D3678" t="inlineStr">
        <is>
          <t>JÖNKÖPINGS LÄN</t>
        </is>
      </c>
      <c r="E3678" t="inlineStr">
        <is>
          <t>SÄVSJÖ</t>
        </is>
      </c>
      <c r="G3678" t="n">
        <v>0.6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3386-2025</t>
        </is>
      </c>
      <c r="B3679" s="1" t="n">
        <v>45680.34590277778</v>
      </c>
      <c r="C3679" s="1" t="n">
        <v>45962</v>
      </c>
      <c r="D3679" t="inlineStr">
        <is>
          <t>JÖNKÖPINGS LÄN</t>
        </is>
      </c>
      <c r="E3679" t="inlineStr">
        <is>
          <t>NÄSSJÖ</t>
        </is>
      </c>
      <c r="G3679" t="n">
        <v>0.8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35115-2021</t>
        </is>
      </c>
      <c r="B3680" s="1" t="n">
        <v>44384</v>
      </c>
      <c r="C3680" s="1" t="n">
        <v>45962</v>
      </c>
      <c r="D3680" t="inlineStr">
        <is>
          <t>JÖNKÖPINGS LÄN</t>
        </is>
      </c>
      <c r="E3680" t="inlineStr">
        <is>
          <t>HABO</t>
        </is>
      </c>
      <c r="G3680" t="n">
        <v>8.4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17512-2023</t>
        </is>
      </c>
      <c r="B3681" s="1" t="n">
        <v>45036</v>
      </c>
      <c r="C3681" s="1" t="n">
        <v>45962</v>
      </c>
      <c r="D3681" t="inlineStr">
        <is>
          <t>JÖNKÖPINGS LÄN</t>
        </is>
      </c>
      <c r="E3681" t="inlineStr">
        <is>
          <t>VAGGERYD</t>
        </is>
      </c>
      <c r="G3681" t="n">
        <v>4.2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59440-2024</t>
        </is>
      </c>
      <c r="B3682" s="1" t="n">
        <v>45638.44335648148</v>
      </c>
      <c r="C3682" s="1" t="n">
        <v>45962</v>
      </c>
      <c r="D3682" t="inlineStr">
        <is>
          <t>JÖNKÖPINGS LÄN</t>
        </is>
      </c>
      <c r="E3682" t="inlineStr">
        <is>
          <t>HABO</t>
        </is>
      </c>
      <c r="G3682" t="n">
        <v>1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51228-2023</t>
        </is>
      </c>
      <c r="B3683" s="1" t="n">
        <v>45219.46091435185</v>
      </c>
      <c r="C3683" s="1" t="n">
        <v>45962</v>
      </c>
      <c r="D3683" t="inlineStr">
        <is>
          <t>JÖNKÖPINGS LÄN</t>
        </is>
      </c>
      <c r="E3683" t="inlineStr">
        <is>
          <t>VETLANDA</t>
        </is>
      </c>
      <c r="F3683" t="inlineStr">
        <is>
          <t>Sveaskog</t>
        </is>
      </c>
      <c r="G3683" t="n">
        <v>1.6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49168-2023</t>
        </is>
      </c>
      <c r="B3684" s="1" t="n">
        <v>45210.54012731482</v>
      </c>
      <c r="C3684" s="1" t="n">
        <v>45962</v>
      </c>
      <c r="D3684" t="inlineStr">
        <is>
          <t>JÖNKÖPINGS LÄN</t>
        </is>
      </c>
      <c r="E3684" t="inlineStr">
        <is>
          <t>HABO</t>
        </is>
      </c>
      <c r="G3684" t="n">
        <v>2.6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63922-2023</t>
        </is>
      </c>
      <c r="B3685" s="1" t="n">
        <v>45278</v>
      </c>
      <c r="C3685" s="1" t="n">
        <v>45962</v>
      </c>
      <c r="D3685" t="inlineStr">
        <is>
          <t>JÖNKÖPINGS LÄN</t>
        </is>
      </c>
      <c r="E3685" t="inlineStr">
        <is>
          <t>HABO</t>
        </is>
      </c>
      <c r="G3685" t="n">
        <v>1.4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54547-2023</t>
        </is>
      </c>
      <c r="B3686" s="1" t="n">
        <v>45226</v>
      </c>
      <c r="C3686" s="1" t="n">
        <v>45962</v>
      </c>
      <c r="D3686" t="inlineStr">
        <is>
          <t>JÖNKÖPINGS LÄN</t>
        </is>
      </c>
      <c r="E3686" t="inlineStr">
        <is>
          <t>SÄVSJÖ</t>
        </is>
      </c>
      <c r="F3686" t="inlineStr">
        <is>
          <t>Kyrkan</t>
        </is>
      </c>
      <c r="G3686" t="n">
        <v>1.8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23794-2024</t>
        </is>
      </c>
      <c r="B3687" s="1" t="n">
        <v>45455.42981481482</v>
      </c>
      <c r="C3687" s="1" t="n">
        <v>45962</v>
      </c>
      <c r="D3687" t="inlineStr">
        <is>
          <t>JÖNKÖPINGS LÄN</t>
        </is>
      </c>
      <c r="E3687" t="inlineStr">
        <is>
          <t>JÖNKÖPING</t>
        </is>
      </c>
      <c r="F3687" t="inlineStr">
        <is>
          <t>Sveaskog</t>
        </is>
      </c>
      <c r="G3687" t="n">
        <v>0.7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50537-2022</t>
        </is>
      </c>
      <c r="B3688" s="1" t="n">
        <v>44866.60233796296</v>
      </c>
      <c r="C3688" s="1" t="n">
        <v>45962</v>
      </c>
      <c r="D3688" t="inlineStr">
        <is>
          <t>JÖNKÖPINGS LÄN</t>
        </is>
      </c>
      <c r="E3688" t="inlineStr">
        <is>
          <t>GISLAVED</t>
        </is>
      </c>
      <c r="G3688" t="n">
        <v>0.8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12665-2022</t>
        </is>
      </c>
      <c r="B3689" s="1" t="n">
        <v>44641</v>
      </c>
      <c r="C3689" s="1" t="n">
        <v>45962</v>
      </c>
      <c r="D3689" t="inlineStr">
        <is>
          <t>JÖNKÖPINGS LÄN</t>
        </is>
      </c>
      <c r="E3689" t="inlineStr">
        <is>
          <t>VETLANDA</t>
        </is>
      </c>
      <c r="G3689" t="n">
        <v>1.6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27714-2024</t>
        </is>
      </c>
      <c r="B3690" s="1" t="n">
        <v>45475</v>
      </c>
      <c r="C3690" s="1" t="n">
        <v>45962</v>
      </c>
      <c r="D3690" t="inlineStr">
        <is>
          <t>JÖNKÖPINGS LÄN</t>
        </is>
      </c>
      <c r="E3690" t="inlineStr">
        <is>
          <t>ANEBY</t>
        </is>
      </c>
      <c r="G3690" t="n">
        <v>1.4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48619-2024</t>
        </is>
      </c>
      <c r="B3691" s="1" t="n">
        <v>45593.46152777778</v>
      </c>
      <c r="C3691" s="1" t="n">
        <v>45962</v>
      </c>
      <c r="D3691" t="inlineStr">
        <is>
          <t>JÖNKÖPINGS LÄN</t>
        </is>
      </c>
      <c r="E3691" t="inlineStr">
        <is>
          <t>VAGGERYD</t>
        </is>
      </c>
      <c r="F3691" t="inlineStr">
        <is>
          <t>Sveaskog</t>
        </is>
      </c>
      <c r="G3691" t="n">
        <v>13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52055-2024</t>
        </is>
      </c>
      <c r="B3692" s="1" t="n">
        <v>45608</v>
      </c>
      <c r="C3692" s="1" t="n">
        <v>45962</v>
      </c>
      <c r="D3692" t="inlineStr">
        <is>
          <t>JÖNKÖPINGS LÄN</t>
        </is>
      </c>
      <c r="E3692" t="inlineStr">
        <is>
          <t>HABO</t>
        </is>
      </c>
      <c r="G3692" t="n">
        <v>1.1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63430-2023</t>
        </is>
      </c>
      <c r="B3693" s="1" t="n">
        <v>45274</v>
      </c>
      <c r="C3693" s="1" t="n">
        <v>45962</v>
      </c>
      <c r="D3693" t="inlineStr">
        <is>
          <t>JÖNKÖPINGS LÄN</t>
        </is>
      </c>
      <c r="E3693" t="inlineStr">
        <is>
          <t>VÄRNAMO</t>
        </is>
      </c>
      <c r="G3693" t="n">
        <v>0.6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63451-2023</t>
        </is>
      </c>
      <c r="B3694" s="1" t="n">
        <v>45274</v>
      </c>
      <c r="C3694" s="1" t="n">
        <v>45962</v>
      </c>
      <c r="D3694" t="inlineStr">
        <is>
          <t>JÖNKÖPINGS LÄN</t>
        </is>
      </c>
      <c r="E3694" t="inlineStr">
        <is>
          <t>VETLANDA</t>
        </is>
      </c>
      <c r="G3694" t="n">
        <v>1.2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63551-2023</t>
        </is>
      </c>
      <c r="B3695" s="1" t="n">
        <v>45275</v>
      </c>
      <c r="C3695" s="1" t="n">
        <v>45962</v>
      </c>
      <c r="D3695" t="inlineStr">
        <is>
          <t>JÖNKÖPINGS LÄN</t>
        </is>
      </c>
      <c r="E3695" t="inlineStr">
        <is>
          <t>JÖNKÖPING</t>
        </is>
      </c>
      <c r="G3695" t="n">
        <v>1.1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56994-2021</t>
        </is>
      </c>
      <c r="B3696" s="1" t="n">
        <v>44482.45895833334</v>
      </c>
      <c r="C3696" s="1" t="n">
        <v>45962</v>
      </c>
      <c r="D3696" t="inlineStr">
        <is>
          <t>JÖNKÖPINGS LÄN</t>
        </is>
      </c>
      <c r="E3696" t="inlineStr">
        <is>
          <t>VETLANDA</t>
        </is>
      </c>
      <c r="G3696" t="n">
        <v>1.4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61523-2024</t>
        </is>
      </c>
      <c r="B3697" s="1" t="n">
        <v>45646.5796412037</v>
      </c>
      <c r="C3697" s="1" t="n">
        <v>45962</v>
      </c>
      <c r="D3697" t="inlineStr">
        <is>
          <t>JÖNKÖPINGS LÄN</t>
        </is>
      </c>
      <c r="E3697" t="inlineStr">
        <is>
          <t>JÖNKÖPING</t>
        </is>
      </c>
      <c r="G3697" t="n">
        <v>1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495-2025</t>
        </is>
      </c>
      <c r="B3698" s="1" t="n">
        <v>45664.46590277777</v>
      </c>
      <c r="C3698" s="1" t="n">
        <v>45962</v>
      </c>
      <c r="D3698" t="inlineStr">
        <is>
          <t>JÖNKÖPINGS LÄN</t>
        </is>
      </c>
      <c r="E3698" t="inlineStr">
        <is>
          <t>VÄRNAMO</t>
        </is>
      </c>
      <c r="G3698" t="n">
        <v>3.5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53154-2024</t>
        </is>
      </c>
      <c r="B3699" s="1" t="n">
        <v>45611.62386574074</v>
      </c>
      <c r="C3699" s="1" t="n">
        <v>45962</v>
      </c>
      <c r="D3699" t="inlineStr">
        <is>
          <t>JÖNKÖPINGS LÄN</t>
        </is>
      </c>
      <c r="E3699" t="inlineStr">
        <is>
          <t>SÄVSJÖ</t>
        </is>
      </c>
      <c r="G3699" t="n">
        <v>1.2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12952-2023</t>
        </is>
      </c>
      <c r="B3700" s="1" t="n">
        <v>45001</v>
      </c>
      <c r="C3700" s="1" t="n">
        <v>45962</v>
      </c>
      <c r="D3700" t="inlineStr">
        <is>
          <t>JÖNKÖPINGS LÄN</t>
        </is>
      </c>
      <c r="E3700" t="inlineStr">
        <is>
          <t>SÄVSJÖ</t>
        </is>
      </c>
      <c r="F3700" t="inlineStr">
        <is>
          <t>Kyrkan</t>
        </is>
      </c>
      <c r="G3700" t="n">
        <v>0.6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5746-2025</t>
        </is>
      </c>
      <c r="B3701" s="1" t="n">
        <v>45694.52599537037</v>
      </c>
      <c r="C3701" s="1" t="n">
        <v>45962</v>
      </c>
      <c r="D3701" t="inlineStr">
        <is>
          <t>JÖNKÖPINGS LÄN</t>
        </is>
      </c>
      <c r="E3701" t="inlineStr">
        <is>
          <t>NÄSSJÖ</t>
        </is>
      </c>
      <c r="G3701" t="n">
        <v>2.6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14901-2024</t>
        </is>
      </c>
      <c r="B3702" s="1" t="n">
        <v>45398.58857638889</v>
      </c>
      <c r="C3702" s="1" t="n">
        <v>45962</v>
      </c>
      <c r="D3702" t="inlineStr">
        <is>
          <t>JÖNKÖPINGS LÄN</t>
        </is>
      </c>
      <c r="E3702" t="inlineStr">
        <is>
          <t>ANEBY</t>
        </is>
      </c>
      <c r="G3702" t="n">
        <v>1.8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9229-2025</t>
        </is>
      </c>
      <c r="B3703" s="1" t="n">
        <v>45713</v>
      </c>
      <c r="C3703" s="1" t="n">
        <v>45962</v>
      </c>
      <c r="D3703" t="inlineStr">
        <is>
          <t>JÖNKÖPINGS LÄN</t>
        </is>
      </c>
      <c r="E3703" t="inlineStr">
        <is>
          <t>TRANÅS</t>
        </is>
      </c>
      <c r="G3703" t="n">
        <v>2.1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32982-2024</t>
        </is>
      </c>
      <c r="B3704" s="1" t="n">
        <v>45517</v>
      </c>
      <c r="C3704" s="1" t="n">
        <v>45962</v>
      </c>
      <c r="D3704" t="inlineStr">
        <is>
          <t>JÖNKÖPINGS LÄN</t>
        </is>
      </c>
      <c r="E3704" t="inlineStr">
        <is>
          <t>NÄSSJÖ</t>
        </is>
      </c>
      <c r="G3704" t="n">
        <v>0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13624-2023</t>
        </is>
      </c>
      <c r="B3705" s="1" t="n">
        <v>45006</v>
      </c>
      <c r="C3705" s="1" t="n">
        <v>45962</v>
      </c>
      <c r="D3705" t="inlineStr">
        <is>
          <t>JÖNKÖPINGS LÄN</t>
        </is>
      </c>
      <c r="E3705" t="inlineStr">
        <is>
          <t>TRANÅS</t>
        </is>
      </c>
      <c r="G3705" t="n">
        <v>1.7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12595-2024</t>
        </is>
      </c>
      <c r="B3706" s="1" t="n">
        <v>45380.30173611111</v>
      </c>
      <c r="C3706" s="1" t="n">
        <v>45962</v>
      </c>
      <c r="D3706" t="inlineStr">
        <is>
          <t>JÖNKÖPINGS LÄN</t>
        </is>
      </c>
      <c r="E3706" t="inlineStr">
        <is>
          <t>NÄSSJÖ</t>
        </is>
      </c>
      <c r="G3706" t="n">
        <v>0.6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43054-2023</t>
        </is>
      </c>
      <c r="B3707" s="1" t="n">
        <v>45182.71081018518</v>
      </c>
      <c r="C3707" s="1" t="n">
        <v>45962</v>
      </c>
      <c r="D3707" t="inlineStr">
        <is>
          <t>JÖNKÖPINGS LÄN</t>
        </is>
      </c>
      <c r="E3707" t="inlineStr">
        <is>
          <t>JÖNKÖPING</t>
        </is>
      </c>
      <c r="G3707" t="n">
        <v>4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62578-2023</t>
        </is>
      </c>
      <c r="B3708" s="1" t="n">
        <v>45270.59327546296</v>
      </c>
      <c r="C3708" s="1" t="n">
        <v>45962</v>
      </c>
      <c r="D3708" t="inlineStr">
        <is>
          <t>JÖNKÖPINGS LÄN</t>
        </is>
      </c>
      <c r="E3708" t="inlineStr">
        <is>
          <t>TRANÅS</t>
        </is>
      </c>
      <c r="G3708" t="n">
        <v>1.1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223-2023</t>
        </is>
      </c>
      <c r="B3709" s="1" t="n">
        <v>44928.64778935185</v>
      </c>
      <c r="C3709" s="1" t="n">
        <v>45962</v>
      </c>
      <c r="D3709" t="inlineStr">
        <is>
          <t>JÖNKÖPINGS LÄN</t>
        </is>
      </c>
      <c r="E3709" t="inlineStr">
        <is>
          <t>VAGGERYD</t>
        </is>
      </c>
      <c r="G3709" t="n">
        <v>12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58433-2023</t>
        </is>
      </c>
      <c r="B3710" s="1" t="n">
        <v>45250.81989583333</v>
      </c>
      <c r="C3710" s="1" t="n">
        <v>45962</v>
      </c>
      <c r="D3710" t="inlineStr">
        <is>
          <t>JÖNKÖPINGS LÄN</t>
        </is>
      </c>
      <c r="E3710" t="inlineStr">
        <is>
          <t>VETLANDA</t>
        </is>
      </c>
      <c r="G3710" t="n">
        <v>0.5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68750-2020</t>
        </is>
      </c>
      <c r="B3711" s="1" t="n">
        <v>44187</v>
      </c>
      <c r="C3711" s="1" t="n">
        <v>45962</v>
      </c>
      <c r="D3711" t="inlineStr">
        <is>
          <t>JÖNKÖPINGS LÄN</t>
        </is>
      </c>
      <c r="E3711" t="inlineStr">
        <is>
          <t>JÖNKÖPING</t>
        </is>
      </c>
      <c r="F3711" t="inlineStr">
        <is>
          <t>Sveaskog</t>
        </is>
      </c>
      <c r="G3711" t="n">
        <v>1.1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6209-2023</t>
        </is>
      </c>
      <c r="B3712" s="1" t="n">
        <v>44964.80540509259</v>
      </c>
      <c r="C3712" s="1" t="n">
        <v>45962</v>
      </c>
      <c r="D3712" t="inlineStr">
        <is>
          <t>JÖNKÖPINGS LÄN</t>
        </is>
      </c>
      <c r="E3712" t="inlineStr">
        <is>
          <t>MULLSJÖ</t>
        </is>
      </c>
      <c r="G3712" t="n">
        <v>1.2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23003-2025</t>
        </is>
      </c>
      <c r="B3713" s="1" t="n">
        <v>45790.60148148148</v>
      </c>
      <c r="C3713" s="1" t="n">
        <v>45962</v>
      </c>
      <c r="D3713" t="inlineStr">
        <is>
          <t>JÖNKÖPINGS LÄN</t>
        </is>
      </c>
      <c r="E3713" t="inlineStr">
        <is>
          <t>VAGGERYD</t>
        </is>
      </c>
      <c r="G3713" t="n">
        <v>4.4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23063-2025</t>
        </is>
      </c>
      <c r="B3714" s="1" t="n">
        <v>45790.82361111111</v>
      </c>
      <c r="C3714" s="1" t="n">
        <v>45962</v>
      </c>
      <c r="D3714" t="inlineStr">
        <is>
          <t>JÖNKÖPINGS LÄN</t>
        </is>
      </c>
      <c r="E3714" t="inlineStr">
        <is>
          <t>JÖNKÖPING</t>
        </is>
      </c>
      <c r="G3714" t="n">
        <v>1.4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23073-2025</t>
        </is>
      </c>
      <c r="B3715" s="1" t="n">
        <v>45790.89025462963</v>
      </c>
      <c r="C3715" s="1" t="n">
        <v>45962</v>
      </c>
      <c r="D3715" t="inlineStr">
        <is>
          <t>JÖNKÖPINGS LÄN</t>
        </is>
      </c>
      <c r="E3715" t="inlineStr">
        <is>
          <t>VAGGERYD</t>
        </is>
      </c>
      <c r="F3715" t="inlineStr">
        <is>
          <t>Sveaskog</t>
        </is>
      </c>
      <c r="G3715" t="n">
        <v>0.8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18799-2023</t>
        </is>
      </c>
      <c r="B3716" s="1" t="n">
        <v>45042</v>
      </c>
      <c r="C3716" s="1" t="n">
        <v>45962</v>
      </c>
      <c r="D3716" t="inlineStr">
        <is>
          <t>JÖNKÖPINGS LÄN</t>
        </is>
      </c>
      <c r="E3716" t="inlineStr">
        <is>
          <t>VETLANDA</t>
        </is>
      </c>
      <c r="G3716" t="n">
        <v>2.2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58617-2024</t>
        </is>
      </c>
      <c r="B3717" s="1" t="n">
        <v>45635.56027777777</v>
      </c>
      <c r="C3717" s="1" t="n">
        <v>45962</v>
      </c>
      <c r="D3717" t="inlineStr">
        <is>
          <t>JÖNKÖPINGS LÄN</t>
        </is>
      </c>
      <c r="E3717" t="inlineStr">
        <is>
          <t>VAGGERYD</t>
        </is>
      </c>
      <c r="F3717" t="inlineStr">
        <is>
          <t>Sveaskog</t>
        </is>
      </c>
      <c r="G3717" t="n">
        <v>5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60066-2024</t>
        </is>
      </c>
      <c r="B3718" s="1" t="n">
        <v>45642</v>
      </c>
      <c r="C3718" s="1" t="n">
        <v>45962</v>
      </c>
      <c r="D3718" t="inlineStr">
        <is>
          <t>JÖNKÖPINGS LÄN</t>
        </is>
      </c>
      <c r="E3718" t="inlineStr">
        <is>
          <t>VÄRNAMO</t>
        </is>
      </c>
      <c r="G3718" t="n">
        <v>1.7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22983-2025</t>
        </is>
      </c>
      <c r="B3719" s="1" t="n">
        <v>45790.57209490741</v>
      </c>
      <c r="C3719" s="1" t="n">
        <v>45962</v>
      </c>
      <c r="D3719" t="inlineStr">
        <is>
          <t>JÖNKÖPINGS LÄN</t>
        </is>
      </c>
      <c r="E3719" t="inlineStr">
        <is>
          <t>VAGGERYD</t>
        </is>
      </c>
      <c r="G3719" t="n">
        <v>0.7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23070-2025</t>
        </is>
      </c>
      <c r="B3720" s="1" t="n">
        <v>45790.88415509259</v>
      </c>
      <c r="C3720" s="1" t="n">
        <v>45962</v>
      </c>
      <c r="D3720" t="inlineStr">
        <is>
          <t>JÖNKÖPINGS LÄN</t>
        </is>
      </c>
      <c r="E3720" t="inlineStr">
        <is>
          <t>VAGGERYD</t>
        </is>
      </c>
      <c r="F3720" t="inlineStr">
        <is>
          <t>Sveaskog</t>
        </is>
      </c>
      <c r="G3720" t="n">
        <v>1.7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23075-2025</t>
        </is>
      </c>
      <c r="B3721" s="1" t="n">
        <v>45790.89461805556</v>
      </c>
      <c r="C3721" s="1" t="n">
        <v>45962</v>
      </c>
      <c r="D3721" t="inlineStr">
        <is>
          <t>JÖNKÖPINGS LÄN</t>
        </is>
      </c>
      <c r="E3721" t="inlineStr">
        <is>
          <t>VAGGERYD</t>
        </is>
      </c>
      <c r="F3721" t="inlineStr">
        <is>
          <t>Sveaskog</t>
        </is>
      </c>
      <c r="G3721" t="n">
        <v>4.6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45743-2024</t>
        </is>
      </c>
      <c r="B3722" s="1" t="n">
        <v>45579.6247337963</v>
      </c>
      <c r="C3722" s="1" t="n">
        <v>45962</v>
      </c>
      <c r="D3722" t="inlineStr">
        <is>
          <t>JÖNKÖPINGS LÄN</t>
        </is>
      </c>
      <c r="E3722" t="inlineStr">
        <is>
          <t>EKSJÖ</t>
        </is>
      </c>
      <c r="G3722" t="n">
        <v>1.6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25786-2022</t>
        </is>
      </c>
      <c r="B3723" s="1" t="n">
        <v>44733</v>
      </c>
      <c r="C3723" s="1" t="n">
        <v>45962</v>
      </c>
      <c r="D3723" t="inlineStr">
        <is>
          <t>JÖNKÖPINGS LÄN</t>
        </is>
      </c>
      <c r="E3723" t="inlineStr">
        <is>
          <t>VETLANDA</t>
        </is>
      </c>
      <c r="G3723" t="n">
        <v>1.3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38843-2022</t>
        </is>
      </c>
      <c r="B3724" s="1" t="n">
        <v>44816</v>
      </c>
      <c r="C3724" s="1" t="n">
        <v>45962</v>
      </c>
      <c r="D3724" t="inlineStr">
        <is>
          <t>JÖNKÖPINGS LÄN</t>
        </is>
      </c>
      <c r="E3724" t="inlineStr">
        <is>
          <t>VETLANDA</t>
        </is>
      </c>
      <c r="G3724" t="n">
        <v>0.8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23071-2025</t>
        </is>
      </c>
      <c r="B3725" s="1" t="n">
        <v>45790.88809027777</v>
      </c>
      <c r="C3725" s="1" t="n">
        <v>45962</v>
      </c>
      <c r="D3725" t="inlineStr">
        <is>
          <t>JÖNKÖPINGS LÄN</t>
        </is>
      </c>
      <c r="E3725" t="inlineStr">
        <is>
          <t>VAGGERYD</t>
        </is>
      </c>
      <c r="F3725" t="inlineStr">
        <is>
          <t>Sveaskog</t>
        </is>
      </c>
      <c r="G3725" t="n">
        <v>2.8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36070-2024</t>
        </is>
      </c>
      <c r="B3726" s="1" t="n">
        <v>45533.65033564815</v>
      </c>
      <c r="C3726" s="1" t="n">
        <v>45962</v>
      </c>
      <c r="D3726" t="inlineStr">
        <is>
          <t>JÖNKÖPINGS LÄN</t>
        </is>
      </c>
      <c r="E3726" t="inlineStr">
        <is>
          <t>EKSJÖ</t>
        </is>
      </c>
      <c r="G3726" t="n">
        <v>0.8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3819-2022</t>
        </is>
      </c>
      <c r="B3727" s="1" t="n">
        <v>44587.3328587963</v>
      </c>
      <c r="C3727" s="1" t="n">
        <v>45962</v>
      </c>
      <c r="D3727" t="inlineStr">
        <is>
          <t>JÖNKÖPINGS LÄN</t>
        </is>
      </c>
      <c r="E3727" t="inlineStr">
        <is>
          <t>VETLANDA</t>
        </is>
      </c>
      <c r="G3727" t="n">
        <v>2.2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4905-2024</t>
        </is>
      </c>
      <c r="B3728" s="1" t="n">
        <v>45329</v>
      </c>
      <c r="C3728" s="1" t="n">
        <v>45962</v>
      </c>
      <c r="D3728" t="inlineStr">
        <is>
          <t>JÖNKÖPINGS LÄN</t>
        </is>
      </c>
      <c r="E3728" t="inlineStr">
        <is>
          <t>VETLANDA</t>
        </is>
      </c>
      <c r="G3728" t="n">
        <v>0.8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47276-2024</t>
        </is>
      </c>
      <c r="B3729" s="1" t="n">
        <v>45586.90974537037</v>
      </c>
      <c r="C3729" s="1" t="n">
        <v>45962</v>
      </c>
      <c r="D3729" t="inlineStr">
        <is>
          <t>JÖNKÖPINGS LÄN</t>
        </is>
      </c>
      <c r="E3729" t="inlineStr">
        <is>
          <t>VETLANDA</t>
        </is>
      </c>
      <c r="G3729" t="n">
        <v>2.6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17288-2022</t>
        </is>
      </c>
      <c r="B3730" s="1" t="n">
        <v>44678.46045138889</v>
      </c>
      <c r="C3730" s="1" t="n">
        <v>45962</v>
      </c>
      <c r="D3730" t="inlineStr">
        <is>
          <t>JÖNKÖPINGS LÄN</t>
        </is>
      </c>
      <c r="E3730" t="inlineStr">
        <is>
          <t>VÄRNAMO</t>
        </is>
      </c>
      <c r="G3730" t="n">
        <v>0.6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4944-2024</t>
        </is>
      </c>
      <c r="B3731" s="1" t="n">
        <v>45329</v>
      </c>
      <c r="C3731" s="1" t="n">
        <v>45962</v>
      </c>
      <c r="D3731" t="inlineStr">
        <is>
          <t>JÖNKÖPINGS LÄN</t>
        </is>
      </c>
      <c r="E3731" t="inlineStr">
        <is>
          <t>VETLANDA</t>
        </is>
      </c>
      <c r="G3731" t="n">
        <v>1.2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4282-2022</t>
        </is>
      </c>
      <c r="B3732" s="1" t="n">
        <v>44588.71358796296</v>
      </c>
      <c r="C3732" s="1" t="n">
        <v>45962</v>
      </c>
      <c r="D3732" t="inlineStr">
        <is>
          <t>JÖNKÖPINGS LÄN</t>
        </is>
      </c>
      <c r="E3732" t="inlineStr">
        <is>
          <t>GISLAVED</t>
        </is>
      </c>
      <c r="G3732" t="n">
        <v>0.6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17855-2022</t>
        </is>
      </c>
      <c r="B3733" s="1" t="n">
        <v>44683</v>
      </c>
      <c r="C3733" s="1" t="n">
        <v>45962</v>
      </c>
      <c r="D3733" t="inlineStr">
        <is>
          <t>JÖNKÖPINGS LÄN</t>
        </is>
      </c>
      <c r="E3733" t="inlineStr">
        <is>
          <t>VETLANDA</t>
        </is>
      </c>
      <c r="G3733" t="n">
        <v>1.5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23379-2025</t>
        </is>
      </c>
      <c r="B3734" s="1" t="n">
        <v>45791.8044212963</v>
      </c>
      <c r="C3734" s="1" t="n">
        <v>45962</v>
      </c>
      <c r="D3734" t="inlineStr">
        <is>
          <t>JÖNKÖPINGS LÄN</t>
        </is>
      </c>
      <c r="E3734" t="inlineStr">
        <is>
          <t>NÄSSJÖ</t>
        </is>
      </c>
      <c r="G3734" t="n">
        <v>1.4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23382-2025</t>
        </is>
      </c>
      <c r="B3735" s="1" t="n">
        <v>45791.81430555556</v>
      </c>
      <c r="C3735" s="1" t="n">
        <v>45962</v>
      </c>
      <c r="D3735" t="inlineStr">
        <is>
          <t>JÖNKÖPINGS LÄN</t>
        </is>
      </c>
      <c r="E3735" t="inlineStr">
        <is>
          <t>NÄSSJÖ</t>
        </is>
      </c>
      <c r="G3735" t="n">
        <v>3.5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23387-2025</t>
        </is>
      </c>
      <c r="B3736" s="1" t="n">
        <v>45791.85148148148</v>
      </c>
      <c r="C3736" s="1" t="n">
        <v>45962</v>
      </c>
      <c r="D3736" t="inlineStr">
        <is>
          <t>JÖNKÖPINGS LÄN</t>
        </is>
      </c>
      <c r="E3736" t="inlineStr">
        <is>
          <t>EKSJÖ</t>
        </is>
      </c>
      <c r="G3736" t="n">
        <v>0.5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32623-2022</t>
        </is>
      </c>
      <c r="B3737" s="1" t="n">
        <v>44783</v>
      </c>
      <c r="C3737" s="1" t="n">
        <v>45962</v>
      </c>
      <c r="D3737" t="inlineStr">
        <is>
          <t>JÖNKÖPINGS LÄN</t>
        </is>
      </c>
      <c r="E3737" t="inlineStr">
        <is>
          <t>EKSJÖ</t>
        </is>
      </c>
      <c r="G3737" t="n">
        <v>2.7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32651-2022</t>
        </is>
      </c>
      <c r="B3738" s="1" t="n">
        <v>44783.50346064815</v>
      </c>
      <c r="C3738" s="1" t="n">
        <v>45962</v>
      </c>
      <c r="D3738" t="inlineStr">
        <is>
          <t>JÖNKÖPINGS LÄN</t>
        </is>
      </c>
      <c r="E3738" t="inlineStr">
        <is>
          <t>VETLANDA</t>
        </is>
      </c>
      <c r="G3738" t="n">
        <v>1.7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23388-2025</t>
        </is>
      </c>
      <c r="B3739" s="1" t="n">
        <v>45791.85385416666</v>
      </c>
      <c r="C3739" s="1" t="n">
        <v>45962</v>
      </c>
      <c r="D3739" t="inlineStr">
        <is>
          <t>JÖNKÖPINGS LÄN</t>
        </is>
      </c>
      <c r="E3739" t="inlineStr">
        <is>
          <t>NÄSSJÖ</t>
        </is>
      </c>
      <c r="G3739" t="n">
        <v>10.4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23389-2025</t>
        </is>
      </c>
      <c r="B3740" s="1" t="n">
        <v>45791.85732638889</v>
      </c>
      <c r="C3740" s="1" t="n">
        <v>45962</v>
      </c>
      <c r="D3740" t="inlineStr">
        <is>
          <t>JÖNKÖPINGS LÄN</t>
        </is>
      </c>
      <c r="E3740" t="inlineStr">
        <is>
          <t>JÖNKÖPING</t>
        </is>
      </c>
      <c r="G3740" t="n">
        <v>0.5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23396-2025</t>
        </is>
      </c>
      <c r="B3741" s="1" t="n">
        <v>45791.90171296296</v>
      </c>
      <c r="C3741" s="1" t="n">
        <v>45962</v>
      </c>
      <c r="D3741" t="inlineStr">
        <is>
          <t>JÖNKÖPINGS LÄN</t>
        </is>
      </c>
      <c r="E3741" t="inlineStr">
        <is>
          <t>SÄVSJÖ</t>
        </is>
      </c>
      <c r="G3741" t="n">
        <v>0.9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35417-2023</t>
        </is>
      </c>
      <c r="B3742" s="1" t="n">
        <v>45146.61756944445</v>
      </c>
      <c r="C3742" s="1" t="n">
        <v>45962</v>
      </c>
      <c r="D3742" t="inlineStr">
        <is>
          <t>JÖNKÖPINGS LÄN</t>
        </is>
      </c>
      <c r="E3742" t="inlineStr">
        <is>
          <t>ANEBY</t>
        </is>
      </c>
      <c r="G3742" t="n">
        <v>0.5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5737-2021</t>
        </is>
      </c>
      <c r="B3743" s="1" t="n">
        <v>44230</v>
      </c>
      <c r="C3743" s="1" t="n">
        <v>45962</v>
      </c>
      <c r="D3743" t="inlineStr">
        <is>
          <t>JÖNKÖPINGS LÄN</t>
        </is>
      </c>
      <c r="E3743" t="inlineStr">
        <is>
          <t>GNOSJÖ</t>
        </is>
      </c>
      <c r="G3743" t="n">
        <v>14.9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28457-2023</t>
        </is>
      </c>
      <c r="B3744" s="1" t="n">
        <v>45103.36048611111</v>
      </c>
      <c r="C3744" s="1" t="n">
        <v>45962</v>
      </c>
      <c r="D3744" t="inlineStr">
        <is>
          <t>JÖNKÖPINGS LÄN</t>
        </is>
      </c>
      <c r="E3744" t="inlineStr">
        <is>
          <t>NÄSSJÖ</t>
        </is>
      </c>
      <c r="G3744" t="n">
        <v>0.6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15263-2024</t>
        </is>
      </c>
      <c r="B3745" s="1" t="n">
        <v>45400.56280092592</v>
      </c>
      <c r="C3745" s="1" t="n">
        <v>45962</v>
      </c>
      <c r="D3745" t="inlineStr">
        <is>
          <t>JÖNKÖPINGS LÄN</t>
        </is>
      </c>
      <c r="E3745" t="inlineStr">
        <is>
          <t>VAGGERYD</t>
        </is>
      </c>
      <c r="G3745" t="n">
        <v>3.9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31621-2023</t>
        </is>
      </c>
      <c r="B3746" s="1" t="n">
        <v>45117</v>
      </c>
      <c r="C3746" s="1" t="n">
        <v>45962</v>
      </c>
      <c r="D3746" t="inlineStr">
        <is>
          <t>JÖNKÖPINGS LÄN</t>
        </is>
      </c>
      <c r="E3746" t="inlineStr">
        <is>
          <t>VETLANDA</t>
        </is>
      </c>
      <c r="G3746" t="n">
        <v>0.5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22749-2021</t>
        </is>
      </c>
      <c r="B3747" s="1" t="n">
        <v>44327</v>
      </c>
      <c r="C3747" s="1" t="n">
        <v>45962</v>
      </c>
      <c r="D3747" t="inlineStr">
        <is>
          <t>JÖNKÖPINGS LÄN</t>
        </is>
      </c>
      <c r="E3747" t="inlineStr">
        <is>
          <t>VETLANDA</t>
        </is>
      </c>
      <c r="G3747" t="n">
        <v>2.5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51374-2024</t>
        </is>
      </c>
      <c r="B3748" s="1" t="n">
        <v>45604.37716435185</v>
      </c>
      <c r="C3748" s="1" t="n">
        <v>45962</v>
      </c>
      <c r="D3748" t="inlineStr">
        <is>
          <t>JÖNKÖPINGS LÄN</t>
        </is>
      </c>
      <c r="E3748" t="inlineStr">
        <is>
          <t>NÄSSJÖ</t>
        </is>
      </c>
      <c r="G3748" t="n">
        <v>0.5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23377-2025</t>
        </is>
      </c>
      <c r="B3749" s="1" t="n">
        <v>45791.79814814815</v>
      </c>
      <c r="C3749" s="1" t="n">
        <v>45962</v>
      </c>
      <c r="D3749" t="inlineStr">
        <is>
          <t>JÖNKÖPINGS LÄN</t>
        </is>
      </c>
      <c r="E3749" t="inlineStr">
        <is>
          <t>NÄSSJÖ</t>
        </is>
      </c>
      <c r="G3749" t="n">
        <v>1.2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59180-2022</t>
        </is>
      </c>
      <c r="B3750" s="1" t="n">
        <v>44904.4882175926</v>
      </c>
      <c r="C3750" s="1" t="n">
        <v>45962</v>
      </c>
      <c r="D3750" t="inlineStr">
        <is>
          <t>JÖNKÖPINGS LÄN</t>
        </is>
      </c>
      <c r="E3750" t="inlineStr">
        <is>
          <t>VAGGERYD</t>
        </is>
      </c>
      <c r="G3750" t="n">
        <v>0.6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59181-2022</t>
        </is>
      </c>
      <c r="B3751" s="1" t="n">
        <v>44896</v>
      </c>
      <c r="C3751" s="1" t="n">
        <v>45962</v>
      </c>
      <c r="D3751" t="inlineStr">
        <is>
          <t>JÖNKÖPINGS LÄN</t>
        </is>
      </c>
      <c r="E3751" t="inlineStr">
        <is>
          <t>GISLAVED</t>
        </is>
      </c>
      <c r="G3751" t="n">
        <v>1.5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23713-2025</t>
        </is>
      </c>
      <c r="B3752" s="1" t="n">
        <v>45793.38538194444</v>
      </c>
      <c r="C3752" s="1" t="n">
        <v>45962</v>
      </c>
      <c r="D3752" t="inlineStr">
        <is>
          <t>JÖNKÖPINGS LÄN</t>
        </is>
      </c>
      <c r="E3752" t="inlineStr">
        <is>
          <t>VAGGERYD</t>
        </is>
      </c>
      <c r="G3752" t="n">
        <v>2.6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61871-2023</t>
        </is>
      </c>
      <c r="B3753" s="1" t="n">
        <v>45266.4074537037</v>
      </c>
      <c r="C3753" s="1" t="n">
        <v>45962</v>
      </c>
      <c r="D3753" t="inlineStr">
        <is>
          <t>JÖNKÖPINGS LÄN</t>
        </is>
      </c>
      <c r="E3753" t="inlineStr">
        <is>
          <t>GISLAVED</t>
        </is>
      </c>
      <c r="G3753" t="n">
        <v>1.5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13801-2021</t>
        </is>
      </c>
      <c r="B3754" s="1" t="n">
        <v>44275.78903935185</v>
      </c>
      <c r="C3754" s="1" t="n">
        <v>45962</v>
      </c>
      <c r="D3754" t="inlineStr">
        <is>
          <t>JÖNKÖPINGS LÄN</t>
        </is>
      </c>
      <c r="E3754" t="inlineStr">
        <is>
          <t>GISLAVED</t>
        </is>
      </c>
      <c r="G3754" t="n">
        <v>2.3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18135-2023</t>
        </is>
      </c>
      <c r="B3755" s="1" t="n">
        <v>45040</v>
      </c>
      <c r="C3755" s="1" t="n">
        <v>45962</v>
      </c>
      <c r="D3755" t="inlineStr">
        <is>
          <t>JÖNKÖPINGS LÄN</t>
        </is>
      </c>
      <c r="E3755" t="inlineStr">
        <is>
          <t>SÄVSJÖ</t>
        </is>
      </c>
      <c r="G3755" t="n">
        <v>6.2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54021-2024</t>
        </is>
      </c>
      <c r="B3756" s="1" t="n">
        <v>45616.38618055556</v>
      </c>
      <c r="C3756" s="1" t="n">
        <v>45962</v>
      </c>
      <c r="D3756" t="inlineStr">
        <is>
          <t>JÖNKÖPINGS LÄN</t>
        </is>
      </c>
      <c r="E3756" t="inlineStr">
        <is>
          <t>EKSJÖ</t>
        </is>
      </c>
      <c r="G3756" t="n">
        <v>1.6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3711-2024</t>
        </is>
      </c>
      <c r="B3757" s="1" t="n">
        <v>45321</v>
      </c>
      <c r="C3757" s="1" t="n">
        <v>45962</v>
      </c>
      <c r="D3757" t="inlineStr">
        <is>
          <t>JÖNKÖPINGS LÄN</t>
        </is>
      </c>
      <c r="E3757" t="inlineStr">
        <is>
          <t>TRANÅS</t>
        </is>
      </c>
      <c r="G3757" t="n">
        <v>1.9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13295-2025</t>
        </is>
      </c>
      <c r="B3758" s="1" t="n">
        <v>45735.57356481482</v>
      </c>
      <c r="C3758" s="1" t="n">
        <v>45962</v>
      </c>
      <c r="D3758" t="inlineStr">
        <is>
          <t>JÖNKÖPINGS LÄN</t>
        </is>
      </c>
      <c r="E3758" t="inlineStr">
        <is>
          <t>GISLAVED</t>
        </is>
      </c>
      <c r="G3758" t="n">
        <v>0.6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5492-2025</t>
        </is>
      </c>
      <c r="B3759" s="1" t="n">
        <v>45693.37408564815</v>
      </c>
      <c r="C3759" s="1" t="n">
        <v>45962</v>
      </c>
      <c r="D3759" t="inlineStr">
        <is>
          <t>JÖNKÖPINGS LÄN</t>
        </is>
      </c>
      <c r="E3759" t="inlineStr">
        <is>
          <t>VETLANDA</t>
        </is>
      </c>
      <c r="G3759" t="n">
        <v>2.4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13312-2025</t>
        </is>
      </c>
      <c r="B3760" s="1" t="n">
        <v>45735.5909375</v>
      </c>
      <c r="C3760" s="1" t="n">
        <v>45962</v>
      </c>
      <c r="D3760" t="inlineStr">
        <is>
          <t>JÖNKÖPINGS LÄN</t>
        </is>
      </c>
      <c r="E3760" t="inlineStr">
        <is>
          <t>GISLAVED</t>
        </is>
      </c>
      <c r="G3760" t="n">
        <v>2.9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27786-2024</t>
        </is>
      </c>
      <c r="B3761" s="1" t="n">
        <v>45475</v>
      </c>
      <c r="C3761" s="1" t="n">
        <v>45962</v>
      </c>
      <c r="D3761" t="inlineStr">
        <is>
          <t>JÖNKÖPINGS LÄN</t>
        </is>
      </c>
      <c r="E3761" t="inlineStr">
        <is>
          <t>TRANÅS</t>
        </is>
      </c>
      <c r="G3761" t="n">
        <v>9.199999999999999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27796-2024</t>
        </is>
      </c>
      <c r="B3762" s="1" t="n">
        <v>45475.56065972222</v>
      </c>
      <c r="C3762" s="1" t="n">
        <v>45962</v>
      </c>
      <c r="D3762" t="inlineStr">
        <is>
          <t>JÖNKÖPINGS LÄN</t>
        </is>
      </c>
      <c r="E3762" t="inlineStr">
        <is>
          <t>HABO</t>
        </is>
      </c>
      <c r="G3762" t="n">
        <v>1.9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59888-2023</t>
        </is>
      </c>
      <c r="B3763" s="1" t="n">
        <v>45257.60269675926</v>
      </c>
      <c r="C3763" s="1" t="n">
        <v>45962</v>
      </c>
      <c r="D3763" t="inlineStr">
        <is>
          <t>JÖNKÖPINGS LÄN</t>
        </is>
      </c>
      <c r="E3763" t="inlineStr">
        <is>
          <t>NÄSSJÖ</t>
        </is>
      </c>
      <c r="G3763" t="n">
        <v>2.5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10621-2025</t>
        </is>
      </c>
      <c r="B3764" s="1" t="n">
        <v>45721.62189814815</v>
      </c>
      <c r="C3764" s="1" t="n">
        <v>45962</v>
      </c>
      <c r="D3764" t="inlineStr">
        <is>
          <t>JÖNKÖPINGS LÄN</t>
        </is>
      </c>
      <c r="E3764" t="inlineStr">
        <is>
          <t>VÄRNAMO</t>
        </is>
      </c>
      <c r="G3764" t="n">
        <v>1.5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37814-2024</t>
        </is>
      </c>
      <c r="B3765" s="1" t="n">
        <v>45544.31252314815</v>
      </c>
      <c r="C3765" s="1" t="n">
        <v>45962</v>
      </c>
      <c r="D3765" t="inlineStr">
        <is>
          <t>JÖNKÖPINGS LÄN</t>
        </is>
      </c>
      <c r="E3765" t="inlineStr">
        <is>
          <t>SÄVSJÖ</t>
        </is>
      </c>
      <c r="G3765" t="n">
        <v>2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10698-2025</t>
        </is>
      </c>
      <c r="B3766" s="1" t="n">
        <v>45722.31128472222</v>
      </c>
      <c r="C3766" s="1" t="n">
        <v>45962</v>
      </c>
      <c r="D3766" t="inlineStr">
        <is>
          <t>JÖNKÖPINGS LÄN</t>
        </is>
      </c>
      <c r="E3766" t="inlineStr">
        <is>
          <t>VETLANDA</t>
        </is>
      </c>
      <c r="G3766" t="n">
        <v>0.8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1306-2023</t>
        </is>
      </c>
      <c r="B3767" s="1" t="n">
        <v>44936</v>
      </c>
      <c r="C3767" s="1" t="n">
        <v>45962</v>
      </c>
      <c r="D3767" t="inlineStr">
        <is>
          <t>JÖNKÖPINGS LÄN</t>
        </is>
      </c>
      <c r="E3767" t="inlineStr">
        <is>
          <t>JÖNKÖPING</t>
        </is>
      </c>
      <c r="G3767" t="n">
        <v>3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12544-2025</t>
        </is>
      </c>
      <c r="B3768" s="1" t="n">
        <v>45730.80828703703</v>
      </c>
      <c r="C3768" s="1" t="n">
        <v>45962</v>
      </c>
      <c r="D3768" t="inlineStr">
        <is>
          <t>JÖNKÖPINGS LÄN</t>
        </is>
      </c>
      <c r="E3768" t="inlineStr">
        <is>
          <t>VÄRNAMO</t>
        </is>
      </c>
      <c r="G3768" t="n">
        <v>0.8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23660-2025</t>
        </is>
      </c>
      <c r="B3769" s="1" t="n">
        <v>45792.75988425926</v>
      </c>
      <c r="C3769" s="1" t="n">
        <v>45962</v>
      </c>
      <c r="D3769" t="inlineStr">
        <is>
          <t>JÖNKÖPINGS LÄN</t>
        </is>
      </c>
      <c r="E3769" t="inlineStr">
        <is>
          <t>GISLAVED</t>
        </is>
      </c>
      <c r="G3769" t="n">
        <v>0.7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23671-2025</t>
        </is>
      </c>
      <c r="B3770" s="1" t="n">
        <v>45792.95465277778</v>
      </c>
      <c r="C3770" s="1" t="n">
        <v>45962</v>
      </c>
      <c r="D3770" t="inlineStr">
        <is>
          <t>JÖNKÖPINGS LÄN</t>
        </is>
      </c>
      <c r="E3770" t="inlineStr">
        <is>
          <t>VÄRNAMO</t>
        </is>
      </c>
      <c r="G3770" t="n">
        <v>0.6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23681-2025</t>
        </is>
      </c>
      <c r="B3771" s="1" t="n">
        <v>45793.33966435185</v>
      </c>
      <c r="C3771" s="1" t="n">
        <v>45962</v>
      </c>
      <c r="D3771" t="inlineStr">
        <is>
          <t>JÖNKÖPINGS LÄN</t>
        </is>
      </c>
      <c r="E3771" t="inlineStr">
        <is>
          <t>GISLAVED</t>
        </is>
      </c>
      <c r="G3771" t="n">
        <v>0.7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36069-2024</t>
        </is>
      </c>
      <c r="B3772" s="1" t="n">
        <v>45533.64871527778</v>
      </c>
      <c r="C3772" s="1" t="n">
        <v>45962</v>
      </c>
      <c r="D3772" t="inlineStr">
        <is>
          <t>JÖNKÖPINGS LÄN</t>
        </is>
      </c>
      <c r="E3772" t="inlineStr">
        <is>
          <t>EKSJÖ</t>
        </is>
      </c>
      <c r="G3772" t="n">
        <v>1.5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21795-2023</t>
        </is>
      </c>
      <c r="B3773" s="1" t="n">
        <v>45067.58128472222</v>
      </c>
      <c r="C3773" s="1" t="n">
        <v>45962</v>
      </c>
      <c r="D3773" t="inlineStr">
        <is>
          <t>JÖNKÖPINGS LÄN</t>
        </is>
      </c>
      <c r="E3773" t="inlineStr">
        <is>
          <t>SÄVSJÖ</t>
        </is>
      </c>
      <c r="G3773" t="n">
        <v>2.2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36944-2024</t>
        </is>
      </c>
      <c r="B3774" s="1" t="n">
        <v>45538</v>
      </c>
      <c r="C3774" s="1" t="n">
        <v>45962</v>
      </c>
      <c r="D3774" t="inlineStr">
        <is>
          <t>JÖNKÖPINGS LÄN</t>
        </is>
      </c>
      <c r="E3774" t="inlineStr">
        <is>
          <t>JÖNKÖPING</t>
        </is>
      </c>
      <c r="G3774" t="n">
        <v>0.5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23378-2025</t>
        </is>
      </c>
      <c r="B3775" s="1" t="n">
        <v>45791.80203703704</v>
      </c>
      <c r="C3775" s="1" t="n">
        <v>45962</v>
      </c>
      <c r="D3775" t="inlineStr">
        <is>
          <t>JÖNKÖPINGS LÄN</t>
        </is>
      </c>
      <c r="E3775" t="inlineStr">
        <is>
          <t>NÄSSJÖ</t>
        </is>
      </c>
      <c r="G3775" t="n">
        <v>0.5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19695-2025</t>
        </is>
      </c>
      <c r="B3776" s="1" t="n">
        <v>45770</v>
      </c>
      <c r="C3776" s="1" t="n">
        <v>45962</v>
      </c>
      <c r="D3776" t="inlineStr">
        <is>
          <t>JÖNKÖPINGS LÄN</t>
        </is>
      </c>
      <c r="E3776" t="inlineStr">
        <is>
          <t>TRANÅS</t>
        </is>
      </c>
      <c r="G3776" t="n">
        <v>1.1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23381-2025</t>
        </is>
      </c>
      <c r="B3777" s="1" t="n">
        <v>45791.80574074074</v>
      </c>
      <c r="C3777" s="1" t="n">
        <v>45962</v>
      </c>
      <c r="D3777" t="inlineStr">
        <is>
          <t>JÖNKÖPINGS LÄN</t>
        </is>
      </c>
      <c r="E3777" t="inlineStr">
        <is>
          <t>NÄSSJÖ</t>
        </is>
      </c>
      <c r="G3777" t="n">
        <v>3.2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23386-2025</t>
        </is>
      </c>
      <c r="B3778" s="1" t="n">
        <v>45791.84987268518</v>
      </c>
      <c r="C3778" s="1" t="n">
        <v>45962</v>
      </c>
      <c r="D3778" t="inlineStr">
        <is>
          <t>JÖNKÖPINGS LÄN</t>
        </is>
      </c>
      <c r="E3778" t="inlineStr">
        <is>
          <t>EKSJÖ</t>
        </is>
      </c>
      <c r="G3778" t="n">
        <v>1.1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23395-2025</t>
        </is>
      </c>
      <c r="B3779" s="1" t="n">
        <v>45791.90017361111</v>
      </c>
      <c r="C3779" s="1" t="n">
        <v>45962</v>
      </c>
      <c r="D3779" t="inlineStr">
        <is>
          <t>JÖNKÖPINGS LÄN</t>
        </is>
      </c>
      <c r="E3779" t="inlineStr">
        <is>
          <t>SÄVSJÖ</t>
        </is>
      </c>
      <c r="G3779" t="n">
        <v>6.8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19702-2025</t>
        </is>
      </c>
      <c r="B3780" s="1" t="n">
        <v>45771.32804398148</v>
      </c>
      <c r="C3780" s="1" t="n">
        <v>45962</v>
      </c>
      <c r="D3780" t="inlineStr">
        <is>
          <t>JÖNKÖPINGS LÄN</t>
        </is>
      </c>
      <c r="E3780" t="inlineStr">
        <is>
          <t>SÄVSJÖ</t>
        </is>
      </c>
      <c r="G3780" t="n">
        <v>2.5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1793-2022</t>
        </is>
      </c>
      <c r="B3781" s="1" t="n">
        <v>44574</v>
      </c>
      <c r="C3781" s="1" t="n">
        <v>45962</v>
      </c>
      <c r="D3781" t="inlineStr">
        <is>
          <t>JÖNKÖPINGS LÄN</t>
        </is>
      </c>
      <c r="E3781" t="inlineStr">
        <is>
          <t>EKSJÖ</t>
        </is>
      </c>
      <c r="G3781" t="n">
        <v>2.4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42364-2022</t>
        </is>
      </c>
      <c r="B3782" s="1" t="n">
        <v>44830</v>
      </c>
      <c r="C3782" s="1" t="n">
        <v>45962</v>
      </c>
      <c r="D3782" t="inlineStr">
        <is>
          <t>JÖNKÖPINGS LÄN</t>
        </is>
      </c>
      <c r="E3782" t="inlineStr">
        <is>
          <t>VETLANDA</t>
        </is>
      </c>
      <c r="G3782" t="n">
        <v>1.8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14418-2023</t>
        </is>
      </c>
      <c r="B3783" s="1" t="n">
        <v>45012</v>
      </c>
      <c r="C3783" s="1" t="n">
        <v>45962</v>
      </c>
      <c r="D3783" t="inlineStr">
        <is>
          <t>JÖNKÖPINGS LÄN</t>
        </is>
      </c>
      <c r="E3783" t="inlineStr">
        <is>
          <t>VAGGERYD</t>
        </is>
      </c>
      <c r="G3783" t="n">
        <v>6.7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14422-2023</t>
        </is>
      </c>
      <c r="B3784" s="1" t="n">
        <v>45012.53863425926</v>
      </c>
      <c r="C3784" s="1" t="n">
        <v>45962</v>
      </c>
      <c r="D3784" t="inlineStr">
        <is>
          <t>JÖNKÖPINGS LÄN</t>
        </is>
      </c>
      <c r="E3784" t="inlineStr">
        <is>
          <t>VAGGERYD</t>
        </is>
      </c>
      <c r="G3784" t="n">
        <v>5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57119-2023</t>
        </is>
      </c>
      <c r="B3785" s="1" t="n">
        <v>45245.36645833333</v>
      </c>
      <c r="C3785" s="1" t="n">
        <v>45962</v>
      </c>
      <c r="D3785" t="inlineStr">
        <is>
          <t>JÖNKÖPINGS LÄN</t>
        </is>
      </c>
      <c r="E3785" t="inlineStr">
        <is>
          <t>VÄRNAMO</t>
        </is>
      </c>
      <c r="G3785" t="n">
        <v>0.5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23581-2025</t>
        </is>
      </c>
      <c r="B3786" s="1" t="n">
        <v>45792.62685185186</v>
      </c>
      <c r="C3786" s="1" t="n">
        <v>45962</v>
      </c>
      <c r="D3786" t="inlineStr">
        <is>
          <t>JÖNKÖPINGS LÄN</t>
        </is>
      </c>
      <c r="E3786" t="inlineStr">
        <is>
          <t>VETLANDA</t>
        </is>
      </c>
      <c r="G3786" t="n">
        <v>1.3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37846-2024</t>
        </is>
      </c>
      <c r="B3787" s="1" t="n">
        <v>45544.37059027778</v>
      </c>
      <c r="C3787" s="1" t="n">
        <v>45962</v>
      </c>
      <c r="D3787" t="inlineStr">
        <is>
          <t>JÖNKÖPINGS LÄN</t>
        </is>
      </c>
      <c r="E3787" t="inlineStr">
        <is>
          <t>VETLANDA</t>
        </is>
      </c>
      <c r="G3787" t="n">
        <v>1.4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23705-2025</t>
        </is>
      </c>
      <c r="B3788" s="1" t="n">
        <v>45793.36877314815</v>
      </c>
      <c r="C3788" s="1" t="n">
        <v>45962</v>
      </c>
      <c r="D3788" t="inlineStr">
        <is>
          <t>JÖNKÖPINGS LÄN</t>
        </is>
      </c>
      <c r="E3788" t="inlineStr">
        <is>
          <t>TRANÅS</t>
        </is>
      </c>
      <c r="F3788" t="inlineStr">
        <is>
          <t>Kyrkan</t>
        </is>
      </c>
      <c r="G3788" t="n">
        <v>13.1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33767-2023</t>
        </is>
      </c>
      <c r="B3789" s="1" t="n">
        <v>45133</v>
      </c>
      <c r="C3789" s="1" t="n">
        <v>45962</v>
      </c>
      <c r="D3789" t="inlineStr">
        <is>
          <t>JÖNKÖPINGS LÄN</t>
        </is>
      </c>
      <c r="E3789" t="inlineStr">
        <is>
          <t>VETLANDA</t>
        </is>
      </c>
      <c r="G3789" t="n">
        <v>6.2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16547-2024</t>
        </is>
      </c>
      <c r="B3790" s="1" t="n">
        <v>45408.44111111111</v>
      </c>
      <c r="C3790" s="1" t="n">
        <v>45962</v>
      </c>
      <c r="D3790" t="inlineStr">
        <is>
          <t>JÖNKÖPINGS LÄN</t>
        </is>
      </c>
      <c r="E3790" t="inlineStr">
        <is>
          <t>VETLANDA</t>
        </is>
      </c>
      <c r="G3790" t="n">
        <v>1.8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40017-2024</t>
        </is>
      </c>
      <c r="B3791" s="1" t="n">
        <v>45553.66359953704</v>
      </c>
      <c r="C3791" s="1" t="n">
        <v>45962</v>
      </c>
      <c r="D3791" t="inlineStr">
        <is>
          <t>JÖNKÖPINGS LÄN</t>
        </is>
      </c>
      <c r="E3791" t="inlineStr">
        <is>
          <t>ANEBY</t>
        </is>
      </c>
      <c r="G3791" t="n">
        <v>3.4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30641-2024</t>
        </is>
      </c>
      <c r="B3792" s="1" t="n">
        <v>45495.57349537037</v>
      </c>
      <c r="C3792" s="1" t="n">
        <v>45962</v>
      </c>
      <c r="D3792" t="inlineStr">
        <is>
          <t>JÖNKÖPINGS LÄN</t>
        </is>
      </c>
      <c r="E3792" t="inlineStr">
        <is>
          <t>MULLSJÖ</t>
        </is>
      </c>
      <c r="G3792" t="n">
        <v>2.8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48084-2024</t>
        </is>
      </c>
      <c r="B3793" s="1" t="n">
        <v>45589.5890625</v>
      </c>
      <c r="C3793" s="1" t="n">
        <v>45962</v>
      </c>
      <c r="D3793" t="inlineStr">
        <is>
          <t>JÖNKÖPINGS LÄN</t>
        </is>
      </c>
      <c r="E3793" t="inlineStr">
        <is>
          <t>VETLANDA</t>
        </is>
      </c>
      <c r="G3793" t="n">
        <v>2.7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35120-2022</t>
        </is>
      </c>
      <c r="B3794" s="1" t="n">
        <v>44797.4621412037</v>
      </c>
      <c r="C3794" s="1" t="n">
        <v>45962</v>
      </c>
      <c r="D3794" t="inlineStr">
        <is>
          <t>JÖNKÖPINGS LÄN</t>
        </is>
      </c>
      <c r="E3794" t="inlineStr">
        <is>
          <t>VÄRNAMO</t>
        </is>
      </c>
      <c r="G3794" t="n">
        <v>1.3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23893-2025</t>
        </is>
      </c>
      <c r="B3795" s="1" t="n">
        <v>45793</v>
      </c>
      <c r="C3795" s="1" t="n">
        <v>45962</v>
      </c>
      <c r="D3795" t="inlineStr">
        <is>
          <t>JÖNKÖPINGS LÄN</t>
        </is>
      </c>
      <c r="E3795" t="inlineStr">
        <is>
          <t>JÖNKÖPING</t>
        </is>
      </c>
      <c r="G3795" t="n">
        <v>15.5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23376-2025</t>
        </is>
      </c>
      <c r="B3796" s="1" t="n">
        <v>45791.79378472222</v>
      </c>
      <c r="C3796" s="1" t="n">
        <v>45962</v>
      </c>
      <c r="D3796" t="inlineStr">
        <is>
          <t>JÖNKÖPINGS LÄN</t>
        </is>
      </c>
      <c r="E3796" t="inlineStr">
        <is>
          <t>NÄSSJÖ</t>
        </is>
      </c>
      <c r="G3796" t="n">
        <v>1.8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47325-2024</t>
        </is>
      </c>
      <c r="B3797" s="1" t="n">
        <v>45586</v>
      </c>
      <c r="C3797" s="1" t="n">
        <v>45962</v>
      </c>
      <c r="D3797" t="inlineStr">
        <is>
          <t>JÖNKÖPINGS LÄN</t>
        </is>
      </c>
      <c r="E3797" t="inlineStr">
        <is>
          <t>ANEBY</t>
        </is>
      </c>
      <c r="F3797" t="inlineStr">
        <is>
          <t>Övriga Aktiebolag</t>
        </is>
      </c>
      <c r="G3797" t="n">
        <v>18.6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47330-2024</t>
        </is>
      </c>
      <c r="B3798" s="1" t="n">
        <v>45586</v>
      </c>
      <c r="C3798" s="1" t="n">
        <v>45962</v>
      </c>
      <c r="D3798" t="inlineStr">
        <is>
          <t>JÖNKÖPINGS LÄN</t>
        </is>
      </c>
      <c r="E3798" t="inlineStr">
        <is>
          <t>ANEBY</t>
        </is>
      </c>
      <c r="F3798" t="inlineStr">
        <is>
          <t>Övriga Aktiebolag</t>
        </is>
      </c>
      <c r="G3798" t="n">
        <v>7.5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57703-2024</t>
        </is>
      </c>
      <c r="B3799" s="1" t="n">
        <v>45630.67303240741</v>
      </c>
      <c r="C3799" s="1" t="n">
        <v>45962</v>
      </c>
      <c r="D3799" t="inlineStr">
        <is>
          <t>JÖNKÖPINGS LÄN</t>
        </is>
      </c>
      <c r="E3799" t="inlineStr">
        <is>
          <t>VAGGERYD</t>
        </is>
      </c>
      <c r="G3799" t="n">
        <v>4.6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57721-2024</t>
        </is>
      </c>
      <c r="B3800" s="1" t="n">
        <v>45630.70101851852</v>
      </c>
      <c r="C3800" s="1" t="n">
        <v>45962</v>
      </c>
      <c r="D3800" t="inlineStr">
        <is>
          <t>JÖNKÖPINGS LÄN</t>
        </is>
      </c>
      <c r="E3800" t="inlineStr">
        <is>
          <t>JÖNKÖPING</t>
        </is>
      </c>
      <c r="F3800" t="inlineStr">
        <is>
          <t>Sveaskog</t>
        </is>
      </c>
      <c r="G3800" t="n">
        <v>1.1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47840-2024</t>
        </is>
      </c>
      <c r="B3801" s="1" t="n">
        <v>45588.65200231481</v>
      </c>
      <c r="C3801" s="1" t="n">
        <v>45962</v>
      </c>
      <c r="D3801" t="inlineStr">
        <is>
          <t>JÖNKÖPINGS LÄN</t>
        </is>
      </c>
      <c r="E3801" t="inlineStr">
        <is>
          <t>GISLAVED</t>
        </is>
      </c>
      <c r="G3801" t="n">
        <v>2.5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43371-2022</t>
        </is>
      </c>
      <c r="B3802" s="1" t="n">
        <v>44834.65052083333</v>
      </c>
      <c r="C3802" s="1" t="n">
        <v>45962</v>
      </c>
      <c r="D3802" t="inlineStr">
        <is>
          <t>JÖNKÖPINGS LÄN</t>
        </is>
      </c>
      <c r="E3802" t="inlineStr">
        <is>
          <t>VETLANDA</t>
        </is>
      </c>
      <c r="G3802" t="n">
        <v>2.7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250-2023</t>
        </is>
      </c>
      <c r="B3803" s="1" t="n">
        <v>44928</v>
      </c>
      <c r="C3803" s="1" t="n">
        <v>45962</v>
      </c>
      <c r="D3803" t="inlineStr">
        <is>
          <t>JÖNKÖPINGS LÄN</t>
        </is>
      </c>
      <c r="E3803" t="inlineStr">
        <is>
          <t>NÄSSJÖ</t>
        </is>
      </c>
      <c r="G3803" t="n">
        <v>9.1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253-2023</t>
        </is>
      </c>
      <c r="B3804" s="1" t="n">
        <v>44928</v>
      </c>
      <c r="C3804" s="1" t="n">
        <v>45962</v>
      </c>
      <c r="D3804" t="inlineStr">
        <is>
          <t>JÖNKÖPINGS LÄN</t>
        </is>
      </c>
      <c r="E3804" t="inlineStr">
        <is>
          <t>NÄSSJÖ</t>
        </is>
      </c>
      <c r="G3804" t="n">
        <v>0.6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9297-2025</t>
        </is>
      </c>
      <c r="B3805" s="1" t="n">
        <v>45714.66707175926</v>
      </c>
      <c r="C3805" s="1" t="n">
        <v>45962</v>
      </c>
      <c r="D3805" t="inlineStr">
        <is>
          <t>JÖNKÖPINGS LÄN</t>
        </is>
      </c>
      <c r="E3805" t="inlineStr">
        <is>
          <t>EKSJÖ</t>
        </is>
      </c>
      <c r="F3805" t="inlineStr">
        <is>
          <t>Sveaskog</t>
        </is>
      </c>
      <c r="G3805" t="n">
        <v>6.1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34222-2024</t>
        </is>
      </c>
      <c r="B3806" s="1" t="n">
        <v>45524.5453125</v>
      </c>
      <c r="C3806" s="1" t="n">
        <v>45962</v>
      </c>
      <c r="D3806" t="inlineStr">
        <is>
          <t>JÖNKÖPINGS LÄN</t>
        </is>
      </c>
      <c r="E3806" t="inlineStr">
        <is>
          <t>VÄRNAMO</t>
        </is>
      </c>
      <c r="G3806" t="n">
        <v>1.3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8310-2023</t>
        </is>
      </c>
      <c r="B3807" s="1" t="n">
        <v>44974.69614583333</v>
      </c>
      <c r="C3807" s="1" t="n">
        <v>45962</v>
      </c>
      <c r="D3807" t="inlineStr">
        <is>
          <t>JÖNKÖPINGS LÄN</t>
        </is>
      </c>
      <c r="E3807" t="inlineStr">
        <is>
          <t>GISLAVED</t>
        </is>
      </c>
      <c r="G3807" t="n">
        <v>1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10593-2024</t>
        </is>
      </c>
      <c r="B3808" s="1" t="n">
        <v>45366.75533564815</v>
      </c>
      <c r="C3808" s="1" t="n">
        <v>45962</v>
      </c>
      <c r="D3808" t="inlineStr">
        <is>
          <t>JÖNKÖPINGS LÄN</t>
        </is>
      </c>
      <c r="E3808" t="inlineStr">
        <is>
          <t>VETLANDA</t>
        </is>
      </c>
      <c r="G3808" t="n">
        <v>0.3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49133-2022</t>
        </is>
      </c>
      <c r="B3809" s="1" t="n">
        <v>44860</v>
      </c>
      <c r="C3809" s="1" t="n">
        <v>45962</v>
      </c>
      <c r="D3809" t="inlineStr">
        <is>
          <t>JÖNKÖPINGS LÄN</t>
        </is>
      </c>
      <c r="E3809" t="inlineStr">
        <is>
          <t>ANEBY</t>
        </is>
      </c>
      <c r="G3809" t="n">
        <v>0.9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44210-2024</t>
        </is>
      </c>
      <c r="B3810" s="1" t="n">
        <v>45573.36594907408</v>
      </c>
      <c r="C3810" s="1" t="n">
        <v>45962</v>
      </c>
      <c r="D3810" t="inlineStr">
        <is>
          <t>JÖNKÖPINGS LÄN</t>
        </is>
      </c>
      <c r="E3810" t="inlineStr">
        <is>
          <t>SÄVSJÖ</t>
        </is>
      </c>
      <c r="G3810" t="n">
        <v>2.7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24972-2024</t>
        </is>
      </c>
      <c r="B3811" s="1" t="n">
        <v>45461.65380787037</v>
      </c>
      <c r="C3811" s="1" t="n">
        <v>45962</v>
      </c>
      <c r="D3811" t="inlineStr">
        <is>
          <t>JÖNKÖPINGS LÄN</t>
        </is>
      </c>
      <c r="E3811" t="inlineStr">
        <is>
          <t>JÖNKÖPING</t>
        </is>
      </c>
      <c r="G3811" t="n">
        <v>0.6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1228-2024</t>
        </is>
      </c>
      <c r="B3812" s="1" t="n">
        <v>45302.68533564815</v>
      </c>
      <c r="C3812" s="1" t="n">
        <v>45962</v>
      </c>
      <c r="D3812" t="inlineStr">
        <is>
          <t>JÖNKÖPINGS LÄN</t>
        </is>
      </c>
      <c r="E3812" t="inlineStr">
        <is>
          <t>NÄSSJÖ</t>
        </is>
      </c>
      <c r="G3812" t="n">
        <v>0.9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58607-2023</t>
        </is>
      </c>
      <c r="B3813" s="1" t="n">
        <v>45251.49496527778</v>
      </c>
      <c r="C3813" s="1" t="n">
        <v>45962</v>
      </c>
      <c r="D3813" t="inlineStr">
        <is>
          <t>JÖNKÖPINGS LÄN</t>
        </is>
      </c>
      <c r="E3813" t="inlineStr">
        <is>
          <t>EKSJÖ</t>
        </is>
      </c>
      <c r="G3813" t="n">
        <v>2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55747-2022</t>
        </is>
      </c>
      <c r="B3814" s="1" t="n">
        <v>44888.59313657408</v>
      </c>
      <c r="C3814" s="1" t="n">
        <v>45962</v>
      </c>
      <c r="D3814" t="inlineStr">
        <is>
          <t>JÖNKÖPINGS LÄN</t>
        </is>
      </c>
      <c r="E3814" t="inlineStr">
        <is>
          <t>VETLANDA</t>
        </is>
      </c>
      <c r="G3814" t="n">
        <v>0.4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1246-2024</t>
        </is>
      </c>
      <c r="B3815" s="1" t="n">
        <v>45302</v>
      </c>
      <c r="C3815" s="1" t="n">
        <v>45962</v>
      </c>
      <c r="D3815" t="inlineStr">
        <is>
          <t>JÖNKÖPINGS LÄN</t>
        </is>
      </c>
      <c r="E3815" t="inlineStr">
        <is>
          <t>VÄRNAMO</t>
        </is>
      </c>
      <c r="G3815" t="n">
        <v>0.9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38726-2022</t>
        </is>
      </c>
      <c r="B3816" s="1" t="n">
        <v>44815.87179398148</v>
      </c>
      <c r="C3816" s="1" t="n">
        <v>45962</v>
      </c>
      <c r="D3816" t="inlineStr">
        <is>
          <t>JÖNKÖPINGS LÄN</t>
        </is>
      </c>
      <c r="E3816" t="inlineStr">
        <is>
          <t>VETLANDA</t>
        </is>
      </c>
      <c r="G3816" t="n">
        <v>1.5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56997-2020</t>
        </is>
      </c>
      <c r="B3817" s="1" t="n">
        <v>44138</v>
      </c>
      <c r="C3817" s="1" t="n">
        <v>45962</v>
      </c>
      <c r="D3817" t="inlineStr">
        <is>
          <t>JÖNKÖPINGS LÄN</t>
        </is>
      </c>
      <c r="E3817" t="inlineStr">
        <is>
          <t>GISLAVED</t>
        </is>
      </c>
      <c r="G3817" t="n">
        <v>4.6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10204-2022</t>
        </is>
      </c>
      <c r="B3818" s="1" t="n">
        <v>44622</v>
      </c>
      <c r="C3818" s="1" t="n">
        <v>45962</v>
      </c>
      <c r="D3818" t="inlineStr">
        <is>
          <t>JÖNKÖPINGS LÄN</t>
        </is>
      </c>
      <c r="E3818" t="inlineStr">
        <is>
          <t>JÖNKÖPING</t>
        </is>
      </c>
      <c r="G3818" t="n">
        <v>9.699999999999999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58351-2022</t>
        </is>
      </c>
      <c r="B3819" s="1" t="n">
        <v>44893</v>
      </c>
      <c r="C3819" s="1" t="n">
        <v>45962</v>
      </c>
      <c r="D3819" t="inlineStr">
        <is>
          <t>JÖNKÖPINGS LÄN</t>
        </is>
      </c>
      <c r="E3819" t="inlineStr">
        <is>
          <t>JÖNKÖPING</t>
        </is>
      </c>
      <c r="F3819" t="inlineStr">
        <is>
          <t>Övriga statliga verk och myndigheter</t>
        </is>
      </c>
      <c r="G3819" t="n">
        <v>1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20068-2023</t>
        </is>
      </c>
      <c r="B3820" s="1" t="n">
        <v>45054</v>
      </c>
      <c r="C3820" s="1" t="n">
        <v>45962</v>
      </c>
      <c r="D3820" t="inlineStr">
        <is>
          <t>JÖNKÖPINGS LÄN</t>
        </is>
      </c>
      <c r="E3820" t="inlineStr">
        <is>
          <t>EKSJÖ</t>
        </is>
      </c>
      <c r="G3820" t="n">
        <v>1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17077-2025</t>
        </is>
      </c>
      <c r="B3821" s="1" t="n">
        <v>45754</v>
      </c>
      <c r="C3821" s="1" t="n">
        <v>45962</v>
      </c>
      <c r="D3821" t="inlineStr">
        <is>
          <t>JÖNKÖPINGS LÄN</t>
        </is>
      </c>
      <c r="E3821" t="inlineStr">
        <is>
          <t>TRANÅS</t>
        </is>
      </c>
      <c r="G3821" t="n">
        <v>4.3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4992-2021</t>
        </is>
      </c>
      <c r="B3822" s="1" t="n">
        <v>44228</v>
      </c>
      <c r="C3822" s="1" t="n">
        <v>45962</v>
      </c>
      <c r="D3822" t="inlineStr">
        <is>
          <t>JÖNKÖPINGS LÄN</t>
        </is>
      </c>
      <c r="E3822" t="inlineStr">
        <is>
          <t>GISLAVED</t>
        </is>
      </c>
      <c r="G3822" t="n">
        <v>2.8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58955-2021</t>
        </is>
      </c>
      <c r="B3823" s="1" t="n">
        <v>44489</v>
      </c>
      <c r="C3823" s="1" t="n">
        <v>45962</v>
      </c>
      <c r="D3823" t="inlineStr">
        <is>
          <t>JÖNKÖPINGS LÄN</t>
        </is>
      </c>
      <c r="E3823" t="inlineStr">
        <is>
          <t>GISLAVED</t>
        </is>
      </c>
      <c r="G3823" t="n">
        <v>0.6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28130-2023</t>
        </is>
      </c>
      <c r="B3824" s="1" t="n">
        <v>45099.47626157408</v>
      </c>
      <c r="C3824" s="1" t="n">
        <v>45962</v>
      </c>
      <c r="D3824" t="inlineStr">
        <is>
          <t>JÖNKÖPINGS LÄN</t>
        </is>
      </c>
      <c r="E3824" t="inlineStr">
        <is>
          <t>VETLANDA</t>
        </is>
      </c>
      <c r="G3824" t="n">
        <v>1.9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32045-2023</t>
        </is>
      </c>
      <c r="B3825" s="1" t="n">
        <v>45119.55042824074</v>
      </c>
      <c r="C3825" s="1" t="n">
        <v>45962</v>
      </c>
      <c r="D3825" t="inlineStr">
        <is>
          <t>JÖNKÖPINGS LÄN</t>
        </is>
      </c>
      <c r="E3825" t="inlineStr">
        <is>
          <t>VAGGERYD</t>
        </is>
      </c>
      <c r="G3825" t="n">
        <v>10.1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42708-2023</t>
        </is>
      </c>
      <c r="B3826" s="1" t="n">
        <v>45181.6131712963</v>
      </c>
      <c r="C3826" s="1" t="n">
        <v>45962</v>
      </c>
      <c r="D3826" t="inlineStr">
        <is>
          <t>JÖNKÖPINGS LÄN</t>
        </is>
      </c>
      <c r="E3826" t="inlineStr">
        <is>
          <t>NÄSSJÖ</t>
        </is>
      </c>
      <c r="F3826" t="inlineStr">
        <is>
          <t>Sveaskog</t>
        </is>
      </c>
      <c r="G3826" t="n">
        <v>2.5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17846-2023</t>
        </is>
      </c>
      <c r="B3827" s="1" t="n">
        <v>45037.67510416666</v>
      </c>
      <c r="C3827" s="1" t="n">
        <v>45962</v>
      </c>
      <c r="D3827" t="inlineStr">
        <is>
          <t>JÖNKÖPINGS LÄN</t>
        </is>
      </c>
      <c r="E3827" t="inlineStr">
        <is>
          <t>JÖNKÖPING</t>
        </is>
      </c>
      <c r="G3827" t="n">
        <v>3.4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5336-2024</t>
        </is>
      </c>
      <c r="B3828" s="1" t="n">
        <v>45331.43564814814</v>
      </c>
      <c r="C3828" s="1" t="n">
        <v>45962</v>
      </c>
      <c r="D3828" t="inlineStr">
        <is>
          <t>JÖNKÖPINGS LÄN</t>
        </is>
      </c>
      <c r="E3828" t="inlineStr">
        <is>
          <t>GISLAVED</t>
        </is>
      </c>
      <c r="G3828" t="n">
        <v>0.3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43782-2024</t>
        </is>
      </c>
      <c r="B3829" s="1" t="n">
        <v>45570.58934027778</v>
      </c>
      <c r="C3829" s="1" t="n">
        <v>45962</v>
      </c>
      <c r="D3829" t="inlineStr">
        <is>
          <t>JÖNKÖPINGS LÄN</t>
        </is>
      </c>
      <c r="E3829" t="inlineStr">
        <is>
          <t>JÖNKÖPING</t>
        </is>
      </c>
      <c r="G3829" t="n">
        <v>2.7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50192-2024</t>
        </is>
      </c>
      <c r="B3830" s="1" t="n">
        <v>45600.48127314815</v>
      </c>
      <c r="C3830" s="1" t="n">
        <v>45962</v>
      </c>
      <c r="D3830" t="inlineStr">
        <is>
          <t>JÖNKÖPINGS LÄN</t>
        </is>
      </c>
      <c r="E3830" t="inlineStr">
        <is>
          <t>JÖNKÖPING</t>
        </is>
      </c>
      <c r="G3830" t="n">
        <v>0.5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50193-2024</t>
        </is>
      </c>
      <c r="B3831" s="1" t="n">
        <v>45600.48347222222</v>
      </c>
      <c r="C3831" s="1" t="n">
        <v>45962</v>
      </c>
      <c r="D3831" t="inlineStr">
        <is>
          <t>JÖNKÖPINGS LÄN</t>
        </is>
      </c>
      <c r="E3831" t="inlineStr">
        <is>
          <t>JÖNKÖPING</t>
        </is>
      </c>
      <c r="G3831" t="n">
        <v>0.2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61610-2024</t>
        </is>
      </c>
      <c r="B3832" s="1" t="n">
        <v>45646.64815972222</v>
      </c>
      <c r="C3832" s="1" t="n">
        <v>45962</v>
      </c>
      <c r="D3832" t="inlineStr">
        <is>
          <t>JÖNKÖPINGS LÄN</t>
        </is>
      </c>
      <c r="E3832" t="inlineStr">
        <is>
          <t>SÄVSJÖ</t>
        </is>
      </c>
      <c r="G3832" t="n">
        <v>1.5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52948-2024</t>
        </is>
      </c>
      <c r="B3833" s="1" t="n">
        <v>45610.86952546296</v>
      </c>
      <c r="C3833" s="1" t="n">
        <v>45962</v>
      </c>
      <c r="D3833" t="inlineStr">
        <is>
          <t>JÖNKÖPINGS LÄN</t>
        </is>
      </c>
      <c r="E3833" t="inlineStr">
        <is>
          <t>VETLANDA</t>
        </is>
      </c>
      <c r="G3833" t="n">
        <v>3.2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22173-2023</t>
        </is>
      </c>
      <c r="B3834" s="1" t="n">
        <v>45069.67884259259</v>
      </c>
      <c r="C3834" s="1" t="n">
        <v>45962</v>
      </c>
      <c r="D3834" t="inlineStr">
        <is>
          <t>JÖNKÖPINGS LÄN</t>
        </is>
      </c>
      <c r="E3834" t="inlineStr">
        <is>
          <t>NÄSSJÖ</t>
        </is>
      </c>
      <c r="G3834" t="n">
        <v>0.4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24100-2025</t>
        </is>
      </c>
      <c r="B3835" s="1" t="n">
        <v>45796.58666666667</v>
      </c>
      <c r="C3835" s="1" t="n">
        <v>45962</v>
      </c>
      <c r="D3835" t="inlineStr">
        <is>
          <t>JÖNKÖPINGS LÄN</t>
        </is>
      </c>
      <c r="E3835" t="inlineStr">
        <is>
          <t>VÄRNAMO</t>
        </is>
      </c>
      <c r="G3835" t="n">
        <v>0.9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22177-2023</t>
        </is>
      </c>
      <c r="B3836" s="1" t="n">
        <v>45069.68887731482</v>
      </c>
      <c r="C3836" s="1" t="n">
        <v>45962</v>
      </c>
      <c r="D3836" t="inlineStr">
        <is>
          <t>JÖNKÖPINGS LÄN</t>
        </is>
      </c>
      <c r="E3836" t="inlineStr">
        <is>
          <t>VETLANDA</t>
        </is>
      </c>
      <c r="G3836" t="n">
        <v>1.7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48040-2024</t>
        </is>
      </c>
      <c r="B3837" s="1" t="n">
        <v>45589.50008101852</v>
      </c>
      <c r="C3837" s="1" t="n">
        <v>45962</v>
      </c>
      <c r="D3837" t="inlineStr">
        <is>
          <t>JÖNKÖPINGS LÄN</t>
        </is>
      </c>
      <c r="E3837" t="inlineStr">
        <is>
          <t>VÄRNAMO</t>
        </is>
      </c>
      <c r="G3837" t="n">
        <v>0.6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14639-2025</t>
        </is>
      </c>
      <c r="B3838" s="1" t="n">
        <v>45742.45594907407</v>
      </c>
      <c r="C3838" s="1" t="n">
        <v>45962</v>
      </c>
      <c r="D3838" t="inlineStr">
        <is>
          <t>JÖNKÖPINGS LÄN</t>
        </is>
      </c>
      <c r="E3838" t="inlineStr">
        <is>
          <t>VETLANDA</t>
        </is>
      </c>
      <c r="G3838" t="n">
        <v>1.5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24413-2025</t>
        </is>
      </c>
      <c r="B3839" s="1" t="n">
        <v>45797.67148148148</v>
      </c>
      <c r="C3839" s="1" t="n">
        <v>45962</v>
      </c>
      <c r="D3839" t="inlineStr">
        <is>
          <t>JÖNKÖPINGS LÄN</t>
        </is>
      </c>
      <c r="E3839" t="inlineStr">
        <is>
          <t>JÖNKÖPING</t>
        </is>
      </c>
      <c r="G3839" t="n">
        <v>2.3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41281-2024</t>
        </is>
      </c>
      <c r="B3840" s="1" t="n">
        <v>45559.59489583333</v>
      </c>
      <c r="C3840" s="1" t="n">
        <v>45962</v>
      </c>
      <c r="D3840" t="inlineStr">
        <is>
          <t>JÖNKÖPINGS LÄN</t>
        </is>
      </c>
      <c r="E3840" t="inlineStr">
        <is>
          <t>GISLAVED</t>
        </is>
      </c>
      <c r="G3840" t="n">
        <v>1.2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43406-2024</t>
        </is>
      </c>
      <c r="B3841" s="1" t="n">
        <v>45568</v>
      </c>
      <c r="C3841" s="1" t="n">
        <v>45962</v>
      </c>
      <c r="D3841" t="inlineStr">
        <is>
          <t>JÖNKÖPINGS LÄN</t>
        </is>
      </c>
      <c r="E3841" t="inlineStr">
        <is>
          <t>VETLANDA</t>
        </is>
      </c>
      <c r="F3841" t="inlineStr">
        <is>
          <t>Kyrkan</t>
        </is>
      </c>
      <c r="G3841" t="n">
        <v>8.1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56097-2023</t>
        </is>
      </c>
      <c r="B3842" s="1" t="n">
        <v>45240.53201388889</v>
      </c>
      <c r="C3842" s="1" t="n">
        <v>45962</v>
      </c>
      <c r="D3842" t="inlineStr">
        <is>
          <t>JÖNKÖPINGS LÄN</t>
        </is>
      </c>
      <c r="E3842" t="inlineStr">
        <is>
          <t>SÄVSJÖ</t>
        </is>
      </c>
      <c r="G3842" t="n">
        <v>1.8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44000-2024</t>
        </is>
      </c>
      <c r="B3843" s="1" t="n">
        <v>45572.54422453704</v>
      </c>
      <c r="C3843" s="1" t="n">
        <v>45962</v>
      </c>
      <c r="D3843" t="inlineStr">
        <is>
          <t>JÖNKÖPINGS LÄN</t>
        </is>
      </c>
      <c r="E3843" t="inlineStr">
        <is>
          <t>VÄRNAMO</t>
        </is>
      </c>
      <c r="F3843" t="inlineStr">
        <is>
          <t>Sveaskog</t>
        </is>
      </c>
      <c r="G3843" t="n">
        <v>3.7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44004-2024</t>
        </is>
      </c>
      <c r="B3844" s="1" t="n">
        <v>45572.54723379629</v>
      </c>
      <c r="C3844" s="1" t="n">
        <v>45962</v>
      </c>
      <c r="D3844" t="inlineStr">
        <is>
          <t>JÖNKÖPINGS LÄN</t>
        </is>
      </c>
      <c r="E3844" t="inlineStr">
        <is>
          <t>VÄRNAMO</t>
        </is>
      </c>
      <c r="F3844" t="inlineStr">
        <is>
          <t>Sveaskog</t>
        </is>
      </c>
      <c r="G3844" t="n">
        <v>7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6893-2025</t>
        </is>
      </c>
      <c r="B3845" s="1" t="n">
        <v>45701.37818287037</v>
      </c>
      <c r="C3845" s="1" t="n">
        <v>45962</v>
      </c>
      <c r="D3845" t="inlineStr">
        <is>
          <t>JÖNKÖPINGS LÄN</t>
        </is>
      </c>
      <c r="E3845" t="inlineStr">
        <is>
          <t>JÖNKÖPING</t>
        </is>
      </c>
      <c r="G3845" t="n">
        <v>1.5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21283-2024</t>
        </is>
      </c>
      <c r="B3846" s="1" t="n">
        <v>45440</v>
      </c>
      <c r="C3846" s="1" t="n">
        <v>45962</v>
      </c>
      <c r="D3846" t="inlineStr">
        <is>
          <t>JÖNKÖPINGS LÄN</t>
        </is>
      </c>
      <c r="E3846" t="inlineStr">
        <is>
          <t>VETLANDA</t>
        </is>
      </c>
      <c r="G3846" t="n">
        <v>1.1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38142-2022</t>
        </is>
      </c>
      <c r="B3847" s="1" t="n">
        <v>44812.36215277778</v>
      </c>
      <c r="C3847" s="1" t="n">
        <v>45962</v>
      </c>
      <c r="D3847" t="inlineStr">
        <is>
          <t>JÖNKÖPINGS LÄN</t>
        </is>
      </c>
      <c r="E3847" t="inlineStr">
        <is>
          <t>GISLAVED</t>
        </is>
      </c>
      <c r="G3847" t="n">
        <v>1.2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9779-2023</t>
        </is>
      </c>
      <c r="B3848" s="1" t="n">
        <v>44984.61899305556</v>
      </c>
      <c r="C3848" s="1" t="n">
        <v>45962</v>
      </c>
      <c r="D3848" t="inlineStr">
        <is>
          <t>JÖNKÖPINGS LÄN</t>
        </is>
      </c>
      <c r="E3848" t="inlineStr">
        <is>
          <t>VETLANDA</t>
        </is>
      </c>
      <c r="G3848" t="n">
        <v>1.9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28964-2023</t>
        </is>
      </c>
      <c r="B3849" s="1" t="n">
        <v>45104.60037037037</v>
      </c>
      <c r="C3849" s="1" t="n">
        <v>45962</v>
      </c>
      <c r="D3849" t="inlineStr">
        <is>
          <t>JÖNKÖPINGS LÄN</t>
        </is>
      </c>
      <c r="E3849" t="inlineStr">
        <is>
          <t>GISLAVED</t>
        </is>
      </c>
      <c r="G3849" t="n">
        <v>1.5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52233-2022</t>
        </is>
      </c>
      <c r="B3850" s="1" t="n">
        <v>44873</v>
      </c>
      <c r="C3850" s="1" t="n">
        <v>45962</v>
      </c>
      <c r="D3850" t="inlineStr">
        <is>
          <t>JÖNKÖPINGS LÄN</t>
        </is>
      </c>
      <c r="E3850" t="inlineStr">
        <is>
          <t>GISLAVED</t>
        </is>
      </c>
      <c r="F3850" t="inlineStr">
        <is>
          <t>Kyrkan</t>
        </is>
      </c>
      <c r="G3850" t="n">
        <v>2.3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43411-2022</t>
        </is>
      </c>
      <c r="B3851" s="1" t="n">
        <v>44834</v>
      </c>
      <c r="C3851" s="1" t="n">
        <v>45962</v>
      </c>
      <c r="D3851" t="inlineStr">
        <is>
          <t>JÖNKÖPINGS LÄN</t>
        </is>
      </c>
      <c r="E3851" t="inlineStr">
        <is>
          <t>EKSJÖ</t>
        </is>
      </c>
      <c r="G3851" t="n">
        <v>1.7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11311-2025</t>
        </is>
      </c>
      <c r="B3852" s="1" t="n">
        <v>45726.44835648148</v>
      </c>
      <c r="C3852" s="1" t="n">
        <v>45962</v>
      </c>
      <c r="D3852" t="inlineStr">
        <is>
          <t>JÖNKÖPINGS LÄN</t>
        </is>
      </c>
      <c r="E3852" t="inlineStr">
        <is>
          <t>JÖNKÖPING</t>
        </is>
      </c>
      <c r="G3852" t="n">
        <v>2.9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11369-2025</t>
        </is>
      </c>
      <c r="B3853" s="1" t="n">
        <v>45726.5505324074</v>
      </c>
      <c r="C3853" s="1" t="n">
        <v>45962</v>
      </c>
      <c r="D3853" t="inlineStr">
        <is>
          <t>JÖNKÖPINGS LÄN</t>
        </is>
      </c>
      <c r="E3853" t="inlineStr">
        <is>
          <t>EKSJÖ</t>
        </is>
      </c>
      <c r="F3853" t="inlineStr">
        <is>
          <t>Sveaskog</t>
        </is>
      </c>
      <c r="G3853" t="n">
        <v>3.7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39654-2024</t>
        </is>
      </c>
      <c r="B3854" s="1" t="n">
        <v>45552.49181712963</v>
      </c>
      <c r="C3854" s="1" t="n">
        <v>45962</v>
      </c>
      <c r="D3854" t="inlineStr">
        <is>
          <t>JÖNKÖPINGS LÄN</t>
        </is>
      </c>
      <c r="E3854" t="inlineStr">
        <is>
          <t>GISLAVED</t>
        </is>
      </c>
      <c r="G3854" t="n">
        <v>2.9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33849-2024</t>
        </is>
      </c>
      <c r="B3855" s="1" t="n">
        <v>45520.63675925926</v>
      </c>
      <c r="C3855" s="1" t="n">
        <v>45962</v>
      </c>
      <c r="D3855" t="inlineStr">
        <is>
          <t>JÖNKÖPINGS LÄN</t>
        </is>
      </c>
      <c r="E3855" t="inlineStr">
        <is>
          <t>GISLAVED</t>
        </is>
      </c>
      <c r="F3855" t="inlineStr">
        <is>
          <t>Sveaskog</t>
        </is>
      </c>
      <c r="G3855" t="n">
        <v>1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33851-2024</t>
        </is>
      </c>
      <c r="B3856" s="1" t="n">
        <v>45520.63895833334</v>
      </c>
      <c r="C3856" s="1" t="n">
        <v>45962</v>
      </c>
      <c r="D3856" t="inlineStr">
        <is>
          <t>JÖNKÖPINGS LÄN</t>
        </is>
      </c>
      <c r="E3856" t="inlineStr">
        <is>
          <t>GISLAVED</t>
        </is>
      </c>
      <c r="F3856" t="inlineStr">
        <is>
          <t>Sveaskog</t>
        </is>
      </c>
      <c r="G3856" t="n">
        <v>1.3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7041-2025</t>
        </is>
      </c>
      <c r="B3857" s="1" t="n">
        <v>45701.63836805556</v>
      </c>
      <c r="C3857" s="1" t="n">
        <v>45962</v>
      </c>
      <c r="D3857" t="inlineStr">
        <is>
          <t>JÖNKÖPINGS LÄN</t>
        </is>
      </c>
      <c r="E3857" t="inlineStr">
        <is>
          <t>VETLANDA</t>
        </is>
      </c>
      <c r="F3857" t="inlineStr">
        <is>
          <t>Sveaskog</t>
        </is>
      </c>
      <c r="G3857" t="n">
        <v>3.1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563-2025</t>
        </is>
      </c>
      <c r="B3858" s="1" t="n">
        <v>45664.54996527778</v>
      </c>
      <c r="C3858" s="1" t="n">
        <v>45962</v>
      </c>
      <c r="D3858" t="inlineStr">
        <is>
          <t>JÖNKÖPINGS LÄN</t>
        </is>
      </c>
      <c r="E3858" t="inlineStr">
        <is>
          <t>EKSJÖ</t>
        </is>
      </c>
      <c r="G3858" t="n">
        <v>2.2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575-2025</t>
        </is>
      </c>
      <c r="B3859" s="1" t="n">
        <v>45664.56483796296</v>
      </c>
      <c r="C3859" s="1" t="n">
        <v>45962</v>
      </c>
      <c r="D3859" t="inlineStr">
        <is>
          <t>JÖNKÖPINGS LÄN</t>
        </is>
      </c>
      <c r="E3859" t="inlineStr">
        <is>
          <t>VÄRNAMO</t>
        </is>
      </c>
      <c r="G3859" t="n">
        <v>2.2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7070-2025</t>
        </is>
      </c>
      <c r="B3860" s="1" t="n">
        <v>45701.66458333333</v>
      </c>
      <c r="C3860" s="1" t="n">
        <v>45962</v>
      </c>
      <c r="D3860" t="inlineStr">
        <is>
          <t>JÖNKÖPINGS LÄN</t>
        </is>
      </c>
      <c r="E3860" t="inlineStr">
        <is>
          <t>VÄRNAMO</t>
        </is>
      </c>
      <c r="G3860" t="n">
        <v>1.3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14920-2024</t>
        </is>
      </c>
      <c r="B3861" s="1" t="n">
        <v>45398.6153587963</v>
      </c>
      <c r="C3861" s="1" t="n">
        <v>45962</v>
      </c>
      <c r="D3861" t="inlineStr">
        <is>
          <t>JÖNKÖPINGS LÄN</t>
        </is>
      </c>
      <c r="E3861" t="inlineStr">
        <is>
          <t>TRANÅS</t>
        </is>
      </c>
      <c r="G3861" t="n">
        <v>0.8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1221-2024</t>
        </is>
      </c>
      <c r="B3862" s="1" t="n">
        <v>45302.6671875</v>
      </c>
      <c r="C3862" s="1" t="n">
        <v>45962</v>
      </c>
      <c r="D3862" t="inlineStr">
        <is>
          <t>JÖNKÖPINGS LÄN</t>
        </is>
      </c>
      <c r="E3862" t="inlineStr">
        <is>
          <t>VETLANDA</t>
        </is>
      </c>
      <c r="G3862" t="n">
        <v>2.1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8481-2023</t>
        </is>
      </c>
      <c r="B3863" s="1" t="n">
        <v>44977</v>
      </c>
      <c r="C3863" s="1" t="n">
        <v>45962</v>
      </c>
      <c r="D3863" t="inlineStr">
        <is>
          <t>JÖNKÖPINGS LÄN</t>
        </is>
      </c>
      <c r="E3863" t="inlineStr">
        <is>
          <t>GISLAVED</t>
        </is>
      </c>
      <c r="G3863" t="n">
        <v>1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1241-2024</t>
        </is>
      </c>
      <c r="B3864" s="1" t="n">
        <v>45302</v>
      </c>
      <c r="C3864" s="1" t="n">
        <v>45962</v>
      </c>
      <c r="D3864" t="inlineStr">
        <is>
          <t>JÖNKÖPINGS LÄN</t>
        </is>
      </c>
      <c r="E3864" t="inlineStr">
        <is>
          <t>JÖNKÖPING</t>
        </is>
      </c>
      <c r="G3864" t="n">
        <v>0.5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17285-2021</t>
        </is>
      </c>
      <c r="B3865" s="1" t="n">
        <v>44298</v>
      </c>
      <c r="C3865" s="1" t="n">
        <v>45962</v>
      </c>
      <c r="D3865" t="inlineStr">
        <is>
          <t>JÖNKÖPINGS LÄN</t>
        </is>
      </c>
      <c r="E3865" t="inlineStr">
        <is>
          <t>NÄSSJÖ</t>
        </is>
      </c>
      <c r="G3865" t="n">
        <v>0.4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9665-2021</t>
        </is>
      </c>
      <c r="B3866" s="1" t="n">
        <v>44252.37584490741</v>
      </c>
      <c r="C3866" s="1" t="n">
        <v>45962</v>
      </c>
      <c r="D3866" t="inlineStr">
        <is>
          <t>JÖNKÖPINGS LÄN</t>
        </is>
      </c>
      <c r="E3866" t="inlineStr">
        <is>
          <t>VETLANDA</t>
        </is>
      </c>
      <c r="G3866" t="n">
        <v>2.8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5489-2023</t>
        </is>
      </c>
      <c r="B3867" s="1" t="n">
        <v>44960</v>
      </c>
      <c r="C3867" s="1" t="n">
        <v>45962</v>
      </c>
      <c r="D3867" t="inlineStr">
        <is>
          <t>JÖNKÖPINGS LÄN</t>
        </is>
      </c>
      <c r="E3867" t="inlineStr">
        <is>
          <t>VAGGERYD</t>
        </is>
      </c>
      <c r="G3867" t="n">
        <v>2.3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9697-2021</t>
        </is>
      </c>
      <c r="B3868" s="1" t="n">
        <v>44252.43545138889</v>
      </c>
      <c r="C3868" s="1" t="n">
        <v>45962</v>
      </c>
      <c r="D3868" t="inlineStr">
        <is>
          <t>JÖNKÖPINGS LÄN</t>
        </is>
      </c>
      <c r="E3868" t="inlineStr">
        <is>
          <t>VETLANDA</t>
        </is>
      </c>
      <c r="G3868" t="n">
        <v>1.4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23924-2025</t>
        </is>
      </c>
      <c r="B3869" s="1" t="n">
        <v>45795.41767361111</v>
      </c>
      <c r="C3869" s="1" t="n">
        <v>45962</v>
      </c>
      <c r="D3869" t="inlineStr">
        <is>
          <t>JÖNKÖPINGS LÄN</t>
        </is>
      </c>
      <c r="E3869" t="inlineStr">
        <is>
          <t>NÄSSJÖ</t>
        </is>
      </c>
      <c r="G3869" t="n">
        <v>5.9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21691-2022</t>
        </is>
      </c>
      <c r="B3870" s="1" t="n">
        <v>44707.73799768519</v>
      </c>
      <c r="C3870" s="1" t="n">
        <v>45962</v>
      </c>
      <c r="D3870" t="inlineStr">
        <is>
          <t>JÖNKÖPINGS LÄN</t>
        </is>
      </c>
      <c r="E3870" t="inlineStr">
        <is>
          <t>MULLSJÖ</t>
        </is>
      </c>
      <c r="G3870" t="n">
        <v>0.6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50168-2023</t>
        </is>
      </c>
      <c r="B3871" s="1" t="n">
        <v>45215.71418981482</v>
      </c>
      <c r="C3871" s="1" t="n">
        <v>45962</v>
      </c>
      <c r="D3871" t="inlineStr">
        <is>
          <t>JÖNKÖPINGS LÄN</t>
        </is>
      </c>
      <c r="E3871" t="inlineStr">
        <is>
          <t>JÖNKÖPING</t>
        </is>
      </c>
      <c r="G3871" t="n">
        <v>4.6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1371-2021</t>
        </is>
      </c>
      <c r="B3872" s="1" t="n">
        <v>44208</v>
      </c>
      <c r="C3872" s="1" t="n">
        <v>45962</v>
      </c>
      <c r="D3872" t="inlineStr">
        <is>
          <t>JÖNKÖPINGS LÄN</t>
        </is>
      </c>
      <c r="E3872" t="inlineStr">
        <is>
          <t>MULLSJÖ</t>
        </is>
      </c>
      <c r="G3872" t="n">
        <v>2.6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909-2024</t>
        </is>
      </c>
      <c r="B3873" s="1" t="n">
        <v>45300</v>
      </c>
      <c r="C3873" s="1" t="n">
        <v>45962</v>
      </c>
      <c r="D3873" t="inlineStr">
        <is>
          <t>JÖNKÖPINGS LÄN</t>
        </is>
      </c>
      <c r="E3873" t="inlineStr">
        <is>
          <t>JÖNKÖPING</t>
        </is>
      </c>
      <c r="G3873" t="n">
        <v>3.1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23963-2025</t>
        </is>
      </c>
      <c r="B3874" s="1" t="n">
        <v>45796</v>
      </c>
      <c r="C3874" s="1" t="n">
        <v>45962</v>
      </c>
      <c r="D3874" t="inlineStr">
        <is>
          <t>JÖNKÖPINGS LÄN</t>
        </is>
      </c>
      <c r="E3874" t="inlineStr">
        <is>
          <t>SÄVSJÖ</t>
        </is>
      </c>
      <c r="G3874" t="n">
        <v>1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24362-2025</t>
        </is>
      </c>
      <c r="B3875" s="1" t="n">
        <v>45797.60055555555</v>
      </c>
      <c r="C3875" s="1" t="n">
        <v>45962</v>
      </c>
      <c r="D3875" t="inlineStr">
        <is>
          <t>JÖNKÖPINGS LÄN</t>
        </is>
      </c>
      <c r="E3875" t="inlineStr">
        <is>
          <t>GISLAVED</t>
        </is>
      </c>
      <c r="G3875" t="n">
        <v>3.1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53782-2024</t>
        </is>
      </c>
      <c r="B3876" s="1" t="n">
        <v>45615.56019675926</v>
      </c>
      <c r="C3876" s="1" t="n">
        <v>45962</v>
      </c>
      <c r="D3876" t="inlineStr">
        <is>
          <t>JÖNKÖPINGS LÄN</t>
        </is>
      </c>
      <c r="E3876" t="inlineStr">
        <is>
          <t>VETLANDA</t>
        </is>
      </c>
      <c r="G3876" t="n">
        <v>3.5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29056-2024</t>
        </is>
      </c>
      <c r="B3877" s="1" t="n">
        <v>45481</v>
      </c>
      <c r="C3877" s="1" t="n">
        <v>45962</v>
      </c>
      <c r="D3877" t="inlineStr">
        <is>
          <t>JÖNKÖPINGS LÄN</t>
        </is>
      </c>
      <c r="E3877" t="inlineStr">
        <is>
          <t>GISLAVED</t>
        </is>
      </c>
      <c r="G3877" t="n">
        <v>1.8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51472-2023</t>
        </is>
      </c>
      <c r="B3878" s="1" t="n">
        <v>45221.80592592592</v>
      </c>
      <c r="C3878" s="1" t="n">
        <v>45962</v>
      </c>
      <c r="D3878" t="inlineStr">
        <is>
          <t>JÖNKÖPINGS LÄN</t>
        </is>
      </c>
      <c r="E3878" t="inlineStr">
        <is>
          <t>VÄRNAMO</t>
        </is>
      </c>
      <c r="G3878" t="n">
        <v>2.4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31019-2023</t>
        </is>
      </c>
      <c r="B3879" s="1" t="n">
        <v>45113.57435185185</v>
      </c>
      <c r="C3879" s="1" t="n">
        <v>45962</v>
      </c>
      <c r="D3879" t="inlineStr">
        <is>
          <t>JÖNKÖPINGS LÄN</t>
        </is>
      </c>
      <c r="E3879" t="inlineStr">
        <is>
          <t>VETLANDA</t>
        </is>
      </c>
      <c r="G3879" t="n">
        <v>1.2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52048-2023</t>
        </is>
      </c>
      <c r="B3880" s="1" t="n">
        <v>45223.64547453704</v>
      </c>
      <c r="C3880" s="1" t="n">
        <v>45962</v>
      </c>
      <c r="D3880" t="inlineStr">
        <is>
          <t>JÖNKÖPINGS LÄN</t>
        </is>
      </c>
      <c r="E3880" t="inlineStr">
        <is>
          <t>VAGGERYD</t>
        </is>
      </c>
      <c r="G3880" t="n">
        <v>1.5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53101-2023</t>
        </is>
      </c>
      <c r="B3881" s="1" t="n">
        <v>45228.48451388889</v>
      </c>
      <c r="C3881" s="1" t="n">
        <v>45962</v>
      </c>
      <c r="D3881" t="inlineStr">
        <is>
          <t>JÖNKÖPINGS LÄN</t>
        </is>
      </c>
      <c r="E3881" t="inlineStr">
        <is>
          <t>VETLANDA</t>
        </is>
      </c>
      <c r="G3881" t="n">
        <v>3.3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17019-2024</t>
        </is>
      </c>
      <c r="B3882" s="1" t="n">
        <v>45412</v>
      </c>
      <c r="C3882" s="1" t="n">
        <v>45962</v>
      </c>
      <c r="D3882" t="inlineStr">
        <is>
          <t>JÖNKÖPINGS LÄN</t>
        </is>
      </c>
      <c r="E3882" t="inlineStr">
        <is>
          <t>JÖNKÖPING</t>
        </is>
      </c>
      <c r="F3882" t="inlineStr">
        <is>
          <t>Övriga Aktiebolag</t>
        </is>
      </c>
      <c r="G3882" t="n">
        <v>1.8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28655-2022</t>
        </is>
      </c>
      <c r="B3883" s="1" t="n">
        <v>44748.65145833333</v>
      </c>
      <c r="C3883" s="1" t="n">
        <v>45962</v>
      </c>
      <c r="D3883" t="inlineStr">
        <is>
          <t>JÖNKÖPINGS LÄN</t>
        </is>
      </c>
      <c r="E3883" t="inlineStr">
        <is>
          <t>VETLANDA</t>
        </is>
      </c>
      <c r="G3883" t="n">
        <v>3.2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4702-2023</t>
        </is>
      </c>
      <c r="B3884" s="1" t="n">
        <v>44953</v>
      </c>
      <c r="C3884" s="1" t="n">
        <v>45962</v>
      </c>
      <c r="D3884" t="inlineStr">
        <is>
          <t>JÖNKÖPINGS LÄN</t>
        </is>
      </c>
      <c r="E3884" t="inlineStr">
        <is>
          <t>TRANÅS</t>
        </is>
      </c>
      <c r="G3884" t="n">
        <v>5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51594-2024</t>
        </is>
      </c>
      <c r="B3885" s="1" t="n">
        <v>45604.65027777778</v>
      </c>
      <c r="C3885" s="1" t="n">
        <v>45962</v>
      </c>
      <c r="D3885" t="inlineStr">
        <is>
          <t>JÖNKÖPINGS LÄN</t>
        </is>
      </c>
      <c r="E3885" t="inlineStr">
        <is>
          <t>VAGGERYD</t>
        </is>
      </c>
      <c r="F3885" t="inlineStr">
        <is>
          <t>Sveaskog</t>
        </is>
      </c>
      <c r="G3885" t="n">
        <v>5.1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33779-2023</t>
        </is>
      </c>
      <c r="B3886" s="1" t="n">
        <v>45133</v>
      </c>
      <c r="C3886" s="1" t="n">
        <v>45962</v>
      </c>
      <c r="D3886" t="inlineStr">
        <is>
          <t>JÖNKÖPINGS LÄN</t>
        </is>
      </c>
      <c r="E3886" t="inlineStr">
        <is>
          <t>VETLANDA</t>
        </is>
      </c>
      <c r="G3886" t="n">
        <v>5.5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60724-2023</t>
        </is>
      </c>
      <c r="B3887" s="1" t="n">
        <v>45260.5359837963</v>
      </c>
      <c r="C3887" s="1" t="n">
        <v>45962</v>
      </c>
      <c r="D3887" t="inlineStr">
        <is>
          <t>JÖNKÖPINGS LÄN</t>
        </is>
      </c>
      <c r="E3887" t="inlineStr">
        <is>
          <t>NÄSSJÖ</t>
        </is>
      </c>
      <c r="G3887" t="n">
        <v>3.4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58766-2022</t>
        </is>
      </c>
      <c r="B3888" s="1" t="n">
        <v>44903.37894675926</v>
      </c>
      <c r="C3888" s="1" t="n">
        <v>45962</v>
      </c>
      <c r="D3888" t="inlineStr">
        <is>
          <t>JÖNKÖPINGS LÄN</t>
        </is>
      </c>
      <c r="E3888" t="inlineStr">
        <is>
          <t>VÄRNAMO</t>
        </is>
      </c>
      <c r="G3888" t="n">
        <v>1.7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52813-2021</t>
        </is>
      </c>
      <c r="B3889" s="1" t="n">
        <v>44467</v>
      </c>
      <c r="C3889" s="1" t="n">
        <v>45962</v>
      </c>
      <c r="D3889" t="inlineStr">
        <is>
          <t>JÖNKÖPINGS LÄN</t>
        </is>
      </c>
      <c r="E3889" t="inlineStr">
        <is>
          <t>GNOSJÖ</t>
        </is>
      </c>
      <c r="G3889" t="n">
        <v>1.1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23148-2024</t>
        </is>
      </c>
      <c r="B3890" s="1" t="n">
        <v>45450.64201388889</v>
      </c>
      <c r="C3890" s="1" t="n">
        <v>45962</v>
      </c>
      <c r="D3890" t="inlineStr">
        <is>
          <t>JÖNKÖPINGS LÄN</t>
        </is>
      </c>
      <c r="E3890" t="inlineStr">
        <is>
          <t>HABO</t>
        </is>
      </c>
      <c r="G3890" t="n">
        <v>1.7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23153-2024</t>
        </is>
      </c>
      <c r="B3891" s="1" t="n">
        <v>45450.66217592593</v>
      </c>
      <c r="C3891" s="1" t="n">
        <v>45962</v>
      </c>
      <c r="D3891" t="inlineStr">
        <is>
          <t>JÖNKÖPINGS LÄN</t>
        </is>
      </c>
      <c r="E3891" t="inlineStr">
        <is>
          <t>HABO</t>
        </is>
      </c>
      <c r="G3891" t="n">
        <v>2.9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23925-2025</t>
        </is>
      </c>
      <c r="B3892" s="1" t="n">
        <v>45795.42396990741</v>
      </c>
      <c r="C3892" s="1" t="n">
        <v>45962</v>
      </c>
      <c r="D3892" t="inlineStr">
        <is>
          <t>JÖNKÖPINGS LÄN</t>
        </is>
      </c>
      <c r="E3892" t="inlineStr">
        <is>
          <t>NÄSSJÖ</t>
        </is>
      </c>
      <c r="G3892" t="n">
        <v>4.3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57174-2021</t>
        </is>
      </c>
      <c r="B3893" s="1" t="n">
        <v>44482.87444444445</v>
      </c>
      <c r="C3893" s="1" t="n">
        <v>45962</v>
      </c>
      <c r="D3893" t="inlineStr">
        <is>
          <t>JÖNKÖPINGS LÄN</t>
        </is>
      </c>
      <c r="E3893" t="inlineStr">
        <is>
          <t>ANEBY</t>
        </is>
      </c>
      <c r="G3893" t="n">
        <v>1.1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43134-2024</t>
        </is>
      </c>
      <c r="B3894" s="1" t="n">
        <v>45567</v>
      </c>
      <c r="C3894" s="1" t="n">
        <v>45962</v>
      </c>
      <c r="D3894" t="inlineStr">
        <is>
          <t>JÖNKÖPINGS LÄN</t>
        </is>
      </c>
      <c r="E3894" t="inlineStr">
        <is>
          <t>VÄRNAMO</t>
        </is>
      </c>
      <c r="F3894" t="inlineStr">
        <is>
          <t>Kommuner</t>
        </is>
      </c>
      <c r="G3894" t="n">
        <v>2.1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24113-2025</t>
        </is>
      </c>
      <c r="B3895" s="1" t="n">
        <v>45796.61146990741</v>
      </c>
      <c r="C3895" s="1" t="n">
        <v>45962</v>
      </c>
      <c r="D3895" t="inlineStr">
        <is>
          <t>JÖNKÖPINGS LÄN</t>
        </is>
      </c>
      <c r="E3895" t="inlineStr">
        <is>
          <t>NÄSSJÖ</t>
        </is>
      </c>
      <c r="F3895" t="inlineStr">
        <is>
          <t>Kommuner</t>
        </is>
      </c>
      <c r="G3895" t="n">
        <v>0.8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61097-2020</t>
        </is>
      </c>
      <c r="B3896" s="1" t="n">
        <v>44154</v>
      </c>
      <c r="C3896" s="1" t="n">
        <v>45962</v>
      </c>
      <c r="D3896" t="inlineStr">
        <is>
          <t>JÖNKÖPINGS LÄN</t>
        </is>
      </c>
      <c r="E3896" t="inlineStr">
        <is>
          <t>VETLANDA</t>
        </is>
      </c>
      <c r="G3896" t="n">
        <v>1.2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47454-2023</t>
        </is>
      </c>
      <c r="B3897" s="1" t="n">
        <v>45202.7725</v>
      </c>
      <c r="C3897" s="1" t="n">
        <v>45962</v>
      </c>
      <c r="D3897" t="inlineStr">
        <is>
          <t>JÖNKÖPINGS LÄN</t>
        </is>
      </c>
      <c r="E3897" t="inlineStr">
        <is>
          <t>GNOSJÖ</t>
        </is>
      </c>
      <c r="G3897" t="n">
        <v>0.5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20197-2025</t>
        </is>
      </c>
      <c r="B3898" s="1" t="n">
        <v>45772.6108912037</v>
      </c>
      <c r="C3898" s="1" t="n">
        <v>45962</v>
      </c>
      <c r="D3898" t="inlineStr">
        <is>
          <t>JÖNKÖPINGS LÄN</t>
        </is>
      </c>
      <c r="E3898" t="inlineStr">
        <is>
          <t>TRANÅS</t>
        </is>
      </c>
      <c r="F3898" t="inlineStr">
        <is>
          <t>Allmännings- och besparingsskogar</t>
        </is>
      </c>
      <c r="G3898" t="n">
        <v>1.7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20219-2025</t>
        </is>
      </c>
      <c r="B3899" s="1" t="n">
        <v>45772.64790509259</v>
      </c>
      <c r="C3899" s="1" t="n">
        <v>45962</v>
      </c>
      <c r="D3899" t="inlineStr">
        <is>
          <t>JÖNKÖPINGS LÄN</t>
        </is>
      </c>
      <c r="E3899" t="inlineStr">
        <is>
          <t>ANEBY</t>
        </is>
      </c>
      <c r="G3899" t="n">
        <v>0.5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25065-2022</t>
        </is>
      </c>
      <c r="B3900" s="1" t="n">
        <v>44729</v>
      </c>
      <c r="C3900" s="1" t="n">
        <v>45962</v>
      </c>
      <c r="D3900" t="inlineStr">
        <is>
          <t>JÖNKÖPINGS LÄN</t>
        </is>
      </c>
      <c r="E3900" t="inlineStr">
        <is>
          <t>JÖNKÖPING</t>
        </is>
      </c>
      <c r="G3900" t="n">
        <v>1.1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27719-2024</t>
        </is>
      </c>
      <c r="B3901" s="1" t="n">
        <v>45475.38969907408</v>
      </c>
      <c r="C3901" s="1" t="n">
        <v>45962</v>
      </c>
      <c r="D3901" t="inlineStr">
        <is>
          <t>JÖNKÖPINGS LÄN</t>
        </is>
      </c>
      <c r="E3901" t="inlineStr">
        <is>
          <t>NÄSSJÖ</t>
        </is>
      </c>
      <c r="G3901" t="n">
        <v>1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37583-2023</t>
        </is>
      </c>
      <c r="B3902" s="1" t="n">
        <v>45159.39725694444</v>
      </c>
      <c r="C3902" s="1" t="n">
        <v>45962</v>
      </c>
      <c r="D3902" t="inlineStr">
        <is>
          <t>JÖNKÖPINGS LÄN</t>
        </is>
      </c>
      <c r="E3902" t="inlineStr">
        <is>
          <t>GISLAVED</t>
        </is>
      </c>
      <c r="F3902" t="inlineStr">
        <is>
          <t>Sveaskog</t>
        </is>
      </c>
      <c r="G3902" t="n">
        <v>1.5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24245-2025</t>
        </is>
      </c>
      <c r="B3903" s="1" t="n">
        <v>45797.39555555556</v>
      </c>
      <c r="C3903" s="1" t="n">
        <v>45962</v>
      </c>
      <c r="D3903" t="inlineStr">
        <is>
          <t>JÖNKÖPINGS LÄN</t>
        </is>
      </c>
      <c r="E3903" t="inlineStr">
        <is>
          <t>VÄRNAMO</t>
        </is>
      </c>
      <c r="G3903" t="n">
        <v>3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61373-2024</t>
        </is>
      </c>
      <c r="B3904" s="1" t="n">
        <v>45646.39285879629</v>
      </c>
      <c r="C3904" s="1" t="n">
        <v>45962</v>
      </c>
      <c r="D3904" t="inlineStr">
        <is>
          <t>JÖNKÖPINGS LÄN</t>
        </is>
      </c>
      <c r="E3904" t="inlineStr">
        <is>
          <t>SÄVSJÖ</t>
        </is>
      </c>
      <c r="G3904" t="n">
        <v>5.9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21458-2024</t>
        </is>
      </c>
      <c r="B3905" s="1" t="n">
        <v>45441.46810185185</v>
      </c>
      <c r="C3905" s="1" t="n">
        <v>45962</v>
      </c>
      <c r="D3905" t="inlineStr">
        <is>
          <t>JÖNKÖPINGS LÄN</t>
        </is>
      </c>
      <c r="E3905" t="inlineStr">
        <is>
          <t>VETLANDA</t>
        </is>
      </c>
      <c r="G3905" t="n">
        <v>1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5463-2025</t>
        </is>
      </c>
      <c r="B3906" s="1" t="n">
        <v>45693.30753472223</v>
      </c>
      <c r="C3906" s="1" t="n">
        <v>45962</v>
      </c>
      <c r="D3906" t="inlineStr">
        <is>
          <t>JÖNKÖPINGS LÄN</t>
        </is>
      </c>
      <c r="E3906" t="inlineStr">
        <is>
          <t>NÄSSJÖ</t>
        </is>
      </c>
      <c r="G3906" t="n">
        <v>9.300000000000001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18846-2025</t>
        </is>
      </c>
      <c r="B3907" s="1" t="n">
        <v>45764.4140162037</v>
      </c>
      <c r="C3907" s="1" t="n">
        <v>45962</v>
      </c>
      <c r="D3907" t="inlineStr">
        <is>
          <t>JÖNKÖPINGS LÄN</t>
        </is>
      </c>
      <c r="E3907" t="inlineStr">
        <is>
          <t>JÖNKÖPING</t>
        </is>
      </c>
      <c r="G3907" t="n">
        <v>2.2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28997-2023</t>
        </is>
      </c>
      <c r="B3908" s="1" t="n">
        <v>45104</v>
      </c>
      <c r="C3908" s="1" t="n">
        <v>45962</v>
      </c>
      <c r="D3908" t="inlineStr">
        <is>
          <t>JÖNKÖPINGS LÄN</t>
        </is>
      </c>
      <c r="E3908" t="inlineStr">
        <is>
          <t>TRANÅS</t>
        </is>
      </c>
      <c r="G3908" t="n">
        <v>3.7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42042-2024</t>
        </is>
      </c>
      <c r="B3909" s="1" t="n">
        <v>45561</v>
      </c>
      <c r="C3909" s="1" t="n">
        <v>45962</v>
      </c>
      <c r="D3909" t="inlineStr">
        <is>
          <t>JÖNKÖPINGS LÄN</t>
        </is>
      </c>
      <c r="E3909" t="inlineStr">
        <is>
          <t>GNOSJÖ</t>
        </is>
      </c>
      <c r="F3909" t="inlineStr">
        <is>
          <t>Kyrkan</t>
        </is>
      </c>
      <c r="G3909" t="n">
        <v>8.6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23945-2025</t>
        </is>
      </c>
      <c r="B3910" s="1" t="n">
        <v>45796</v>
      </c>
      <c r="C3910" s="1" t="n">
        <v>45962</v>
      </c>
      <c r="D3910" t="inlineStr">
        <is>
          <t>JÖNKÖPINGS LÄN</t>
        </is>
      </c>
      <c r="E3910" t="inlineStr">
        <is>
          <t>SÄVSJÖ</t>
        </is>
      </c>
      <c r="G3910" t="n">
        <v>2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29754-2024</t>
        </is>
      </c>
      <c r="B3911" s="1" t="n">
        <v>45485.43127314815</v>
      </c>
      <c r="C3911" s="1" t="n">
        <v>45962</v>
      </c>
      <c r="D3911" t="inlineStr">
        <is>
          <t>JÖNKÖPINGS LÄN</t>
        </is>
      </c>
      <c r="E3911" t="inlineStr">
        <is>
          <t>EKSJÖ</t>
        </is>
      </c>
      <c r="G3911" t="n">
        <v>0.5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56805-2024</t>
        </is>
      </c>
      <c r="B3912" s="1" t="n">
        <v>45628.47484953704</v>
      </c>
      <c r="C3912" s="1" t="n">
        <v>45962</v>
      </c>
      <c r="D3912" t="inlineStr">
        <is>
          <t>JÖNKÖPINGS LÄN</t>
        </is>
      </c>
      <c r="E3912" t="inlineStr">
        <is>
          <t>EKSJÖ</t>
        </is>
      </c>
      <c r="G3912" t="n">
        <v>1.5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40588-2024</t>
        </is>
      </c>
      <c r="B3913" s="1" t="n">
        <v>45555.7990625</v>
      </c>
      <c r="C3913" s="1" t="n">
        <v>45962</v>
      </c>
      <c r="D3913" t="inlineStr">
        <is>
          <t>JÖNKÖPINGS LÄN</t>
        </is>
      </c>
      <c r="E3913" t="inlineStr">
        <is>
          <t>GISLAVED</t>
        </is>
      </c>
      <c r="G3913" t="n">
        <v>0.5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63407-2023</t>
        </is>
      </c>
      <c r="B3914" s="1" t="n">
        <v>45274.51340277777</v>
      </c>
      <c r="C3914" s="1" t="n">
        <v>45962</v>
      </c>
      <c r="D3914" t="inlineStr">
        <is>
          <t>JÖNKÖPINGS LÄN</t>
        </is>
      </c>
      <c r="E3914" t="inlineStr">
        <is>
          <t>VETLANDA</t>
        </is>
      </c>
      <c r="G3914" t="n">
        <v>0.6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46337-2024</t>
        </is>
      </c>
      <c r="B3915" s="1" t="n">
        <v>45582.30001157407</v>
      </c>
      <c r="C3915" s="1" t="n">
        <v>45962</v>
      </c>
      <c r="D3915" t="inlineStr">
        <is>
          <t>JÖNKÖPINGS LÄN</t>
        </is>
      </c>
      <c r="E3915" t="inlineStr">
        <is>
          <t>GISLAVED</t>
        </is>
      </c>
      <c r="G3915" t="n">
        <v>4.6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17847-2022</t>
        </is>
      </c>
      <c r="B3916" s="1" t="n">
        <v>44683</v>
      </c>
      <c r="C3916" s="1" t="n">
        <v>45962</v>
      </c>
      <c r="D3916" t="inlineStr">
        <is>
          <t>JÖNKÖPINGS LÄN</t>
        </is>
      </c>
      <c r="E3916" t="inlineStr">
        <is>
          <t>VETLANDA</t>
        </is>
      </c>
      <c r="G3916" t="n">
        <v>1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24106-2025</t>
        </is>
      </c>
      <c r="B3917" s="1" t="n">
        <v>45796.60194444445</v>
      </c>
      <c r="C3917" s="1" t="n">
        <v>45962</v>
      </c>
      <c r="D3917" t="inlineStr">
        <is>
          <t>JÖNKÖPINGS LÄN</t>
        </is>
      </c>
      <c r="E3917" t="inlineStr">
        <is>
          <t>VAGGERYD</t>
        </is>
      </c>
      <c r="G3917" t="n">
        <v>1.2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24122-2025</t>
        </is>
      </c>
      <c r="B3918" s="1" t="n">
        <v>45796.62123842593</v>
      </c>
      <c r="C3918" s="1" t="n">
        <v>45962</v>
      </c>
      <c r="D3918" t="inlineStr">
        <is>
          <t>JÖNKÖPINGS LÄN</t>
        </is>
      </c>
      <c r="E3918" t="inlineStr">
        <is>
          <t>GISLAVED</t>
        </is>
      </c>
      <c r="G3918" t="n">
        <v>1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24182-2025</t>
        </is>
      </c>
      <c r="B3919" s="1" t="n">
        <v>45796.81549768519</v>
      </c>
      <c r="C3919" s="1" t="n">
        <v>45962</v>
      </c>
      <c r="D3919" t="inlineStr">
        <is>
          <t>JÖNKÖPINGS LÄN</t>
        </is>
      </c>
      <c r="E3919" t="inlineStr">
        <is>
          <t>VÄRNAMO</t>
        </is>
      </c>
      <c r="G3919" t="n">
        <v>1.5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28312-2025</t>
        </is>
      </c>
      <c r="B3920" s="1" t="n">
        <v>45818</v>
      </c>
      <c r="C3920" s="1" t="n">
        <v>45962</v>
      </c>
      <c r="D3920" t="inlineStr">
        <is>
          <t>JÖNKÖPINGS LÄN</t>
        </is>
      </c>
      <c r="E3920" t="inlineStr">
        <is>
          <t>GNOSJÖ</t>
        </is>
      </c>
      <c r="G3920" t="n">
        <v>0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17631-2024</t>
        </is>
      </c>
      <c r="B3921" s="1" t="n">
        <v>45418.32625</v>
      </c>
      <c r="C3921" s="1" t="n">
        <v>45962</v>
      </c>
      <c r="D3921" t="inlineStr">
        <is>
          <t>JÖNKÖPINGS LÄN</t>
        </is>
      </c>
      <c r="E3921" t="inlineStr">
        <is>
          <t>EKSJÖ</t>
        </is>
      </c>
      <c r="G3921" t="n">
        <v>3.4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23966-2025</t>
        </is>
      </c>
      <c r="B3922" s="1" t="n">
        <v>45796.3731712963</v>
      </c>
      <c r="C3922" s="1" t="n">
        <v>45962</v>
      </c>
      <c r="D3922" t="inlineStr">
        <is>
          <t>JÖNKÖPINGS LÄN</t>
        </is>
      </c>
      <c r="E3922" t="inlineStr">
        <is>
          <t>ANEBY</t>
        </is>
      </c>
      <c r="G3922" t="n">
        <v>0.6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57627-2021</t>
        </is>
      </c>
      <c r="B3923" s="1" t="n">
        <v>44484.38644675926</v>
      </c>
      <c r="C3923" s="1" t="n">
        <v>45962</v>
      </c>
      <c r="D3923" t="inlineStr">
        <is>
          <t>JÖNKÖPINGS LÄN</t>
        </is>
      </c>
      <c r="E3923" t="inlineStr">
        <is>
          <t>NÄSSJÖ</t>
        </is>
      </c>
      <c r="G3923" t="n">
        <v>1.5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55368-2024</t>
        </is>
      </c>
      <c r="B3924" s="1" t="n">
        <v>45621</v>
      </c>
      <c r="C3924" s="1" t="n">
        <v>45962</v>
      </c>
      <c r="D3924" t="inlineStr">
        <is>
          <t>JÖNKÖPINGS LÄN</t>
        </is>
      </c>
      <c r="E3924" t="inlineStr">
        <is>
          <t>HABO</t>
        </is>
      </c>
      <c r="G3924" t="n">
        <v>4.6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55372-2024</t>
        </is>
      </c>
      <c r="B3925" s="1" t="n">
        <v>45621.93097222222</v>
      </c>
      <c r="C3925" s="1" t="n">
        <v>45962</v>
      </c>
      <c r="D3925" t="inlineStr">
        <is>
          <t>JÖNKÖPINGS LÄN</t>
        </is>
      </c>
      <c r="E3925" t="inlineStr">
        <is>
          <t>HABO</t>
        </is>
      </c>
      <c r="G3925" t="n">
        <v>1.1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55375-2024</t>
        </is>
      </c>
      <c r="B3926" s="1" t="n">
        <v>45621.93724537037</v>
      </c>
      <c r="C3926" s="1" t="n">
        <v>45962</v>
      </c>
      <c r="D3926" t="inlineStr">
        <is>
          <t>JÖNKÖPINGS LÄN</t>
        </is>
      </c>
      <c r="E3926" t="inlineStr">
        <is>
          <t>HABO</t>
        </is>
      </c>
      <c r="G3926" t="n">
        <v>3.3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12438-2021</t>
        </is>
      </c>
      <c r="B3927" s="1" t="n">
        <v>44267.62804398148</v>
      </c>
      <c r="C3927" s="1" t="n">
        <v>45962</v>
      </c>
      <c r="D3927" t="inlineStr">
        <is>
          <t>JÖNKÖPINGS LÄN</t>
        </is>
      </c>
      <c r="E3927" t="inlineStr">
        <is>
          <t>EKSJÖ</t>
        </is>
      </c>
      <c r="F3927" t="inlineStr">
        <is>
          <t>Sveaskog</t>
        </is>
      </c>
      <c r="G3927" t="n">
        <v>0.9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12152-2025</t>
        </is>
      </c>
      <c r="B3928" s="1" t="n">
        <v>45729.41030092593</v>
      </c>
      <c r="C3928" s="1" t="n">
        <v>45962</v>
      </c>
      <c r="D3928" t="inlineStr">
        <is>
          <t>JÖNKÖPINGS LÄN</t>
        </is>
      </c>
      <c r="E3928" t="inlineStr">
        <is>
          <t>GISLAVED</t>
        </is>
      </c>
      <c r="G3928" t="n">
        <v>0.6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12483-2021</t>
        </is>
      </c>
      <c r="B3929" s="1" t="n">
        <v>44267.73493055555</v>
      </c>
      <c r="C3929" s="1" t="n">
        <v>45962</v>
      </c>
      <c r="D3929" t="inlineStr">
        <is>
          <t>JÖNKÖPINGS LÄN</t>
        </is>
      </c>
      <c r="E3929" t="inlineStr">
        <is>
          <t>EKSJÖ</t>
        </is>
      </c>
      <c r="G3929" t="n">
        <v>1.9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12521-2021</t>
        </is>
      </c>
      <c r="B3930" s="1" t="n">
        <v>44269</v>
      </c>
      <c r="C3930" s="1" t="n">
        <v>45962</v>
      </c>
      <c r="D3930" t="inlineStr">
        <is>
          <t>JÖNKÖPINGS LÄN</t>
        </is>
      </c>
      <c r="E3930" t="inlineStr">
        <is>
          <t>SÄVSJÖ</t>
        </is>
      </c>
      <c r="G3930" t="n">
        <v>1.8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19769-2025</t>
        </is>
      </c>
      <c r="B3931" s="1" t="n">
        <v>45771.41307870371</v>
      </c>
      <c r="C3931" s="1" t="n">
        <v>45962</v>
      </c>
      <c r="D3931" t="inlineStr">
        <is>
          <t>JÖNKÖPINGS LÄN</t>
        </is>
      </c>
      <c r="E3931" t="inlineStr">
        <is>
          <t>SÄVSJÖ</t>
        </is>
      </c>
      <c r="G3931" t="n">
        <v>2.8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15481-2023</t>
        </is>
      </c>
      <c r="B3932" s="1" t="n">
        <v>45020</v>
      </c>
      <c r="C3932" s="1" t="n">
        <v>45962</v>
      </c>
      <c r="D3932" t="inlineStr">
        <is>
          <t>JÖNKÖPINGS LÄN</t>
        </is>
      </c>
      <c r="E3932" t="inlineStr">
        <is>
          <t>ANEBY</t>
        </is>
      </c>
      <c r="G3932" t="n">
        <v>3.6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5082-2024</t>
        </is>
      </c>
      <c r="B3933" s="1" t="n">
        <v>45330</v>
      </c>
      <c r="C3933" s="1" t="n">
        <v>45962</v>
      </c>
      <c r="D3933" t="inlineStr">
        <is>
          <t>JÖNKÖPINGS LÄN</t>
        </is>
      </c>
      <c r="E3933" t="inlineStr">
        <is>
          <t>GNOSJÖ</t>
        </is>
      </c>
      <c r="G3933" t="n">
        <v>2.3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24905-2025</t>
        </is>
      </c>
      <c r="B3934" s="1" t="n">
        <v>45799.53121527778</v>
      </c>
      <c r="C3934" s="1" t="n">
        <v>45962</v>
      </c>
      <c r="D3934" t="inlineStr">
        <is>
          <t>JÖNKÖPINGS LÄN</t>
        </is>
      </c>
      <c r="E3934" t="inlineStr">
        <is>
          <t>GISLAVED</t>
        </is>
      </c>
      <c r="G3934" t="n">
        <v>3.9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19435-2022</t>
        </is>
      </c>
      <c r="B3935" s="1" t="n">
        <v>44693</v>
      </c>
      <c r="C3935" s="1" t="n">
        <v>45962</v>
      </c>
      <c r="D3935" t="inlineStr">
        <is>
          <t>JÖNKÖPINGS LÄN</t>
        </is>
      </c>
      <c r="E3935" t="inlineStr">
        <is>
          <t>VAGGERYD</t>
        </is>
      </c>
      <c r="F3935" t="inlineStr">
        <is>
          <t>Övriga statliga verk och myndigheter</t>
        </is>
      </c>
      <c r="G3935" t="n">
        <v>0.9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19444-2022</t>
        </is>
      </c>
      <c r="B3936" s="1" t="n">
        <v>44693.3846875</v>
      </c>
      <c r="C3936" s="1" t="n">
        <v>45962</v>
      </c>
      <c r="D3936" t="inlineStr">
        <is>
          <t>JÖNKÖPINGS LÄN</t>
        </is>
      </c>
      <c r="E3936" t="inlineStr">
        <is>
          <t>VETLANDA</t>
        </is>
      </c>
      <c r="G3936" t="n">
        <v>1.1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11792-2025</t>
        </is>
      </c>
      <c r="B3937" s="1" t="n">
        <v>45727.73561342592</v>
      </c>
      <c r="C3937" s="1" t="n">
        <v>45962</v>
      </c>
      <c r="D3937" t="inlineStr">
        <is>
          <t>JÖNKÖPINGS LÄN</t>
        </is>
      </c>
      <c r="E3937" t="inlineStr">
        <is>
          <t>GISLAVED</t>
        </is>
      </c>
      <c r="G3937" t="n">
        <v>1.9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11903-2025</t>
        </is>
      </c>
      <c r="B3938" s="1" t="n">
        <v>45728.48049768519</v>
      </c>
      <c r="C3938" s="1" t="n">
        <v>45962</v>
      </c>
      <c r="D3938" t="inlineStr">
        <is>
          <t>JÖNKÖPINGS LÄN</t>
        </is>
      </c>
      <c r="E3938" t="inlineStr">
        <is>
          <t>NÄSSJÖ</t>
        </is>
      </c>
      <c r="G3938" t="n">
        <v>0.8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14417-2025</t>
        </is>
      </c>
      <c r="B3939" s="1" t="n">
        <v>45741.4800462963</v>
      </c>
      <c r="C3939" s="1" t="n">
        <v>45962</v>
      </c>
      <c r="D3939" t="inlineStr">
        <is>
          <t>JÖNKÖPINGS LÄN</t>
        </is>
      </c>
      <c r="E3939" t="inlineStr">
        <is>
          <t>EKSJÖ</t>
        </is>
      </c>
      <c r="F3939" t="inlineStr">
        <is>
          <t>Sveaskog</t>
        </is>
      </c>
      <c r="G3939" t="n">
        <v>11.9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42818-2023</t>
        </is>
      </c>
      <c r="B3940" s="1" t="n">
        <v>45182.36129629629</v>
      </c>
      <c r="C3940" s="1" t="n">
        <v>45962</v>
      </c>
      <c r="D3940" t="inlineStr">
        <is>
          <t>JÖNKÖPINGS LÄN</t>
        </is>
      </c>
      <c r="E3940" t="inlineStr">
        <is>
          <t>JÖNKÖPING</t>
        </is>
      </c>
      <c r="G3940" t="n">
        <v>3.2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14532-2025</t>
        </is>
      </c>
      <c r="B3941" s="1" t="n">
        <v>45741.65699074074</v>
      </c>
      <c r="C3941" s="1" t="n">
        <v>45962</v>
      </c>
      <c r="D3941" t="inlineStr">
        <is>
          <t>JÖNKÖPINGS LÄN</t>
        </is>
      </c>
      <c r="E3941" t="inlineStr">
        <is>
          <t>JÖNKÖPING</t>
        </is>
      </c>
      <c r="G3941" t="n">
        <v>3.3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61948-2024</t>
        </is>
      </c>
      <c r="B3942" s="1" t="n">
        <v>45653.50658564815</v>
      </c>
      <c r="C3942" s="1" t="n">
        <v>45962</v>
      </c>
      <c r="D3942" t="inlineStr">
        <is>
          <t>JÖNKÖPINGS LÄN</t>
        </is>
      </c>
      <c r="E3942" t="inlineStr">
        <is>
          <t>ANEBY</t>
        </is>
      </c>
      <c r="G3942" t="n">
        <v>3.5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14641-2025</t>
        </is>
      </c>
      <c r="B3943" s="1" t="n">
        <v>45742</v>
      </c>
      <c r="C3943" s="1" t="n">
        <v>45962</v>
      </c>
      <c r="D3943" t="inlineStr">
        <is>
          <t>JÖNKÖPINGS LÄN</t>
        </is>
      </c>
      <c r="E3943" t="inlineStr">
        <is>
          <t>NÄSSJÖ</t>
        </is>
      </c>
      <c r="G3943" t="n">
        <v>1.6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26108-2024</t>
        </is>
      </c>
      <c r="B3944" s="1" t="n">
        <v>45468.44574074074</v>
      </c>
      <c r="C3944" s="1" t="n">
        <v>45962</v>
      </c>
      <c r="D3944" t="inlineStr">
        <is>
          <t>JÖNKÖPINGS LÄN</t>
        </is>
      </c>
      <c r="E3944" t="inlineStr">
        <is>
          <t>JÖNKÖPING</t>
        </is>
      </c>
      <c r="G3944" t="n">
        <v>3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31429-2024</t>
        </is>
      </c>
      <c r="B3945" s="1" t="n">
        <v>45505</v>
      </c>
      <c r="C3945" s="1" t="n">
        <v>45962</v>
      </c>
      <c r="D3945" t="inlineStr">
        <is>
          <t>JÖNKÖPINGS LÄN</t>
        </is>
      </c>
      <c r="E3945" t="inlineStr">
        <is>
          <t>VÄRNAMO</t>
        </is>
      </c>
      <c r="G3945" t="n">
        <v>0.7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33975-2024</t>
        </is>
      </c>
      <c r="B3946" s="1" t="n">
        <v>45523.5090625</v>
      </c>
      <c r="C3946" s="1" t="n">
        <v>45962</v>
      </c>
      <c r="D3946" t="inlineStr">
        <is>
          <t>JÖNKÖPINGS LÄN</t>
        </is>
      </c>
      <c r="E3946" t="inlineStr">
        <is>
          <t>JÖNKÖPING</t>
        </is>
      </c>
      <c r="F3946" t="inlineStr">
        <is>
          <t>Sveaskog</t>
        </is>
      </c>
      <c r="G3946" t="n">
        <v>1.6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39832-2023</t>
        </is>
      </c>
      <c r="B3947" s="1" t="n">
        <v>45168.32784722222</v>
      </c>
      <c r="C3947" s="1" t="n">
        <v>45962</v>
      </c>
      <c r="D3947" t="inlineStr">
        <is>
          <t>JÖNKÖPINGS LÄN</t>
        </is>
      </c>
      <c r="E3947" t="inlineStr">
        <is>
          <t>NÄSSJÖ</t>
        </is>
      </c>
      <c r="G3947" t="n">
        <v>0.4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24500-2025</t>
        </is>
      </c>
      <c r="B3948" s="1" t="n">
        <v>45798.39635416667</v>
      </c>
      <c r="C3948" s="1" t="n">
        <v>45962</v>
      </c>
      <c r="D3948" t="inlineStr">
        <is>
          <t>JÖNKÖPINGS LÄN</t>
        </is>
      </c>
      <c r="E3948" t="inlineStr">
        <is>
          <t>GNOSJÖ</t>
        </is>
      </c>
      <c r="G3948" t="n">
        <v>1.4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13617-2024</t>
        </is>
      </c>
      <c r="B3949" s="1" t="n">
        <v>45390.36922453704</v>
      </c>
      <c r="C3949" s="1" t="n">
        <v>45962</v>
      </c>
      <c r="D3949" t="inlineStr">
        <is>
          <t>JÖNKÖPINGS LÄN</t>
        </is>
      </c>
      <c r="E3949" t="inlineStr">
        <is>
          <t>GISLAVED</t>
        </is>
      </c>
      <c r="G3949" t="n">
        <v>2.5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38390-2024</t>
        </is>
      </c>
      <c r="B3950" s="1" t="n">
        <v>45546.32325231482</v>
      </c>
      <c r="C3950" s="1" t="n">
        <v>45962</v>
      </c>
      <c r="D3950" t="inlineStr">
        <is>
          <t>JÖNKÖPINGS LÄN</t>
        </is>
      </c>
      <c r="E3950" t="inlineStr">
        <is>
          <t>SÄVSJÖ</t>
        </is>
      </c>
      <c r="G3950" t="n">
        <v>0.6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38397-2024</t>
        </is>
      </c>
      <c r="B3951" s="1" t="n">
        <v>45546.33434027778</v>
      </c>
      <c r="C3951" s="1" t="n">
        <v>45962</v>
      </c>
      <c r="D3951" t="inlineStr">
        <is>
          <t>JÖNKÖPINGS LÄN</t>
        </is>
      </c>
      <c r="E3951" t="inlineStr">
        <is>
          <t>VETLANDA</t>
        </is>
      </c>
      <c r="G3951" t="n">
        <v>2.7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14817-2025</t>
        </is>
      </c>
      <c r="B3952" s="1" t="n">
        <v>45743.35166666667</v>
      </c>
      <c r="C3952" s="1" t="n">
        <v>45962</v>
      </c>
      <c r="D3952" t="inlineStr">
        <is>
          <t>JÖNKÖPINGS LÄN</t>
        </is>
      </c>
      <c r="E3952" t="inlineStr">
        <is>
          <t>EKSJÖ</t>
        </is>
      </c>
      <c r="G3952" t="n">
        <v>2.3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14543-2025</t>
        </is>
      </c>
      <c r="B3953" s="1" t="n">
        <v>45741.69303240741</v>
      </c>
      <c r="C3953" s="1" t="n">
        <v>45962</v>
      </c>
      <c r="D3953" t="inlineStr">
        <is>
          <t>JÖNKÖPINGS LÄN</t>
        </is>
      </c>
      <c r="E3953" t="inlineStr">
        <is>
          <t>JÖNKÖPING</t>
        </is>
      </c>
      <c r="G3953" t="n">
        <v>2.5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16915-2025</t>
        </is>
      </c>
      <c r="B3954" s="1" t="n">
        <v>45755</v>
      </c>
      <c r="C3954" s="1" t="n">
        <v>45962</v>
      </c>
      <c r="D3954" t="inlineStr">
        <is>
          <t>JÖNKÖPINGS LÄN</t>
        </is>
      </c>
      <c r="E3954" t="inlineStr">
        <is>
          <t>JÖNKÖPING</t>
        </is>
      </c>
      <c r="G3954" t="n">
        <v>1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13178-2025</t>
        </is>
      </c>
      <c r="B3955" s="1" t="n">
        <v>45735.37444444445</v>
      </c>
      <c r="C3955" s="1" t="n">
        <v>45962</v>
      </c>
      <c r="D3955" t="inlineStr">
        <is>
          <t>JÖNKÖPINGS LÄN</t>
        </is>
      </c>
      <c r="E3955" t="inlineStr">
        <is>
          <t>VETLANDA</t>
        </is>
      </c>
      <c r="G3955" t="n">
        <v>0.9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56039-2024</t>
        </is>
      </c>
      <c r="B3956" s="1" t="n">
        <v>45624.33329861111</v>
      </c>
      <c r="C3956" s="1" t="n">
        <v>45962</v>
      </c>
      <c r="D3956" t="inlineStr">
        <is>
          <t>JÖNKÖPINGS LÄN</t>
        </is>
      </c>
      <c r="E3956" t="inlineStr">
        <is>
          <t>EKSJÖ</t>
        </is>
      </c>
      <c r="G3956" t="n">
        <v>1.6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45818-2022</t>
        </is>
      </c>
      <c r="B3957" s="1" t="n">
        <v>44846.47868055556</v>
      </c>
      <c r="C3957" s="1" t="n">
        <v>45962</v>
      </c>
      <c r="D3957" t="inlineStr">
        <is>
          <t>JÖNKÖPINGS LÄN</t>
        </is>
      </c>
      <c r="E3957" t="inlineStr">
        <is>
          <t>VÄRNAMO</t>
        </is>
      </c>
      <c r="G3957" t="n">
        <v>2.5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19834-2025</t>
        </is>
      </c>
      <c r="B3958" s="1" t="n">
        <v>45771.47091435185</v>
      </c>
      <c r="C3958" s="1" t="n">
        <v>45962</v>
      </c>
      <c r="D3958" t="inlineStr">
        <is>
          <t>JÖNKÖPINGS LÄN</t>
        </is>
      </c>
      <c r="E3958" t="inlineStr">
        <is>
          <t>GISLAVED</t>
        </is>
      </c>
      <c r="G3958" t="n">
        <v>0.9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24440-2025</t>
        </is>
      </c>
      <c r="B3959" s="1" t="n">
        <v>45797.82753472222</v>
      </c>
      <c r="C3959" s="1" t="n">
        <v>45962</v>
      </c>
      <c r="D3959" t="inlineStr">
        <is>
          <t>JÖNKÖPINGS LÄN</t>
        </is>
      </c>
      <c r="E3959" t="inlineStr">
        <is>
          <t>MULLSJÖ</t>
        </is>
      </c>
      <c r="G3959" t="n">
        <v>1.1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11236-2024</t>
        </is>
      </c>
      <c r="B3960" s="1" t="n">
        <v>45371.60959490741</v>
      </c>
      <c r="C3960" s="1" t="n">
        <v>45962</v>
      </c>
      <c r="D3960" t="inlineStr">
        <is>
          <t>JÖNKÖPINGS LÄN</t>
        </is>
      </c>
      <c r="E3960" t="inlineStr">
        <is>
          <t>JÖNKÖPING</t>
        </is>
      </c>
      <c r="G3960" t="n">
        <v>0.3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12423-2025</t>
        </is>
      </c>
      <c r="B3961" s="1" t="n">
        <v>45730.45483796296</v>
      </c>
      <c r="C3961" s="1" t="n">
        <v>45962</v>
      </c>
      <c r="D3961" t="inlineStr">
        <is>
          <t>JÖNKÖPINGS LÄN</t>
        </is>
      </c>
      <c r="E3961" t="inlineStr">
        <is>
          <t>MULLSJÖ</t>
        </is>
      </c>
      <c r="G3961" t="n">
        <v>2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14653-2025</t>
        </is>
      </c>
      <c r="B3962" s="1" t="n">
        <v>45742.49528935185</v>
      </c>
      <c r="C3962" s="1" t="n">
        <v>45962</v>
      </c>
      <c r="D3962" t="inlineStr">
        <is>
          <t>JÖNKÖPINGS LÄN</t>
        </is>
      </c>
      <c r="E3962" t="inlineStr">
        <is>
          <t>VETLANDA</t>
        </is>
      </c>
      <c r="G3962" t="n">
        <v>4.6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5075-2021</t>
        </is>
      </c>
      <c r="B3963" s="1" t="n">
        <v>44228</v>
      </c>
      <c r="C3963" s="1" t="n">
        <v>45962</v>
      </c>
      <c r="D3963" t="inlineStr">
        <is>
          <t>JÖNKÖPINGS LÄN</t>
        </is>
      </c>
      <c r="E3963" t="inlineStr">
        <is>
          <t>VETLANDA</t>
        </is>
      </c>
      <c r="G3963" t="n">
        <v>1.5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6620-2022</t>
        </is>
      </c>
      <c r="B3964" s="1" t="n">
        <v>44601</v>
      </c>
      <c r="C3964" s="1" t="n">
        <v>45962</v>
      </c>
      <c r="D3964" t="inlineStr">
        <is>
          <t>JÖNKÖPINGS LÄN</t>
        </is>
      </c>
      <c r="E3964" t="inlineStr">
        <is>
          <t>SÄVSJÖ</t>
        </is>
      </c>
      <c r="F3964" t="inlineStr">
        <is>
          <t>Sveaskog</t>
        </is>
      </c>
      <c r="G3964" t="n">
        <v>1.2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14707-2025</t>
        </is>
      </c>
      <c r="B3965" s="1" t="n">
        <v>45742.60814814815</v>
      </c>
      <c r="C3965" s="1" t="n">
        <v>45962</v>
      </c>
      <c r="D3965" t="inlineStr">
        <is>
          <t>JÖNKÖPINGS LÄN</t>
        </is>
      </c>
      <c r="E3965" t="inlineStr">
        <is>
          <t>HABO</t>
        </is>
      </c>
      <c r="G3965" t="n">
        <v>4.2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11557-2025</t>
        </is>
      </c>
      <c r="B3966" s="1" t="n">
        <v>45727.35745370371</v>
      </c>
      <c r="C3966" s="1" t="n">
        <v>45962</v>
      </c>
      <c r="D3966" t="inlineStr">
        <is>
          <t>JÖNKÖPINGS LÄN</t>
        </is>
      </c>
      <c r="E3966" t="inlineStr">
        <is>
          <t>JÖNKÖPING</t>
        </is>
      </c>
      <c r="G3966" t="n">
        <v>1.9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11560-2025</t>
        </is>
      </c>
      <c r="B3967" s="1" t="n">
        <v>45727.36243055556</v>
      </c>
      <c r="C3967" s="1" t="n">
        <v>45962</v>
      </c>
      <c r="D3967" t="inlineStr">
        <is>
          <t>JÖNKÖPINGS LÄN</t>
        </is>
      </c>
      <c r="E3967" t="inlineStr">
        <is>
          <t>JÖNKÖPING</t>
        </is>
      </c>
      <c r="G3967" t="n">
        <v>1.9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12031-2025</t>
        </is>
      </c>
      <c r="B3968" s="1" t="n">
        <v>45728</v>
      </c>
      <c r="C3968" s="1" t="n">
        <v>45962</v>
      </c>
      <c r="D3968" t="inlineStr">
        <is>
          <t>JÖNKÖPINGS LÄN</t>
        </is>
      </c>
      <c r="E3968" t="inlineStr">
        <is>
          <t>NÄSSJÖ</t>
        </is>
      </c>
      <c r="G3968" t="n">
        <v>6.6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26706-2022</t>
        </is>
      </c>
      <c r="B3969" s="1" t="n">
        <v>44739.78042824074</v>
      </c>
      <c r="C3969" s="1" t="n">
        <v>45962</v>
      </c>
      <c r="D3969" t="inlineStr">
        <is>
          <t>JÖNKÖPINGS LÄN</t>
        </is>
      </c>
      <c r="E3969" t="inlineStr">
        <is>
          <t>EKSJÖ</t>
        </is>
      </c>
      <c r="G3969" t="n">
        <v>0.9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13581-2025</t>
        </is>
      </c>
      <c r="B3970" s="1" t="n">
        <v>45736.58967592593</v>
      </c>
      <c r="C3970" s="1" t="n">
        <v>45962</v>
      </c>
      <c r="D3970" t="inlineStr">
        <is>
          <t>JÖNKÖPINGS LÄN</t>
        </is>
      </c>
      <c r="E3970" t="inlineStr">
        <is>
          <t>TRANÅS</t>
        </is>
      </c>
      <c r="G3970" t="n">
        <v>5.5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13587-2025</t>
        </is>
      </c>
      <c r="B3971" s="1" t="n">
        <v>45736.59446759259</v>
      </c>
      <c r="C3971" s="1" t="n">
        <v>45962</v>
      </c>
      <c r="D3971" t="inlineStr">
        <is>
          <t>JÖNKÖPINGS LÄN</t>
        </is>
      </c>
      <c r="E3971" t="inlineStr">
        <is>
          <t>VETLANDA</t>
        </is>
      </c>
      <c r="G3971" t="n">
        <v>3.3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  <c r="U3971">
        <f>HYPERLINK("https://klasma.github.io/Logging_0685/knärot/A 13587-2025 karta knärot.png", "A 13587-2025")</f>
        <v/>
      </c>
      <c r="V3971">
        <f>HYPERLINK("https://klasma.github.io/Logging_0685/klagomål/A 13587-2025 FSC-klagomål.docx", "A 13587-2025")</f>
        <v/>
      </c>
      <c r="W3971">
        <f>HYPERLINK("https://klasma.github.io/Logging_0685/klagomålsmail/A 13587-2025 FSC-klagomål mail.docx", "A 13587-2025")</f>
        <v/>
      </c>
      <c r="X3971">
        <f>HYPERLINK("https://klasma.github.io/Logging_0685/tillsyn/A 13587-2025 tillsynsbegäran.docx", "A 13587-2025")</f>
        <v/>
      </c>
      <c r="Y3971">
        <f>HYPERLINK("https://klasma.github.io/Logging_0685/tillsynsmail/A 13587-2025 tillsynsbegäran mail.docx", "A 13587-2025")</f>
        <v/>
      </c>
    </row>
    <row r="3972" ht="15" customHeight="1">
      <c r="A3972" t="inlineStr">
        <is>
          <t>A 14317-2025</t>
        </is>
      </c>
      <c r="B3972" s="1" t="n">
        <v>45740.73518518519</v>
      </c>
      <c r="C3972" s="1" t="n">
        <v>45962</v>
      </c>
      <c r="D3972" t="inlineStr">
        <is>
          <t>JÖNKÖPINGS LÄN</t>
        </is>
      </c>
      <c r="E3972" t="inlineStr">
        <is>
          <t>GISLAVED</t>
        </is>
      </c>
      <c r="G3972" t="n">
        <v>1.2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14813-2025</t>
        </is>
      </c>
      <c r="B3973" s="1" t="n">
        <v>45743.34086805556</v>
      </c>
      <c r="C3973" s="1" t="n">
        <v>45962</v>
      </c>
      <c r="D3973" t="inlineStr">
        <is>
          <t>JÖNKÖPINGS LÄN</t>
        </is>
      </c>
      <c r="E3973" t="inlineStr">
        <is>
          <t>EKSJÖ</t>
        </is>
      </c>
      <c r="G3973" t="n">
        <v>1.9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62232-2023</t>
        </is>
      </c>
      <c r="B3974" s="1" t="n">
        <v>45267.58851851852</v>
      </c>
      <c r="C3974" s="1" t="n">
        <v>45962</v>
      </c>
      <c r="D3974" t="inlineStr">
        <is>
          <t>JÖNKÖPINGS LÄN</t>
        </is>
      </c>
      <c r="E3974" t="inlineStr">
        <is>
          <t>VÄRNAMO</t>
        </is>
      </c>
      <c r="G3974" t="n">
        <v>2.8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62263-2023</t>
        </is>
      </c>
      <c r="B3975" s="1" t="n">
        <v>45267.62943287037</v>
      </c>
      <c r="C3975" s="1" t="n">
        <v>45962</v>
      </c>
      <c r="D3975" t="inlineStr">
        <is>
          <t>JÖNKÖPINGS LÄN</t>
        </is>
      </c>
      <c r="E3975" t="inlineStr">
        <is>
          <t>JÖNKÖPING</t>
        </is>
      </c>
      <c r="G3975" t="n">
        <v>1.4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14335-2025</t>
        </is>
      </c>
      <c r="B3976" s="1" t="n">
        <v>45740.91412037037</v>
      </c>
      <c r="C3976" s="1" t="n">
        <v>45962</v>
      </c>
      <c r="D3976" t="inlineStr">
        <is>
          <t>JÖNKÖPINGS LÄN</t>
        </is>
      </c>
      <c r="E3976" t="inlineStr">
        <is>
          <t>JÖNKÖPING</t>
        </is>
      </c>
      <c r="G3976" t="n">
        <v>1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14382-2025</t>
        </is>
      </c>
      <c r="B3977" s="1" t="n">
        <v>45741.41645833333</v>
      </c>
      <c r="C3977" s="1" t="n">
        <v>45962</v>
      </c>
      <c r="D3977" t="inlineStr">
        <is>
          <t>JÖNKÖPINGS LÄN</t>
        </is>
      </c>
      <c r="E3977" t="inlineStr">
        <is>
          <t>EKSJÖ</t>
        </is>
      </c>
      <c r="F3977" t="inlineStr">
        <is>
          <t>Sveaskog</t>
        </is>
      </c>
      <c r="G3977" t="n">
        <v>3.2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44261-2022</t>
        </is>
      </c>
      <c r="B3978" s="1" t="n">
        <v>44839.57224537037</v>
      </c>
      <c r="C3978" s="1" t="n">
        <v>45962</v>
      </c>
      <c r="D3978" t="inlineStr">
        <is>
          <t>JÖNKÖPINGS LÄN</t>
        </is>
      </c>
      <c r="E3978" t="inlineStr">
        <is>
          <t>VETLANDA</t>
        </is>
      </c>
      <c r="G3978" t="n">
        <v>1.9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30931-2023</t>
        </is>
      </c>
      <c r="B3979" s="1" t="n">
        <v>45113</v>
      </c>
      <c r="C3979" s="1" t="n">
        <v>45962</v>
      </c>
      <c r="D3979" t="inlineStr">
        <is>
          <t>JÖNKÖPINGS LÄN</t>
        </is>
      </c>
      <c r="E3979" t="inlineStr">
        <is>
          <t>EKSJÖ</t>
        </is>
      </c>
      <c r="G3979" t="n">
        <v>0.9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14439-2025</t>
        </is>
      </c>
      <c r="B3980" s="1" t="n">
        <v>45741.51402777778</v>
      </c>
      <c r="C3980" s="1" t="n">
        <v>45962</v>
      </c>
      <c r="D3980" t="inlineStr">
        <is>
          <t>JÖNKÖPINGS LÄN</t>
        </is>
      </c>
      <c r="E3980" t="inlineStr">
        <is>
          <t>VETLANDA</t>
        </is>
      </c>
      <c r="F3980" t="inlineStr">
        <is>
          <t>Sveaskog</t>
        </is>
      </c>
      <c r="G3980" t="n">
        <v>3.5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14750-2025</t>
        </is>
      </c>
      <c r="B3981" s="1" t="n">
        <v>45742</v>
      </c>
      <c r="C3981" s="1" t="n">
        <v>45962</v>
      </c>
      <c r="D3981" t="inlineStr">
        <is>
          <t>JÖNKÖPINGS LÄN</t>
        </is>
      </c>
      <c r="E3981" t="inlineStr">
        <is>
          <t>VETLANDA</t>
        </is>
      </c>
      <c r="G3981" t="n">
        <v>5.4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12422-2025</t>
        </is>
      </c>
      <c r="B3982" s="1" t="n">
        <v>45730.45428240741</v>
      </c>
      <c r="C3982" s="1" t="n">
        <v>45962</v>
      </c>
      <c r="D3982" t="inlineStr">
        <is>
          <t>JÖNKÖPINGS LÄN</t>
        </is>
      </c>
      <c r="E3982" t="inlineStr">
        <is>
          <t>MULLSJÖ</t>
        </is>
      </c>
      <c r="G3982" t="n">
        <v>0.7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12376-2025</t>
        </is>
      </c>
      <c r="B3983" s="1" t="n">
        <v>45730.3782175926</v>
      </c>
      <c r="C3983" s="1" t="n">
        <v>45962</v>
      </c>
      <c r="D3983" t="inlineStr">
        <is>
          <t>JÖNKÖPINGS LÄN</t>
        </is>
      </c>
      <c r="E3983" t="inlineStr">
        <is>
          <t>JÖNKÖPING</t>
        </is>
      </c>
      <c r="F3983" t="inlineStr">
        <is>
          <t>Sveaskog</t>
        </is>
      </c>
      <c r="G3983" t="n">
        <v>1.3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13515-2025</t>
        </is>
      </c>
      <c r="B3984" s="1" t="n">
        <v>45736.47740740741</v>
      </c>
      <c r="C3984" s="1" t="n">
        <v>45962</v>
      </c>
      <c r="D3984" t="inlineStr">
        <is>
          <t>JÖNKÖPINGS LÄN</t>
        </is>
      </c>
      <c r="E3984" t="inlineStr">
        <is>
          <t>GISLAVED</t>
        </is>
      </c>
      <c r="G3984" t="n">
        <v>2.7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13677-2025</t>
        </is>
      </c>
      <c r="B3985" s="1" t="n">
        <v>45736</v>
      </c>
      <c r="C3985" s="1" t="n">
        <v>45962</v>
      </c>
      <c r="D3985" t="inlineStr">
        <is>
          <t>JÖNKÖPINGS LÄN</t>
        </is>
      </c>
      <c r="E3985" t="inlineStr">
        <is>
          <t>JÖNKÖPING</t>
        </is>
      </c>
      <c r="G3985" t="n">
        <v>3.5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14033-2025</t>
        </is>
      </c>
      <c r="B3986" s="1" t="n">
        <v>45740.36262731482</v>
      </c>
      <c r="C3986" s="1" t="n">
        <v>45962</v>
      </c>
      <c r="D3986" t="inlineStr">
        <is>
          <t>JÖNKÖPINGS LÄN</t>
        </is>
      </c>
      <c r="E3986" t="inlineStr">
        <is>
          <t>MULLSJÖ</t>
        </is>
      </c>
      <c r="G3986" t="n">
        <v>2.7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57360-2022</t>
        </is>
      </c>
      <c r="B3987" s="1" t="n">
        <v>44896.42854166667</v>
      </c>
      <c r="C3987" s="1" t="n">
        <v>45962</v>
      </c>
      <c r="D3987" t="inlineStr">
        <is>
          <t>JÖNKÖPINGS LÄN</t>
        </is>
      </c>
      <c r="E3987" t="inlineStr">
        <is>
          <t>HABO</t>
        </is>
      </c>
      <c r="G3987" t="n">
        <v>1.8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5932-2024</t>
        </is>
      </c>
      <c r="B3988" s="1" t="n">
        <v>45336.34726851852</v>
      </c>
      <c r="C3988" s="1" t="n">
        <v>45962</v>
      </c>
      <c r="D3988" t="inlineStr">
        <is>
          <t>JÖNKÖPINGS LÄN</t>
        </is>
      </c>
      <c r="E3988" t="inlineStr">
        <is>
          <t>VAGGERYD</t>
        </is>
      </c>
      <c r="G3988" t="n">
        <v>5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49900-2024</t>
        </is>
      </c>
      <c r="B3989" s="1" t="n">
        <v>45597.53744212963</v>
      </c>
      <c r="C3989" s="1" t="n">
        <v>45962</v>
      </c>
      <c r="D3989" t="inlineStr">
        <is>
          <t>JÖNKÖPINGS LÄN</t>
        </is>
      </c>
      <c r="E3989" t="inlineStr">
        <is>
          <t>JÖNKÖPING</t>
        </is>
      </c>
      <c r="G3989" t="n">
        <v>0.8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12794-2025</t>
        </is>
      </c>
      <c r="B3990" s="1" t="n">
        <v>45733.60925925926</v>
      </c>
      <c r="C3990" s="1" t="n">
        <v>45962</v>
      </c>
      <c r="D3990" t="inlineStr">
        <is>
          <t>JÖNKÖPINGS LÄN</t>
        </is>
      </c>
      <c r="E3990" t="inlineStr">
        <is>
          <t>SÄVSJÖ</t>
        </is>
      </c>
      <c r="G3990" t="n">
        <v>0.7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11345-2025</t>
        </is>
      </c>
      <c r="B3991" s="1" t="n">
        <v>45726.49972222222</v>
      </c>
      <c r="C3991" s="1" t="n">
        <v>45962</v>
      </c>
      <c r="D3991" t="inlineStr">
        <is>
          <t>JÖNKÖPINGS LÄN</t>
        </is>
      </c>
      <c r="E3991" t="inlineStr">
        <is>
          <t>EKSJÖ</t>
        </is>
      </c>
      <c r="G3991" t="n">
        <v>2.2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36180-2023</t>
        </is>
      </c>
      <c r="B3992" s="1" t="n">
        <v>45149</v>
      </c>
      <c r="C3992" s="1" t="n">
        <v>45962</v>
      </c>
      <c r="D3992" t="inlineStr">
        <is>
          <t>JÖNKÖPINGS LÄN</t>
        </is>
      </c>
      <c r="E3992" t="inlineStr">
        <is>
          <t>JÖNKÖPING</t>
        </is>
      </c>
      <c r="G3992" t="n">
        <v>0.5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17140-2025</t>
        </is>
      </c>
      <c r="B3993" s="1" t="n">
        <v>45755.82981481482</v>
      </c>
      <c r="C3993" s="1" t="n">
        <v>45962</v>
      </c>
      <c r="D3993" t="inlineStr">
        <is>
          <t>JÖNKÖPINGS LÄN</t>
        </is>
      </c>
      <c r="E3993" t="inlineStr">
        <is>
          <t>SÄVSJÖ</t>
        </is>
      </c>
      <c r="G3993" t="n">
        <v>1.8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24439-2025</t>
        </is>
      </c>
      <c r="B3994" s="1" t="n">
        <v>45797.82457175926</v>
      </c>
      <c r="C3994" s="1" t="n">
        <v>45962</v>
      </c>
      <c r="D3994" t="inlineStr">
        <is>
          <t>JÖNKÖPINGS LÄN</t>
        </is>
      </c>
      <c r="E3994" t="inlineStr">
        <is>
          <t>MULLSJÖ</t>
        </is>
      </c>
      <c r="G3994" t="n">
        <v>3.3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36105-2024</t>
        </is>
      </c>
      <c r="B3995" s="1" t="n">
        <v>45533.890625</v>
      </c>
      <c r="C3995" s="1" t="n">
        <v>45962</v>
      </c>
      <c r="D3995" t="inlineStr">
        <is>
          <t>JÖNKÖPINGS LÄN</t>
        </is>
      </c>
      <c r="E3995" t="inlineStr">
        <is>
          <t>TRANÅS</t>
        </is>
      </c>
      <c r="G3995" t="n">
        <v>1.5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16133-2022</t>
        </is>
      </c>
      <c r="B3996" s="1" t="n">
        <v>44665</v>
      </c>
      <c r="C3996" s="1" t="n">
        <v>45962</v>
      </c>
      <c r="D3996" t="inlineStr">
        <is>
          <t>JÖNKÖPINGS LÄN</t>
        </is>
      </c>
      <c r="E3996" t="inlineStr">
        <is>
          <t>MULLSJÖ</t>
        </is>
      </c>
      <c r="G3996" t="n">
        <v>0.7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57278-2020</t>
        </is>
      </c>
      <c r="B3997" s="1" t="n">
        <v>44139</v>
      </c>
      <c r="C3997" s="1" t="n">
        <v>45962</v>
      </c>
      <c r="D3997" t="inlineStr">
        <is>
          <t>JÖNKÖPINGS LÄN</t>
        </is>
      </c>
      <c r="E3997" t="inlineStr">
        <is>
          <t>VÄRNAMO</t>
        </is>
      </c>
      <c r="G3997" t="n">
        <v>0.8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14440-2025</t>
        </is>
      </c>
      <c r="B3998" s="1" t="n">
        <v>45741.51513888889</v>
      </c>
      <c r="C3998" s="1" t="n">
        <v>45962</v>
      </c>
      <c r="D3998" t="inlineStr">
        <is>
          <t>JÖNKÖPINGS LÄN</t>
        </is>
      </c>
      <c r="E3998" t="inlineStr">
        <is>
          <t>VETLANDA</t>
        </is>
      </c>
      <c r="F3998" t="inlineStr">
        <is>
          <t>Sveaskog</t>
        </is>
      </c>
      <c r="G3998" t="n">
        <v>1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14561-2025</t>
        </is>
      </c>
      <c r="B3999" s="1" t="n">
        <v>45741.78167824074</v>
      </c>
      <c r="C3999" s="1" t="n">
        <v>45962</v>
      </c>
      <c r="D3999" t="inlineStr">
        <is>
          <t>JÖNKÖPINGS LÄN</t>
        </is>
      </c>
      <c r="E3999" t="inlineStr">
        <is>
          <t>VETLANDA</t>
        </is>
      </c>
      <c r="G3999" t="n">
        <v>4.9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24979-2021</t>
        </is>
      </c>
      <c r="B4000" s="1" t="n">
        <v>44341.51594907408</v>
      </c>
      <c r="C4000" s="1" t="n">
        <v>45962</v>
      </c>
      <c r="D4000" t="inlineStr">
        <is>
          <t>JÖNKÖPINGS LÄN</t>
        </is>
      </c>
      <c r="E4000" t="inlineStr">
        <is>
          <t>VÄRNAMO</t>
        </is>
      </c>
      <c r="G4000" t="n">
        <v>2.5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31232-2022</t>
        </is>
      </c>
      <c r="B4001" s="1" t="n">
        <v>44771</v>
      </c>
      <c r="C4001" s="1" t="n">
        <v>45962</v>
      </c>
      <c r="D4001" t="inlineStr">
        <is>
          <t>JÖNKÖPINGS LÄN</t>
        </is>
      </c>
      <c r="E4001" t="inlineStr">
        <is>
          <t>TRANÅS</t>
        </is>
      </c>
      <c r="G4001" t="n">
        <v>2.2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31586-2021</t>
        </is>
      </c>
      <c r="B4002" s="1" t="n">
        <v>44369</v>
      </c>
      <c r="C4002" s="1" t="n">
        <v>45962</v>
      </c>
      <c r="D4002" t="inlineStr">
        <is>
          <t>JÖNKÖPINGS LÄN</t>
        </is>
      </c>
      <c r="E4002" t="inlineStr">
        <is>
          <t>NÄSSJÖ</t>
        </is>
      </c>
      <c r="G4002" t="n">
        <v>1.4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12049-2025</t>
        </is>
      </c>
      <c r="B4003" s="1" t="n">
        <v>45728.66796296297</v>
      </c>
      <c r="C4003" s="1" t="n">
        <v>45962</v>
      </c>
      <c r="D4003" t="inlineStr">
        <is>
          <t>JÖNKÖPINGS LÄN</t>
        </is>
      </c>
      <c r="E4003" t="inlineStr">
        <is>
          <t>VETLANDA</t>
        </is>
      </c>
      <c r="G4003" t="n">
        <v>4.6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49258-2024</t>
        </is>
      </c>
      <c r="B4004" s="1" t="n">
        <v>45595.47640046296</v>
      </c>
      <c r="C4004" s="1" t="n">
        <v>45962</v>
      </c>
      <c r="D4004" t="inlineStr">
        <is>
          <t>JÖNKÖPINGS LÄN</t>
        </is>
      </c>
      <c r="E4004" t="inlineStr">
        <is>
          <t>VETLANDA</t>
        </is>
      </c>
      <c r="G4004" t="n">
        <v>1.6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43923-2023</t>
        </is>
      </c>
      <c r="B4005" s="1" t="n">
        <v>45182</v>
      </c>
      <c r="C4005" s="1" t="n">
        <v>45962</v>
      </c>
      <c r="D4005" t="inlineStr">
        <is>
          <t>JÖNKÖPINGS LÄN</t>
        </is>
      </c>
      <c r="E4005" t="inlineStr">
        <is>
          <t>NÄSSJÖ</t>
        </is>
      </c>
      <c r="F4005" t="inlineStr">
        <is>
          <t>Övriga Aktiebolag</t>
        </is>
      </c>
      <c r="G4005" t="n">
        <v>0.9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24061-2024</t>
        </is>
      </c>
      <c r="B4006" s="1" t="n">
        <v>45456.54077546296</v>
      </c>
      <c r="C4006" s="1" t="n">
        <v>45962</v>
      </c>
      <c r="D4006" t="inlineStr">
        <is>
          <t>JÖNKÖPINGS LÄN</t>
        </is>
      </c>
      <c r="E4006" t="inlineStr">
        <is>
          <t>VAGGERYD</t>
        </is>
      </c>
      <c r="G4006" t="n">
        <v>32.5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24965-2025</t>
        </is>
      </c>
      <c r="B4007" s="1" t="n">
        <v>45799.5803125</v>
      </c>
      <c r="C4007" s="1" t="n">
        <v>45962</v>
      </c>
      <c r="D4007" t="inlineStr">
        <is>
          <t>JÖNKÖPINGS LÄN</t>
        </is>
      </c>
      <c r="E4007" t="inlineStr">
        <is>
          <t>JÖNKÖPING</t>
        </is>
      </c>
      <c r="G4007" t="n">
        <v>0.8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9193-2024</t>
        </is>
      </c>
      <c r="B4008" s="1" t="n">
        <v>45358.45503472222</v>
      </c>
      <c r="C4008" s="1" t="n">
        <v>45962</v>
      </c>
      <c r="D4008" t="inlineStr">
        <is>
          <t>JÖNKÖPINGS LÄN</t>
        </is>
      </c>
      <c r="E4008" t="inlineStr">
        <is>
          <t>ANEBY</t>
        </is>
      </c>
      <c r="F4008" t="inlineStr">
        <is>
          <t>Sveaskog</t>
        </is>
      </c>
      <c r="G4008" t="n">
        <v>8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60395-2023</t>
        </is>
      </c>
      <c r="B4009" s="1" t="n">
        <v>45259</v>
      </c>
      <c r="C4009" s="1" t="n">
        <v>45962</v>
      </c>
      <c r="D4009" t="inlineStr">
        <is>
          <t>JÖNKÖPINGS LÄN</t>
        </is>
      </c>
      <c r="E4009" t="inlineStr">
        <is>
          <t>VETLANDA</t>
        </is>
      </c>
      <c r="G4009" t="n">
        <v>2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2453-2023</t>
        </is>
      </c>
      <c r="B4010" s="1" t="n">
        <v>44943.44532407408</v>
      </c>
      <c r="C4010" s="1" t="n">
        <v>45962</v>
      </c>
      <c r="D4010" t="inlineStr">
        <is>
          <t>JÖNKÖPINGS LÄN</t>
        </is>
      </c>
      <c r="E4010" t="inlineStr">
        <is>
          <t>JÖNKÖPING</t>
        </is>
      </c>
      <c r="G4010" t="n">
        <v>1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3189-2024</t>
        </is>
      </c>
      <c r="B4011" s="1" t="n">
        <v>45316.66528935185</v>
      </c>
      <c r="C4011" s="1" t="n">
        <v>45962</v>
      </c>
      <c r="D4011" t="inlineStr">
        <is>
          <t>JÖNKÖPINGS LÄN</t>
        </is>
      </c>
      <c r="E4011" t="inlineStr">
        <is>
          <t>ANEBY</t>
        </is>
      </c>
      <c r="G4011" t="n">
        <v>2.5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13923-2021</t>
        </is>
      </c>
      <c r="B4012" s="1" t="n">
        <v>44277</v>
      </c>
      <c r="C4012" s="1" t="n">
        <v>45962</v>
      </c>
      <c r="D4012" t="inlineStr">
        <is>
          <t>JÖNKÖPINGS LÄN</t>
        </is>
      </c>
      <c r="E4012" t="inlineStr">
        <is>
          <t>NÄSSJÖ</t>
        </is>
      </c>
      <c r="G4012" t="n">
        <v>0.6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53645-2024</t>
        </is>
      </c>
      <c r="B4013" s="1" t="n">
        <v>45615.26976851852</v>
      </c>
      <c r="C4013" s="1" t="n">
        <v>45962</v>
      </c>
      <c r="D4013" t="inlineStr">
        <is>
          <t>JÖNKÖPINGS LÄN</t>
        </is>
      </c>
      <c r="E4013" t="inlineStr">
        <is>
          <t>GISLAVED</t>
        </is>
      </c>
      <c r="G4013" t="n">
        <v>1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7860-2021</t>
        </is>
      </c>
      <c r="B4014" s="1" t="n">
        <v>44242</v>
      </c>
      <c r="C4014" s="1" t="n">
        <v>45962</v>
      </c>
      <c r="D4014" t="inlineStr">
        <is>
          <t>JÖNKÖPINGS LÄN</t>
        </is>
      </c>
      <c r="E4014" t="inlineStr">
        <is>
          <t>VETLANDA</t>
        </is>
      </c>
      <c r="G4014" t="n">
        <v>2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17097-2024</t>
        </is>
      </c>
      <c r="B4015" s="1" t="n">
        <v>45412.52857638889</v>
      </c>
      <c r="C4015" s="1" t="n">
        <v>45962</v>
      </c>
      <c r="D4015" t="inlineStr">
        <is>
          <t>JÖNKÖPINGS LÄN</t>
        </is>
      </c>
      <c r="E4015" t="inlineStr">
        <is>
          <t>NÄSSJÖ</t>
        </is>
      </c>
      <c r="G4015" t="n">
        <v>1.8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12763-2021</t>
        </is>
      </c>
      <c r="B4016" s="1" t="n">
        <v>44270.67611111111</v>
      </c>
      <c r="C4016" s="1" t="n">
        <v>45962</v>
      </c>
      <c r="D4016" t="inlineStr">
        <is>
          <t>JÖNKÖPINGS LÄN</t>
        </is>
      </c>
      <c r="E4016" t="inlineStr">
        <is>
          <t>VETLANDA</t>
        </is>
      </c>
      <c r="G4016" t="n">
        <v>1.4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10167-2024</t>
        </is>
      </c>
      <c r="B4017" s="1" t="n">
        <v>45364.6840162037</v>
      </c>
      <c r="C4017" s="1" t="n">
        <v>45962</v>
      </c>
      <c r="D4017" t="inlineStr">
        <is>
          <t>JÖNKÖPINGS LÄN</t>
        </is>
      </c>
      <c r="E4017" t="inlineStr">
        <is>
          <t>HABO</t>
        </is>
      </c>
      <c r="G4017" t="n">
        <v>1.3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55656-2022</t>
        </is>
      </c>
      <c r="B4018" s="1" t="n">
        <v>44888</v>
      </c>
      <c r="C4018" s="1" t="n">
        <v>45962</v>
      </c>
      <c r="D4018" t="inlineStr">
        <is>
          <t>JÖNKÖPINGS LÄN</t>
        </is>
      </c>
      <c r="E4018" t="inlineStr">
        <is>
          <t>EKSJÖ</t>
        </is>
      </c>
      <c r="G4018" t="n">
        <v>4.1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49855-2024</t>
        </is>
      </c>
      <c r="B4019" s="1" t="n">
        <v>45597.468125</v>
      </c>
      <c r="C4019" s="1" t="n">
        <v>45962</v>
      </c>
      <c r="D4019" t="inlineStr">
        <is>
          <t>JÖNKÖPINGS LÄN</t>
        </is>
      </c>
      <c r="E4019" t="inlineStr">
        <is>
          <t>HABO</t>
        </is>
      </c>
      <c r="F4019" t="inlineStr">
        <is>
          <t>Sveaskog</t>
        </is>
      </c>
      <c r="G4019" t="n">
        <v>1.1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15802-2023</t>
        </is>
      </c>
      <c r="B4020" s="1" t="n">
        <v>45021</v>
      </c>
      <c r="C4020" s="1" t="n">
        <v>45962</v>
      </c>
      <c r="D4020" t="inlineStr">
        <is>
          <t>JÖNKÖPINGS LÄN</t>
        </is>
      </c>
      <c r="E4020" t="inlineStr">
        <is>
          <t>HABO</t>
        </is>
      </c>
      <c r="G4020" t="n">
        <v>2.2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54750-2022</t>
        </is>
      </c>
      <c r="B4021" s="1" t="n">
        <v>44881</v>
      </c>
      <c r="C4021" s="1" t="n">
        <v>45962</v>
      </c>
      <c r="D4021" t="inlineStr">
        <is>
          <t>JÖNKÖPINGS LÄN</t>
        </is>
      </c>
      <c r="E4021" t="inlineStr">
        <is>
          <t>TRANÅS</t>
        </is>
      </c>
      <c r="G4021" t="n">
        <v>3.4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12142-2025</t>
        </is>
      </c>
      <c r="B4022" s="1" t="n">
        <v>45729.40451388889</v>
      </c>
      <c r="C4022" s="1" t="n">
        <v>45962</v>
      </c>
      <c r="D4022" t="inlineStr">
        <is>
          <t>JÖNKÖPINGS LÄN</t>
        </is>
      </c>
      <c r="E4022" t="inlineStr">
        <is>
          <t>GISLAVED</t>
        </is>
      </c>
      <c r="G4022" t="n">
        <v>1.2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12151-2025</t>
        </is>
      </c>
      <c r="B4023" s="1" t="n">
        <v>45729.40857638889</v>
      </c>
      <c r="C4023" s="1" t="n">
        <v>45962</v>
      </c>
      <c r="D4023" t="inlineStr">
        <is>
          <t>JÖNKÖPINGS LÄN</t>
        </is>
      </c>
      <c r="E4023" t="inlineStr">
        <is>
          <t>GISLAVED</t>
        </is>
      </c>
      <c r="G4023" t="n">
        <v>2.1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5121-2024</t>
        </is>
      </c>
      <c r="B4024" s="1" t="n">
        <v>45330.43899305556</v>
      </c>
      <c r="C4024" s="1" t="n">
        <v>45962</v>
      </c>
      <c r="D4024" t="inlineStr">
        <is>
          <t>JÖNKÖPINGS LÄN</t>
        </is>
      </c>
      <c r="E4024" t="inlineStr">
        <is>
          <t>VETLANDA</t>
        </is>
      </c>
      <c r="G4024" t="n">
        <v>1.2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12991-2025</t>
        </is>
      </c>
      <c r="B4025" s="1" t="n">
        <v>45734.48027777778</v>
      </c>
      <c r="C4025" s="1" t="n">
        <v>45962</v>
      </c>
      <c r="D4025" t="inlineStr">
        <is>
          <t>JÖNKÖPINGS LÄN</t>
        </is>
      </c>
      <c r="E4025" t="inlineStr">
        <is>
          <t>HABO</t>
        </is>
      </c>
      <c r="G4025" t="n">
        <v>0.9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13065-2025</t>
        </is>
      </c>
      <c r="B4026" s="1" t="n">
        <v>45734.605625</v>
      </c>
      <c r="C4026" s="1" t="n">
        <v>45962</v>
      </c>
      <c r="D4026" t="inlineStr">
        <is>
          <t>JÖNKÖPINGS LÄN</t>
        </is>
      </c>
      <c r="E4026" t="inlineStr">
        <is>
          <t>VÄRNAMO</t>
        </is>
      </c>
      <c r="G4026" t="n">
        <v>2.8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55155-2024</t>
        </is>
      </c>
      <c r="B4027" s="1" t="n">
        <v>45621.49960648148</v>
      </c>
      <c r="C4027" s="1" t="n">
        <v>45962</v>
      </c>
      <c r="D4027" t="inlineStr">
        <is>
          <t>JÖNKÖPINGS LÄN</t>
        </is>
      </c>
      <c r="E4027" t="inlineStr">
        <is>
          <t>EKSJÖ</t>
        </is>
      </c>
      <c r="F4027" t="inlineStr">
        <is>
          <t>Sveaskog</t>
        </is>
      </c>
      <c r="G4027" t="n">
        <v>2.6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5213-2024</t>
        </is>
      </c>
      <c r="B4028" s="1" t="n">
        <v>45330.6340625</v>
      </c>
      <c r="C4028" s="1" t="n">
        <v>45962</v>
      </c>
      <c r="D4028" t="inlineStr">
        <is>
          <t>JÖNKÖPINGS LÄN</t>
        </is>
      </c>
      <c r="E4028" t="inlineStr">
        <is>
          <t>TRANÅS</t>
        </is>
      </c>
      <c r="F4028" t="inlineStr">
        <is>
          <t>Allmännings- och besparingsskogar</t>
        </is>
      </c>
      <c r="G4028" t="n">
        <v>3.5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3052-2025</t>
        </is>
      </c>
      <c r="B4029" s="1" t="n">
        <v>45678.614375</v>
      </c>
      <c r="C4029" s="1" t="n">
        <v>45962</v>
      </c>
      <c r="D4029" t="inlineStr">
        <is>
          <t>JÖNKÖPINGS LÄN</t>
        </is>
      </c>
      <c r="E4029" t="inlineStr">
        <is>
          <t>GISLAVED</t>
        </is>
      </c>
      <c r="G4029" t="n">
        <v>4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5222-2024</t>
        </is>
      </c>
      <c r="B4030" s="1" t="n">
        <v>45330</v>
      </c>
      <c r="C4030" s="1" t="n">
        <v>45962</v>
      </c>
      <c r="D4030" t="inlineStr">
        <is>
          <t>JÖNKÖPINGS LÄN</t>
        </is>
      </c>
      <c r="E4030" t="inlineStr">
        <is>
          <t>ANEBY</t>
        </is>
      </c>
      <c r="G4030" t="n">
        <v>2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27549-2022</t>
        </is>
      </c>
      <c r="B4031" s="1" t="n">
        <v>44742.8079050926</v>
      </c>
      <c r="C4031" s="1" t="n">
        <v>45962</v>
      </c>
      <c r="D4031" t="inlineStr">
        <is>
          <t>JÖNKÖPINGS LÄN</t>
        </is>
      </c>
      <c r="E4031" t="inlineStr">
        <is>
          <t>MULLSJÖ</t>
        </is>
      </c>
      <c r="G4031" t="n">
        <v>3.8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53936-2024</t>
        </is>
      </c>
      <c r="B4032" s="1" t="n">
        <v>45615.89965277778</v>
      </c>
      <c r="C4032" s="1" t="n">
        <v>45962</v>
      </c>
      <c r="D4032" t="inlineStr">
        <is>
          <t>JÖNKÖPINGS LÄN</t>
        </is>
      </c>
      <c r="E4032" t="inlineStr">
        <is>
          <t>JÖNKÖPING</t>
        </is>
      </c>
      <c r="G4032" t="n">
        <v>0.8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53938-2024</t>
        </is>
      </c>
      <c r="B4033" s="1" t="n">
        <v>45615.90662037037</v>
      </c>
      <c r="C4033" s="1" t="n">
        <v>45962</v>
      </c>
      <c r="D4033" t="inlineStr">
        <is>
          <t>JÖNKÖPINGS LÄN</t>
        </is>
      </c>
      <c r="E4033" t="inlineStr">
        <is>
          <t>JÖNKÖPING</t>
        </is>
      </c>
      <c r="G4033" t="n">
        <v>0.8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34021-2024</t>
        </is>
      </c>
      <c r="B4034" s="1" t="n">
        <v>45523.57994212963</v>
      </c>
      <c r="C4034" s="1" t="n">
        <v>45962</v>
      </c>
      <c r="D4034" t="inlineStr">
        <is>
          <t>JÖNKÖPINGS LÄN</t>
        </is>
      </c>
      <c r="E4034" t="inlineStr">
        <is>
          <t>EKSJÖ</t>
        </is>
      </c>
      <c r="G4034" t="n">
        <v>0.9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34024-2024</t>
        </is>
      </c>
      <c r="B4035" s="1" t="n">
        <v>45523.58461805555</v>
      </c>
      <c r="C4035" s="1" t="n">
        <v>45962</v>
      </c>
      <c r="D4035" t="inlineStr">
        <is>
          <t>JÖNKÖPINGS LÄN</t>
        </is>
      </c>
      <c r="E4035" t="inlineStr">
        <is>
          <t>JÖNKÖPING</t>
        </is>
      </c>
      <c r="F4035" t="inlineStr">
        <is>
          <t>Sveaskog</t>
        </is>
      </c>
      <c r="G4035" t="n">
        <v>2.3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52776-2024</t>
        </is>
      </c>
      <c r="B4036" s="1" t="n">
        <v>45610</v>
      </c>
      <c r="C4036" s="1" t="n">
        <v>45962</v>
      </c>
      <c r="D4036" t="inlineStr">
        <is>
          <t>JÖNKÖPINGS LÄN</t>
        </is>
      </c>
      <c r="E4036" t="inlineStr">
        <is>
          <t>VETLANDA</t>
        </is>
      </c>
      <c r="G4036" t="n">
        <v>0.9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34036-2024</t>
        </is>
      </c>
      <c r="B4037" s="1" t="n">
        <v>45523.59434027778</v>
      </c>
      <c r="C4037" s="1" t="n">
        <v>45962</v>
      </c>
      <c r="D4037" t="inlineStr">
        <is>
          <t>JÖNKÖPINGS LÄN</t>
        </is>
      </c>
      <c r="E4037" t="inlineStr">
        <is>
          <t>GISLAVED</t>
        </is>
      </c>
      <c r="G4037" t="n">
        <v>1.4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7828-2023</t>
        </is>
      </c>
      <c r="B4038" s="1" t="n">
        <v>44970</v>
      </c>
      <c r="C4038" s="1" t="n">
        <v>45962</v>
      </c>
      <c r="D4038" t="inlineStr">
        <is>
          <t>JÖNKÖPINGS LÄN</t>
        </is>
      </c>
      <c r="E4038" t="inlineStr">
        <is>
          <t>VETLANDA</t>
        </is>
      </c>
      <c r="G4038" t="n">
        <v>0.5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2490-2025</t>
        </is>
      </c>
      <c r="B4039" s="1" t="n">
        <v>45674.5031712963</v>
      </c>
      <c r="C4039" s="1" t="n">
        <v>45962</v>
      </c>
      <c r="D4039" t="inlineStr">
        <is>
          <t>JÖNKÖPINGS LÄN</t>
        </is>
      </c>
      <c r="E4039" t="inlineStr">
        <is>
          <t>VÄRNAMO</t>
        </is>
      </c>
      <c r="G4039" t="n">
        <v>3.1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24709-2025</t>
        </is>
      </c>
      <c r="B4040" s="1" t="n">
        <v>45798.84574074074</v>
      </c>
      <c r="C4040" s="1" t="n">
        <v>45962</v>
      </c>
      <c r="D4040" t="inlineStr">
        <is>
          <t>JÖNKÖPINGS LÄN</t>
        </is>
      </c>
      <c r="E4040" t="inlineStr">
        <is>
          <t>ANEBY</t>
        </is>
      </c>
      <c r="G4040" t="n">
        <v>1.6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14810-2025</t>
        </is>
      </c>
      <c r="B4041" s="1" t="n">
        <v>45743.32578703704</v>
      </c>
      <c r="C4041" s="1" t="n">
        <v>45962</v>
      </c>
      <c r="D4041" t="inlineStr">
        <is>
          <t>JÖNKÖPINGS LÄN</t>
        </is>
      </c>
      <c r="E4041" t="inlineStr">
        <is>
          <t>GNOSJÖ</t>
        </is>
      </c>
      <c r="G4041" t="n">
        <v>0.8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14923-2025</t>
        </is>
      </c>
      <c r="B4042" s="1" t="n">
        <v>45743</v>
      </c>
      <c r="C4042" s="1" t="n">
        <v>45962</v>
      </c>
      <c r="D4042" t="inlineStr">
        <is>
          <t>JÖNKÖPINGS LÄN</t>
        </is>
      </c>
      <c r="E4042" t="inlineStr">
        <is>
          <t>VETLANDA</t>
        </is>
      </c>
      <c r="G4042" t="n">
        <v>0.4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14982-2025</t>
        </is>
      </c>
      <c r="B4043" s="1" t="n">
        <v>45743.59641203703</v>
      </c>
      <c r="C4043" s="1" t="n">
        <v>45962</v>
      </c>
      <c r="D4043" t="inlineStr">
        <is>
          <t>JÖNKÖPINGS LÄN</t>
        </is>
      </c>
      <c r="E4043" t="inlineStr">
        <is>
          <t>JÖNKÖPING</t>
        </is>
      </c>
      <c r="G4043" t="n">
        <v>2.8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34045-2024</t>
        </is>
      </c>
      <c r="B4044" s="1" t="n">
        <v>45523.60236111111</v>
      </c>
      <c r="C4044" s="1" t="n">
        <v>45962</v>
      </c>
      <c r="D4044" t="inlineStr">
        <is>
          <t>JÖNKÖPINGS LÄN</t>
        </is>
      </c>
      <c r="E4044" t="inlineStr">
        <is>
          <t>EKSJÖ</t>
        </is>
      </c>
      <c r="G4044" t="n">
        <v>1.9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13514-2025</t>
        </is>
      </c>
      <c r="B4045" s="1" t="n">
        <v>45736.47576388889</v>
      </c>
      <c r="C4045" s="1" t="n">
        <v>45962</v>
      </c>
      <c r="D4045" t="inlineStr">
        <is>
          <t>JÖNKÖPINGS LÄN</t>
        </is>
      </c>
      <c r="E4045" t="inlineStr">
        <is>
          <t>GISLAVED</t>
        </is>
      </c>
      <c r="G4045" t="n">
        <v>1.9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14225-2025</t>
        </is>
      </c>
      <c r="B4046" s="1" t="n">
        <v>45740.59474537037</v>
      </c>
      <c r="C4046" s="1" t="n">
        <v>45962</v>
      </c>
      <c r="D4046" t="inlineStr">
        <is>
          <t>JÖNKÖPINGS LÄN</t>
        </is>
      </c>
      <c r="E4046" t="inlineStr">
        <is>
          <t>JÖNKÖPING</t>
        </is>
      </c>
      <c r="G4046" t="n">
        <v>7.3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34083-2023</t>
        </is>
      </c>
      <c r="B4047" s="1" t="n">
        <v>45125</v>
      </c>
      <c r="C4047" s="1" t="n">
        <v>45962</v>
      </c>
      <c r="D4047" t="inlineStr">
        <is>
          <t>JÖNKÖPINGS LÄN</t>
        </is>
      </c>
      <c r="E4047" t="inlineStr">
        <is>
          <t>GNOSJÖ</t>
        </is>
      </c>
      <c r="G4047" t="n">
        <v>2.6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47370-2023</t>
        </is>
      </c>
      <c r="B4048" s="1" t="n">
        <v>45202.60905092592</v>
      </c>
      <c r="C4048" s="1" t="n">
        <v>45962</v>
      </c>
      <c r="D4048" t="inlineStr">
        <is>
          <t>JÖNKÖPINGS LÄN</t>
        </is>
      </c>
      <c r="E4048" t="inlineStr">
        <is>
          <t>VETLANDA</t>
        </is>
      </c>
      <c r="G4048" t="n">
        <v>1.7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40887-2024</t>
        </is>
      </c>
      <c r="B4049" s="1" t="n">
        <v>45558.60836805555</v>
      </c>
      <c r="C4049" s="1" t="n">
        <v>45962</v>
      </c>
      <c r="D4049" t="inlineStr">
        <is>
          <t>JÖNKÖPINGS LÄN</t>
        </is>
      </c>
      <c r="E4049" t="inlineStr">
        <is>
          <t>VAGGERYD</t>
        </is>
      </c>
      <c r="F4049" t="inlineStr">
        <is>
          <t>Sveaskog</t>
        </is>
      </c>
      <c r="G4049" t="n">
        <v>1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49030-2024</t>
        </is>
      </c>
      <c r="B4050" s="1" t="n">
        <v>45594</v>
      </c>
      <c r="C4050" s="1" t="n">
        <v>45962</v>
      </c>
      <c r="D4050" t="inlineStr">
        <is>
          <t>JÖNKÖPINGS LÄN</t>
        </is>
      </c>
      <c r="E4050" t="inlineStr">
        <is>
          <t>GNOSJÖ</t>
        </is>
      </c>
      <c r="G4050" t="n">
        <v>4.4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16569-2025</t>
        </is>
      </c>
      <c r="B4051" s="1" t="n">
        <v>45752.46914351852</v>
      </c>
      <c r="C4051" s="1" t="n">
        <v>45962</v>
      </c>
      <c r="D4051" t="inlineStr">
        <is>
          <t>JÖNKÖPINGS LÄN</t>
        </is>
      </c>
      <c r="E4051" t="inlineStr">
        <is>
          <t>MULLSJÖ</t>
        </is>
      </c>
      <c r="G4051" t="n">
        <v>10.5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7186-2025</t>
        </is>
      </c>
      <c r="B4052" s="1" t="n">
        <v>45702.43134259259</v>
      </c>
      <c r="C4052" s="1" t="n">
        <v>45962</v>
      </c>
      <c r="D4052" t="inlineStr">
        <is>
          <t>JÖNKÖPINGS LÄN</t>
        </is>
      </c>
      <c r="E4052" t="inlineStr">
        <is>
          <t>VETLANDA</t>
        </is>
      </c>
      <c r="G4052" t="n">
        <v>2.1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20007-2021</t>
        </is>
      </c>
      <c r="B4053" s="1" t="n">
        <v>44313</v>
      </c>
      <c r="C4053" s="1" t="n">
        <v>45962</v>
      </c>
      <c r="D4053" t="inlineStr">
        <is>
          <t>JÖNKÖPINGS LÄN</t>
        </is>
      </c>
      <c r="E4053" t="inlineStr">
        <is>
          <t>NÄSSJÖ</t>
        </is>
      </c>
      <c r="G4053" t="n">
        <v>5.4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25400-2025</t>
        </is>
      </c>
      <c r="B4054" s="1" t="n">
        <v>45799</v>
      </c>
      <c r="C4054" s="1" t="n">
        <v>45962</v>
      </c>
      <c r="D4054" t="inlineStr">
        <is>
          <t>JÖNKÖPINGS LÄN</t>
        </is>
      </c>
      <c r="E4054" t="inlineStr">
        <is>
          <t>VAGGERYD</t>
        </is>
      </c>
      <c r="G4054" t="n">
        <v>2.4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11561-2025</t>
        </is>
      </c>
      <c r="B4055" s="1" t="n">
        <v>45727.36650462963</v>
      </c>
      <c r="C4055" s="1" t="n">
        <v>45962</v>
      </c>
      <c r="D4055" t="inlineStr">
        <is>
          <t>JÖNKÖPINGS LÄN</t>
        </is>
      </c>
      <c r="E4055" t="inlineStr">
        <is>
          <t>JÖNKÖPING</t>
        </is>
      </c>
      <c r="G4055" t="n">
        <v>1.1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16610-2025</t>
        </is>
      </c>
      <c r="B4056" s="1" t="n">
        <v>45753.91670138889</v>
      </c>
      <c r="C4056" s="1" t="n">
        <v>45962</v>
      </c>
      <c r="D4056" t="inlineStr">
        <is>
          <t>JÖNKÖPINGS LÄN</t>
        </is>
      </c>
      <c r="E4056" t="inlineStr">
        <is>
          <t>VAGGERYD</t>
        </is>
      </c>
      <c r="F4056" t="inlineStr">
        <is>
          <t>Sveaskog</t>
        </is>
      </c>
      <c r="G4056" t="n">
        <v>5.8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13789-2025</t>
        </is>
      </c>
      <c r="B4057" s="1" t="n">
        <v>45737.45528935185</v>
      </c>
      <c r="C4057" s="1" t="n">
        <v>45962</v>
      </c>
      <c r="D4057" t="inlineStr">
        <is>
          <t>JÖNKÖPINGS LÄN</t>
        </is>
      </c>
      <c r="E4057" t="inlineStr">
        <is>
          <t>VETLANDA</t>
        </is>
      </c>
      <c r="G4057" t="n">
        <v>0.5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13800-2025</t>
        </is>
      </c>
      <c r="B4058" s="1" t="n">
        <v>45737.48658564815</v>
      </c>
      <c r="C4058" s="1" t="n">
        <v>45962</v>
      </c>
      <c r="D4058" t="inlineStr">
        <is>
          <t>JÖNKÖPINGS LÄN</t>
        </is>
      </c>
      <c r="E4058" t="inlineStr">
        <is>
          <t>GISLAVED</t>
        </is>
      </c>
      <c r="F4058" t="inlineStr">
        <is>
          <t>Sveaskog</t>
        </is>
      </c>
      <c r="G4058" t="n">
        <v>1.2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13812-2025</t>
        </is>
      </c>
      <c r="B4059" s="1" t="n">
        <v>45737</v>
      </c>
      <c r="C4059" s="1" t="n">
        <v>45962</v>
      </c>
      <c r="D4059" t="inlineStr">
        <is>
          <t>JÖNKÖPINGS LÄN</t>
        </is>
      </c>
      <c r="E4059" t="inlineStr">
        <is>
          <t>VETLANDA</t>
        </is>
      </c>
      <c r="G4059" t="n">
        <v>4.5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6512-2023</t>
        </is>
      </c>
      <c r="B4060" s="1" t="n">
        <v>44966.38243055555</v>
      </c>
      <c r="C4060" s="1" t="n">
        <v>45962</v>
      </c>
      <c r="D4060" t="inlineStr">
        <is>
          <t>JÖNKÖPINGS LÄN</t>
        </is>
      </c>
      <c r="E4060" t="inlineStr">
        <is>
          <t>ANEBY</t>
        </is>
      </c>
      <c r="G4060" t="n">
        <v>1.7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14355-2025</t>
        </is>
      </c>
      <c r="B4061" s="1" t="n">
        <v>45741.36644675926</v>
      </c>
      <c r="C4061" s="1" t="n">
        <v>45962</v>
      </c>
      <c r="D4061" t="inlineStr">
        <is>
          <t>JÖNKÖPINGS LÄN</t>
        </is>
      </c>
      <c r="E4061" t="inlineStr">
        <is>
          <t>EKSJÖ</t>
        </is>
      </c>
      <c r="F4061" t="inlineStr">
        <is>
          <t>Sveaskog</t>
        </is>
      </c>
      <c r="G4061" t="n">
        <v>4.1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14376-2025</t>
        </is>
      </c>
      <c r="B4062" s="1" t="n">
        <v>45741.41033564815</v>
      </c>
      <c r="C4062" s="1" t="n">
        <v>45962</v>
      </c>
      <c r="D4062" t="inlineStr">
        <is>
          <t>JÖNKÖPINGS LÄN</t>
        </is>
      </c>
      <c r="E4062" t="inlineStr">
        <is>
          <t>EKSJÖ</t>
        </is>
      </c>
      <c r="F4062" t="inlineStr">
        <is>
          <t>Sveaskog</t>
        </is>
      </c>
      <c r="G4062" t="n">
        <v>2.8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24991-2025</t>
        </is>
      </c>
      <c r="B4063" s="1" t="n">
        <v>45799.61232638889</v>
      </c>
      <c r="C4063" s="1" t="n">
        <v>45962</v>
      </c>
      <c r="D4063" t="inlineStr">
        <is>
          <t>JÖNKÖPINGS LÄN</t>
        </is>
      </c>
      <c r="E4063" t="inlineStr">
        <is>
          <t>VETLANDA</t>
        </is>
      </c>
      <c r="G4063" t="n">
        <v>1.1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8723-2024</t>
        </is>
      </c>
      <c r="B4064" s="1" t="n">
        <v>45356.42046296296</v>
      </c>
      <c r="C4064" s="1" t="n">
        <v>45962</v>
      </c>
      <c r="D4064" t="inlineStr">
        <is>
          <t>JÖNKÖPINGS LÄN</t>
        </is>
      </c>
      <c r="E4064" t="inlineStr">
        <is>
          <t>NÄSSJÖ</t>
        </is>
      </c>
      <c r="G4064" t="n">
        <v>1.4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13311-2025</t>
        </is>
      </c>
      <c r="B4065" s="1" t="n">
        <v>45735.58962962963</v>
      </c>
      <c r="C4065" s="1" t="n">
        <v>45962</v>
      </c>
      <c r="D4065" t="inlineStr">
        <is>
          <t>JÖNKÖPINGS LÄN</t>
        </is>
      </c>
      <c r="E4065" t="inlineStr">
        <is>
          <t>GISLAVED</t>
        </is>
      </c>
      <c r="G4065" t="n">
        <v>1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17368-2025</t>
        </is>
      </c>
      <c r="B4066" s="1" t="n">
        <v>45756.81445601852</v>
      </c>
      <c r="C4066" s="1" t="n">
        <v>45962</v>
      </c>
      <c r="D4066" t="inlineStr">
        <is>
          <t>JÖNKÖPINGS LÄN</t>
        </is>
      </c>
      <c r="E4066" t="inlineStr">
        <is>
          <t>SÄVSJÖ</t>
        </is>
      </c>
      <c r="F4066" t="inlineStr">
        <is>
          <t>Kommuner</t>
        </is>
      </c>
      <c r="G4066" t="n">
        <v>1.5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12804-2025</t>
        </is>
      </c>
      <c r="B4067" s="1" t="n">
        <v>45733.61469907407</v>
      </c>
      <c r="C4067" s="1" t="n">
        <v>45962</v>
      </c>
      <c r="D4067" t="inlineStr">
        <is>
          <t>JÖNKÖPINGS LÄN</t>
        </is>
      </c>
      <c r="E4067" t="inlineStr">
        <is>
          <t>SÄVSJÖ</t>
        </is>
      </c>
      <c r="G4067" t="n">
        <v>0.5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12910-2025</t>
        </is>
      </c>
      <c r="B4068" s="1" t="n">
        <v>45733.83012731482</v>
      </c>
      <c r="C4068" s="1" t="n">
        <v>45962</v>
      </c>
      <c r="D4068" t="inlineStr">
        <is>
          <t>JÖNKÖPINGS LÄN</t>
        </is>
      </c>
      <c r="E4068" t="inlineStr">
        <is>
          <t>VETLANDA</t>
        </is>
      </c>
      <c r="G4068" t="n">
        <v>3.1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14029-2025</t>
        </is>
      </c>
      <c r="B4069" s="1" t="n">
        <v>45740.35556712963</v>
      </c>
      <c r="C4069" s="1" t="n">
        <v>45962</v>
      </c>
      <c r="D4069" t="inlineStr">
        <is>
          <t>JÖNKÖPINGS LÄN</t>
        </is>
      </c>
      <c r="E4069" t="inlineStr">
        <is>
          <t>MULLSJÖ</t>
        </is>
      </c>
      <c r="G4069" t="n">
        <v>1.1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56089-2024</t>
        </is>
      </c>
      <c r="B4070" s="1" t="n">
        <v>45624.40318287037</v>
      </c>
      <c r="C4070" s="1" t="n">
        <v>45962</v>
      </c>
      <c r="D4070" t="inlineStr">
        <is>
          <t>JÖNKÖPINGS LÄN</t>
        </is>
      </c>
      <c r="E4070" t="inlineStr">
        <is>
          <t>GISLAVED</t>
        </is>
      </c>
      <c r="G4070" t="n">
        <v>0.4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11731-2025</t>
        </is>
      </c>
      <c r="B4071" s="1" t="n">
        <v>45727.61900462963</v>
      </c>
      <c r="C4071" s="1" t="n">
        <v>45962</v>
      </c>
      <c r="D4071" t="inlineStr">
        <is>
          <t>JÖNKÖPINGS LÄN</t>
        </is>
      </c>
      <c r="E4071" t="inlineStr">
        <is>
          <t>GISLAVED</t>
        </is>
      </c>
      <c r="G4071" t="n">
        <v>0.5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11912-2025</t>
        </is>
      </c>
      <c r="B4072" s="1" t="n">
        <v>45728.48721064815</v>
      </c>
      <c r="C4072" s="1" t="n">
        <v>45962</v>
      </c>
      <c r="D4072" t="inlineStr">
        <is>
          <t>JÖNKÖPINGS LÄN</t>
        </is>
      </c>
      <c r="E4072" t="inlineStr">
        <is>
          <t>GISLAVED</t>
        </is>
      </c>
      <c r="F4072" t="inlineStr">
        <is>
          <t>Sveaskog</t>
        </is>
      </c>
      <c r="G4072" t="n">
        <v>0.4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47822-2023</t>
        </is>
      </c>
      <c r="B4073" s="1" t="n">
        <v>45204.35377314815</v>
      </c>
      <c r="C4073" s="1" t="n">
        <v>45962</v>
      </c>
      <c r="D4073" t="inlineStr">
        <is>
          <t>JÖNKÖPINGS LÄN</t>
        </is>
      </c>
      <c r="E4073" t="inlineStr">
        <is>
          <t>VÄRNAMO</t>
        </is>
      </c>
      <c r="G4073" t="n">
        <v>1.8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3835-2025</t>
        </is>
      </c>
      <c r="B4074" s="1" t="n">
        <v>45682.47550925926</v>
      </c>
      <c r="C4074" s="1" t="n">
        <v>45962</v>
      </c>
      <c r="D4074" t="inlineStr">
        <is>
          <t>JÖNKÖPINGS LÄN</t>
        </is>
      </c>
      <c r="E4074" t="inlineStr">
        <is>
          <t>JÖNKÖPING</t>
        </is>
      </c>
      <c r="G4074" t="n">
        <v>2.8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24861-2025</t>
        </is>
      </c>
      <c r="B4075" s="1" t="n">
        <v>45799.47976851852</v>
      </c>
      <c r="C4075" s="1" t="n">
        <v>45962</v>
      </c>
      <c r="D4075" t="inlineStr">
        <is>
          <t>JÖNKÖPINGS LÄN</t>
        </is>
      </c>
      <c r="E4075" t="inlineStr">
        <is>
          <t>GNOSJÖ</t>
        </is>
      </c>
      <c r="G4075" t="n">
        <v>5.6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24866-2025</t>
        </is>
      </c>
      <c r="B4076" s="1" t="n">
        <v>45799.48524305555</v>
      </c>
      <c r="C4076" s="1" t="n">
        <v>45962</v>
      </c>
      <c r="D4076" t="inlineStr">
        <is>
          <t>JÖNKÖPINGS LÄN</t>
        </is>
      </c>
      <c r="E4076" t="inlineStr">
        <is>
          <t>GNOSJÖ</t>
        </is>
      </c>
      <c r="G4076" t="n">
        <v>4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4625-2025</t>
        </is>
      </c>
      <c r="B4077" s="1" t="n">
        <v>45687.62136574074</v>
      </c>
      <c r="C4077" s="1" t="n">
        <v>45962</v>
      </c>
      <c r="D4077" t="inlineStr">
        <is>
          <t>JÖNKÖPINGS LÄN</t>
        </is>
      </c>
      <c r="E4077" t="inlineStr">
        <is>
          <t>GISLAVED</t>
        </is>
      </c>
      <c r="G4077" t="n">
        <v>2.1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18438-2023</t>
        </is>
      </c>
      <c r="B4078" s="1" t="n">
        <v>45042.4808449074</v>
      </c>
      <c r="C4078" s="1" t="n">
        <v>45962</v>
      </c>
      <c r="D4078" t="inlineStr">
        <is>
          <t>JÖNKÖPINGS LÄN</t>
        </is>
      </c>
      <c r="E4078" t="inlineStr">
        <is>
          <t>GISLAVED</t>
        </is>
      </c>
      <c r="G4078" t="n">
        <v>0.7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11957-2025</t>
        </is>
      </c>
      <c r="B4079" s="1" t="n">
        <v>45728.56989583333</v>
      </c>
      <c r="C4079" s="1" t="n">
        <v>45962</v>
      </c>
      <c r="D4079" t="inlineStr">
        <is>
          <t>JÖNKÖPINGS LÄN</t>
        </is>
      </c>
      <c r="E4079" t="inlineStr">
        <is>
          <t>EKSJÖ</t>
        </is>
      </c>
      <c r="F4079" t="inlineStr">
        <is>
          <t>Sveaskog</t>
        </is>
      </c>
      <c r="G4079" t="n">
        <v>2.7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12710-2025</t>
        </is>
      </c>
      <c r="B4080" s="1" t="n">
        <v>45733.47133101852</v>
      </c>
      <c r="C4080" s="1" t="n">
        <v>45962</v>
      </c>
      <c r="D4080" t="inlineStr">
        <is>
          <t>JÖNKÖPINGS LÄN</t>
        </is>
      </c>
      <c r="E4080" t="inlineStr">
        <is>
          <t>NÄSSJÖ</t>
        </is>
      </c>
      <c r="G4080" t="n">
        <v>3.1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4631-2025</t>
        </is>
      </c>
      <c r="B4081" s="1" t="n">
        <v>45687.62925925926</v>
      </c>
      <c r="C4081" s="1" t="n">
        <v>45962</v>
      </c>
      <c r="D4081" t="inlineStr">
        <is>
          <t>JÖNKÖPINGS LÄN</t>
        </is>
      </c>
      <c r="E4081" t="inlineStr">
        <is>
          <t>GISLAVED</t>
        </is>
      </c>
      <c r="G4081" t="n">
        <v>0.6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53327-2023</t>
        </is>
      </c>
      <c r="B4082" s="1" t="n">
        <v>45222</v>
      </c>
      <c r="C4082" s="1" t="n">
        <v>45962</v>
      </c>
      <c r="D4082" t="inlineStr">
        <is>
          <t>JÖNKÖPINGS LÄN</t>
        </is>
      </c>
      <c r="E4082" t="inlineStr">
        <is>
          <t>VETLANDA</t>
        </is>
      </c>
      <c r="G4082" t="n">
        <v>3.2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11905-2025</t>
        </is>
      </c>
      <c r="B4083" s="1" t="n">
        <v>45728.48363425926</v>
      </c>
      <c r="C4083" s="1" t="n">
        <v>45962</v>
      </c>
      <c r="D4083" t="inlineStr">
        <is>
          <t>JÖNKÖPINGS LÄN</t>
        </is>
      </c>
      <c r="E4083" t="inlineStr">
        <is>
          <t>GISLAVED</t>
        </is>
      </c>
      <c r="F4083" t="inlineStr">
        <is>
          <t>Sveaskog</t>
        </is>
      </c>
      <c r="G4083" t="n">
        <v>0.6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12233-2025</t>
        </is>
      </c>
      <c r="B4084" s="1" t="n">
        <v>45729.573125</v>
      </c>
      <c r="C4084" s="1" t="n">
        <v>45962</v>
      </c>
      <c r="D4084" t="inlineStr">
        <is>
          <t>JÖNKÖPINGS LÄN</t>
        </is>
      </c>
      <c r="E4084" t="inlineStr">
        <is>
          <t>VÄRNAMO</t>
        </is>
      </c>
      <c r="G4084" t="n">
        <v>5.9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30602-2024</t>
        </is>
      </c>
      <c r="B4085" s="1" t="n">
        <v>45494</v>
      </c>
      <c r="C4085" s="1" t="n">
        <v>45962</v>
      </c>
      <c r="D4085" t="inlineStr">
        <is>
          <t>JÖNKÖPINGS LÄN</t>
        </is>
      </c>
      <c r="E4085" t="inlineStr">
        <is>
          <t>GISLAVED</t>
        </is>
      </c>
      <c r="G4085" t="n">
        <v>2.5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13322-2025</t>
        </is>
      </c>
      <c r="B4086" s="1" t="n">
        <v>45735.59598379629</v>
      </c>
      <c r="C4086" s="1" t="n">
        <v>45962</v>
      </c>
      <c r="D4086" t="inlineStr">
        <is>
          <t>JÖNKÖPINGS LÄN</t>
        </is>
      </c>
      <c r="E4086" t="inlineStr">
        <is>
          <t>GISLAVED</t>
        </is>
      </c>
      <c r="G4086" t="n">
        <v>1.4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8346-2023</t>
        </is>
      </c>
      <c r="B4087" s="1" t="n">
        <v>44977.26300925926</v>
      </c>
      <c r="C4087" s="1" t="n">
        <v>45962</v>
      </c>
      <c r="D4087" t="inlineStr">
        <is>
          <t>JÖNKÖPINGS LÄN</t>
        </is>
      </c>
      <c r="E4087" t="inlineStr">
        <is>
          <t>JÖNKÖPING</t>
        </is>
      </c>
      <c r="G4087" t="n">
        <v>1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3279-2023</t>
        </is>
      </c>
      <c r="B4088" s="1" t="n">
        <v>44949</v>
      </c>
      <c r="C4088" s="1" t="n">
        <v>45962</v>
      </c>
      <c r="D4088" t="inlineStr">
        <is>
          <t>JÖNKÖPINGS LÄN</t>
        </is>
      </c>
      <c r="E4088" t="inlineStr">
        <is>
          <t>GISLAVED</t>
        </is>
      </c>
      <c r="G4088" t="n">
        <v>0.7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22268-2024</t>
        </is>
      </c>
      <c r="B4089" s="1" t="n">
        <v>45446.5096412037</v>
      </c>
      <c r="C4089" s="1" t="n">
        <v>45962</v>
      </c>
      <c r="D4089" t="inlineStr">
        <is>
          <t>JÖNKÖPINGS LÄN</t>
        </is>
      </c>
      <c r="E4089" t="inlineStr">
        <is>
          <t>VÄRNAMO</t>
        </is>
      </c>
      <c r="G4089" t="n">
        <v>1.1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22303-2024</t>
        </is>
      </c>
      <c r="B4090" s="1" t="n">
        <v>45446.56622685185</v>
      </c>
      <c r="C4090" s="1" t="n">
        <v>45962</v>
      </c>
      <c r="D4090" t="inlineStr">
        <is>
          <t>JÖNKÖPINGS LÄN</t>
        </is>
      </c>
      <c r="E4090" t="inlineStr">
        <is>
          <t>JÖNKÖPING</t>
        </is>
      </c>
      <c r="G4090" t="n">
        <v>4.1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11894-2025</t>
        </is>
      </c>
      <c r="B4091" s="1" t="n">
        <v>45728</v>
      </c>
      <c r="C4091" s="1" t="n">
        <v>45962</v>
      </c>
      <c r="D4091" t="inlineStr">
        <is>
          <t>JÖNKÖPINGS LÄN</t>
        </is>
      </c>
      <c r="E4091" t="inlineStr">
        <is>
          <t>JÖNKÖPING</t>
        </is>
      </c>
      <c r="G4091" t="n">
        <v>1.9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14362-2025</t>
        </is>
      </c>
      <c r="B4092" s="1" t="n">
        <v>45741.38179398148</v>
      </c>
      <c r="C4092" s="1" t="n">
        <v>45962</v>
      </c>
      <c r="D4092" t="inlineStr">
        <is>
          <t>JÖNKÖPINGS LÄN</t>
        </is>
      </c>
      <c r="E4092" t="inlineStr">
        <is>
          <t>EKSJÖ</t>
        </is>
      </c>
      <c r="F4092" t="inlineStr">
        <is>
          <t>Sveaskog</t>
        </is>
      </c>
      <c r="G4092" t="n">
        <v>1.5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45277-2024</t>
        </is>
      </c>
      <c r="B4093" s="1" t="n">
        <v>45576.36799768519</v>
      </c>
      <c r="C4093" s="1" t="n">
        <v>45962</v>
      </c>
      <c r="D4093" t="inlineStr">
        <is>
          <t>JÖNKÖPINGS LÄN</t>
        </is>
      </c>
      <c r="E4093" t="inlineStr">
        <is>
          <t>HABO</t>
        </is>
      </c>
      <c r="G4093" t="n">
        <v>0.5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16947-2021</t>
        </is>
      </c>
      <c r="B4094" s="1" t="n">
        <v>44295.55163194444</v>
      </c>
      <c r="C4094" s="1" t="n">
        <v>45962</v>
      </c>
      <c r="D4094" t="inlineStr">
        <is>
          <t>JÖNKÖPINGS LÄN</t>
        </is>
      </c>
      <c r="E4094" t="inlineStr">
        <is>
          <t>VETLANDA</t>
        </is>
      </c>
      <c r="G4094" t="n">
        <v>1.9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2340-2021</t>
        </is>
      </c>
      <c r="B4095" s="1" t="n">
        <v>44214</v>
      </c>
      <c r="C4095" s="1" t="n">
        <v>45962</v>
      </c>
      <c r="D4095" t="inlineStr">
        <is>
          <t>JÖNKÖPINGS LÄN</t>
        </is>
      </c>
      <c r="E4095" t="inlineStr">
        <is>
          <t>VÄRNAMO</t>
        </is>
      </c>
      <c r="G4095" t="n">
        <v>2.7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67515-2020</t>
        </is>
      </c>
      <c r="B4096" s="1" t="n">
        <v>44181</v>
      </c>
      <c r="C4096" s="1" t="n">
        <v>45962</v>
      </c>
      <c r="D4096" t="inlineStr">
        <is>
          <t>JÖNKÖPINGS LÄN</t>
        </is>
      </c>
      <c r="E4096" t="inlineStr">
        <is>
          <t>VETLANDA</t>
        </is>
      </c>
      <c r="G4096" t="n">
        <v>1.4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11962-2024</t>
        </is>
      </c>
      <c r="B4097" s="1" t="n">
        <v>45376.89543981481</v>
      </c>
      <c r="C4097" s="1" t="n">
        <v>45962</v>
      </c>
      <c r="D4097" t="inlineStr">
        <is>
          <t>JÖNKÖPINGS LÄN</t>
        </is>
      </c>
      <c r="E4097" t="inlineStr">
        <is>
          <t>VETLANDA</t>
        </is>
      </c>
      <c r="G4097" t="n">
        <v>1.6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50161-2022</t>
        </is>
      </c>
      <c r="B4098" s="1" t="n">
        <v>44860</v>
      </c>
      <c r="C4098" s="1" t="n">
        <v>45962</v>
      </c>
      <c r="D4098" t="inlineStr">
        <is>
          <t>JÖNKÖPINGS LÄN</t>
        </is>
      </c>
      <c r="E4098" t="inlineStr">
        <is>
          <t>GISLAVED</t>
        </is>
      </c>
      <c r="G4098" t="n">
        <v>1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12458-2025</t>
        </is>
      </c>
      <c r="B4099" s="1" t="n">
        <v>45730.52662037037</v>
      </c>
      <c r="C4099" s="1" t="n">
        <v>45962</v>
      </c>
      <c r="D4099" t="inlineStr">
        <is>
          <t>JÖNKÖPINGS LÄN</t>
        </is>
      </c>
      <c r="E4099" t="inlineStr">
        <is>
          <t>GISLAVED</t>
        </is>
      </c>
      <c r="G4099" t="n">
        <v>3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37912-2024</t>
        </is>
      </c>
      <c r="B4100" s="1" t="n">
        <v>45544</v>
      </c>
      <c r="C4100" s="1" t="n">
        <v>45962</v>
      </c>
      <c r="D4100" t="inlineStr">
        <is>
          <t>JÖNKÖPINGS LÄN</t>
        </is>
      </c>
      <c r="E4100" t="inlineStr">
        <is>
          <t>TRANÅS</t>
        </is>
      </c>
      <c r="G4100" t="n">
        <v>2.5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14064-2025</t>
        </is>
      </c>
      <c r="B4101" s="1" t="n">
        <v>45740.41469907408</v>
      </c>
      <c r="C4101" s="1" t="n">
        <v>45962</v>
      </c>
      <c r="D4101" t="inlineStr">
        <is>
          <t>JÖNKÖPINGS LÄN</t>
        </is>
      </c>
      <c r="E4101" t="inlineStr">
        <is>
          <t>MULLSJÖ</t>
        </is>
      </c>
      <c r="G4101" t="n">
        <v>0.6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43147-2023</t>
        </is>
      </c>
      <c r="B4102" s="1" t="n">
        <v>45183.31346064815</v>
      </c>
      <c r="C4102" s="1" t="n">
        <v>45962</v>
      </c>
      <c r="D4102" t="inlineStr">
        <is>
          <t>JÖNKÖPINGS LÄN</t>
        </is>
      </c>
      <c r="E4102" t="inlineStr">
        <is>
          <t>VETLANDA</t>
        </is>
      </c>
      <c r="G4102" t="n">
        <v>0.5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43160-2023</t>
        </is>
      </c>
      <c r="B4103" s="1" t="n">
        <v>45183.34355324074</v>
      </c>
      <c r="C4103" s="1" t="n">
        <v>45962</v>
      </c>
      <c r="D4103" t="inlineStr">
        <is>
          <t>JÖNKÖPINGS LÄN</t>
        </is>
      </c>
      <c r="E4103" t="inlineStr">
        <is>
          <t>HABO</t>
        </is>
      </c>
      <c r="G4103" t="n">
        <v>3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24883-2025</t>
        </is>
      </c>
      <c r="B4104" s="1" t="n">
        <v>45799.50469907407</v>
      </c>
      <c r="C4104" s="1" t="n">
        <v>45962</v>
      </c>
      <c r="D4104" t="inlineStr">
        <is>
          <t>JÖNKÖPINGS LÄN</t>
        </is>
      </c>
      <c r="E4104" t="inlineStr">
        <is>
          <t>JÖNKÖPING</t>
        </is>
      </c>
      <c r="G4104" t="n">
        <v>1.1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5128-2024</t>
        </is>
      </c>
      <c r="B4105" s="1" t="n">
        <v>45330</v>
      </c>
      <c r="C4105" s="1" t="n">
        <v>45962</v>
      </c>
      <c r="D4105" t="inlineStr">
        <is>
          <t>JÖNKÖPINGS LÄN</t>
        </is>
      </c>
      <c r="E4105" t="inlineStr">
        <is>
          <t>EKSJÖ</t>
        </is>
      </c>
      <c r="G4105" t="n">
        <v>5.5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61916-2021</t>
        </is>
      </c>
      <c r="B4106" s="1" t="n">
        <v>44501</v>
      </c>
      <c r="C4106" s="1" t="n">
        <v>45962</v>
      </c>
      <c r="D4106" t="inlineStr">
        <is>
          <t>JÖNKÖPINGS LÄN</t>
        </is>
      </c>
      <c r="E4106" t="inlineStr">
        <is>
          <t>GISLAVED</t>
        </is>
      </c>
      <c r="G4106" t="n">
        <v>9.300000000000001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40691-2023</t>
        </is>
      </c>
      <c r="B4107" s="1" t="n">
        <v>45169</v>
      </c>
      <c r="C4107" s="1" t="n">
        <v>45962</v>
      </c>
      <c r="D4107" t="inlineStr">
        <is>
          <t>JÖNKÖPINGS LÄN</t>
        </is>
      </c>
      <c r="E4107" t="inlineStr">
        <is>
          <t>VAGGERYD</t>
        </is>
      </c>
      <c r="G4107" t="n">
        <v>0.9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53186-2023</t>
        </is>
      </c>
      <c r="B4108" s="1" t="n">
        <v>45229.43722222222</v>
      </c>
      <c r="C4108" s="1" t="n">
        <v>45962</v>
      </c>
      <c r="D4108" t="inlineStr">
        <is>
          <t>JÖNKÖPINGS LÄN</t>
        </is>
      </c>
      <c r="E4108" t="inlineStr">
        <is>
          <t>VAGGERYD</t>
        </is>
      </c>
      <c r="G4108" t="n">
        <v>7.7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13759-2025</t>
        </is>
      </c>
      <c r="B4109" s="1" t="n">
        <v>45737.42380787037</v>
      </c>
      <c r="C4109" s="1" t="n">
        <v>45962</v>
      </c>
      <c r="D4109" t="inlineStr">
        <is>
          <t>JÖNKÖPINGS LÄN</t>
        </is>
      </c>
      <c r="E4109" t="inlineStr">
        <is>
          <t>NÄSSJÖ</t>
        </is>
      </c>
      <c r="G4109" t="n">
        <v>2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13369-2025</t>
        </is>
      </c>
      <c r="B4110" s="1" t="n">
        <v>45735.65969907407</v>
      </c>
      <c r="C4110" s="1" t="n">
        <v>45962</v>
      </c>
      <c r="D4110" t="inlineStr">
        <is>
          <t>JÖNKÖPINGS LÄN</t>
        </is>
      </c>
      <c r="E4110" t="inlineStr">
        <is>
          <t>JÖNKÖPING</t>
        </is>
      </c>
      <c r="G4110" t="n">
        <v>0.8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13991-2025</t>
        </is>
      </c>
      <c r="B4111" s="1" t="n">
        <v>45739.65790509259</v>
      </c>
      <c r="C4111" s="1" t="n">
        <v>45962</v>
      </c>
      <c r="D4111" t="inlineStr">
        <is>
          <t>JÖNKÖPINGS LÄN</t>
        </is>
      </c>
      <c r="E4111" t="inlineStr">
        <is>
          <t>VETLANDA</t>
        </is>
      </c>
      <c r="G4111" t="n">
        <v>2.3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14749-2025</t>
        </is>
      </c>
      <c r="B4112" s="1" t="n">
        <v>45742</v>
      </c>
      <c r="C4112" s="1" t="n">
        <v>45962</v>
      </c>
      <c r="D4112" t="inlineStr">
        <is>
          <t>JÖNKÖPINGS LÄN</t>
        </is>
      </c>
      <c r="E4112" t="inlineStr">
        <is>
          <t>VETLANDA</t>
        </is>
      </c>
      <c r="G4112" t="n">
        <v>11.8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39045-2024</t>
        </is>
      </c>
      <c r="B4113" s="1" t="n">
        <v>45548.4799537037</v>
      </c>
      <c r="C4113" s="1" t="n">
        <v>45962</v>
      </c>
      <c r="D4113" t="inlineStr">
        <is>
          <t>JÖNKÖPINGS LÄN</t>
        </is>
      </c>
      <c r="E4113" t="inlineStr">
        <is>
          <t>SÄVSJÖ</t>
        </is>
      </c>
      <c r="G4113" t="n">
        <v>6.2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11206-2025</t>
        </is>
      </c>
      <c r="B4114" s="1" t="n">
        <v>45726.32118055555</v>
      </c>
      <c r="C4114" s="1" t="n">
        <v>45962</v>
      </c>
      <c r="D4114" t="inlineStr">
        <is>
          <t>JÖNKÖPINGS LÄN</t>
        </is>
      </c>
      <c r="E4114" t="inlineStr">
        <is>
          <t>VÄRNAMO</t>
        </is>
      </c>
      <c r="G4114" t="n">
        <v>2.5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13791-2025</t>
        </is>
      </c>
      <c r="B4115" s="1" t="n">
        <v>45737.46738425926</v>
      </c>
      <c r="C4115" s="1" t="n">
        <v>45962</v>
      </c>
      <c r="D4115" t="inlineStr">
        <is>
          <t>JÖNKÖPINGS LÄN</t>
        </is>
      </c>
      <c r="E4115" t="inlineStr">
        <is>
          <t>VETLANDA</t>
        </is>
      </c>
      <c r="G4115" t="n">
        <v>2.2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14361-2025</t>
        </is>
      </c>
      <c r="B4116" s="1" t="n">
        <v>45741.37712962963</v>
      </c>
      <c r="C4116" s="1" t="n">
        <v>45962</v>
      </c>
      <c r="D4116" t="inlineStr">
        <is>
          <t>JÖNKÖPINGS LÄN</t>
        </is>
      </c>
      <c r="E4116" t="inlineStr">
        <is>
          <t>EKSJÖ</t>
        </is>
      </c>
      <c r="F4116" t="inlineStr">
        <is>
          <t>Sveaskog</t>
        </is>
      </c>
      <c r="G4116" t="n">
        <v>13.1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14366-2025</t>
        </is>
      </c>
      <c r="B4117" s="1" t="n">
        <v>45741.38883101852</v>
      </c>
      <c r="C4117" s="1" t="n">
        <v>45962</v>
      </c>
      <c r="D4117" t="inlineStr">
        <is>
          <t>JÖNKÖPINGS LÄN</t>
        </is>
      </c>
      <c r="E4117" t="inlineStr">
        <is>
          <t>EKSJÖ</t>
        </is>
      </c>
      <c r="F4117" t="inlineStr">
        <is>
          <t>Sveaskog</t>
        </is>
      </c>
      <c r="G4117" t="n">
        <v>3.4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54684-2023</t>
        </is>
      </c>
      <c r="B4118" s="1" t="n">
        <v>45235</v>
      </c>
      <c r="C4118" s="1" t="n">
        <v>45962</v>
      </c>
      <c r="D4118" t="inlineStr">
        <is>
          <t>JÖNKÖPINGS LÄN</t>
        </is>
      </c>
      <c r="E4118" t="inlineStr">
        <is>
          <t>GISLAVED</t>
        </is>
      </c>
      <c r="G4118" t="n">
        <v>3.5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61345-2023</t>
        </is>
      </c>
      <c r="B4119" s="1" t="n">
        <v>45264.59965277778</v>
      </c>
      <c r="C4119" s="1" t="n">
        <v>45962</v>
      </c>
      <c r="D4119" t="inlineStr">
        <is>
          <t>JÖNKÖPINGS LÄN</t>
        </is>
      </c>
      <c r="E4119" t="inlineStr">
        <is>
          <t>VÄRNAMO</t>
        </is>
      </c>
      <c r="G4119" t="n">
        <v>0.4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7091-2023</t>
        </is>
      </c>
      <c r="B4120" s="1" t="n">
        <v>44965</v>
      </c>
      <c r="C4120" s="1" t="n">
        <v>45962</v>
      </c>
      <c r="D4120" t="inlineStr">
        <is>
          <t>JÖNKÖPINGS LÄN</t>
        </is>
      </c>
      <c r="E4120" t="inlineStr">
        <is>
          <t>VETLANDA</t>
        </is>
      </c>
      <c r="G4120" t="n">
        <v>1.5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7181-2023</t>
        </is>
      </c>
      <c r="B4121" s="1" t="n">
        <v>44970</v>
      </c>
      <c r="C4121" s="1" t="n">
        <v>45962</v>
      </c>
      <c r="D4121" t="inlineStr">
        <is>
          <t>JÖNKÖPINGS LÄN</t>
        </is>
      </c>
      <c r="E4121" t="inlineStr">
        <is>
          <t>MULLSJÖ</t>
        </is>
      </c>
      <c r="F4121" t="inlineStr">
        <is>
          <t>Kommuner</t>
        </is>
      </c>
      <c r="G4121" t="n">
        <v>2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  <c r="U4121">
        <f>HYPERLINK("https://klasma.github.io/Logging_0642/knärot/A 7181-2023 karta knärot.png", "A 7181-2023")</f>
        <v/>
      </c>
      <c r="V4121">
        <f>HYPERLINK("https://klasma.github.io/Logging_0642/klagomål/A 7181-2023 FSC-klagomål.docx", "A 7181-2023")</f>
        <v/>
      </c>
      <c r="W4121">
        <f>HYPERLINK("https://klasma.github.io/Logging_0642/klagomålsmail/A 7181-2023 FSC-klagomål mail.docx", "A 7181-2023")</f>
        <v/>
      </c>
      <c r="X4121">
        <f>HYPERLINK("https://klasma.github.io/Logging_0642/tillsyn/A 7181-2023 tillsynsbegäran.docx", "A 7181-2023")</f>
        <v/>
      </c>
      <c r="Y4121">
        <f>HYPERLINK("https://klasma.github.io/Logging_0642/tillsynsmail/A 7181-2023 tillsynsbegäran mail.docx", "A 7181-2023")</f>
        <v/>
      </c>
    </row>
    <row r="4122" ht="15" customHeight="1">
      <c r="A4122" t="inlineStr">
        <is>
          <t>A 54747-2023</t>
        </is>
      </c>
      <c r="B4122" s="1" t="n">
        <v>45236</v>
      </c>
      <c r="C4122" s="1" t="n">
        <v>45962</v>
      </c>
      <c r="D4122" t="inlineStr">
        <is>
          <t>JÖNKÖPINGS LÄN</t>
        </is>
      </c>
      <c r="E4122" t="inlineStr">
        <is>
          <t>VAGGERYD</t>
        </is>
      </c>
      <c r="G4122" t="n">
        <v>0.5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2714-2025</t>
        </is>
      </c>
      <c r="B4123" s="1" t="n">
        <v>45677</v>
      </c>
      <c r="C4123" s="1" t="n">
        <v>45962</v>
      </c>
      <c r="D4123" t="inlineStr">
        <is>
          <t>JÖNKÖPINGS LÄN</t>
        </is>
      </c>
      <c r="E4123" t="inlineStr">
        <is>
          <t>NÄSSJÖ</t>
        </is>
      </c>
      <c r="G4123" t="n">
        <v>1.2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13861-2023</t>
        </is>
      </c>
      <c r="B4124" s="1" t="n">
        <v>45007.6435300926</v>
      </c>
      <c r="C4124" s="1" t="n">
        <v>45962</v>
      </c>
      <c r="D4124" t="inlineStr">
        <is>
          <t>JÖNKÖPINGS LÄN</t>
        </is>
      </c>
      <c r="E4124" t="inlineStr">
        <is>
          <t>VÄRNAMO</t>
        </is>
      </c>
      <c r="G4124" t="n">
        <v>1.1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9851-2024</t>
        </is>
      </c>
      <c r="B4125" s="1" t="n">
        <v>45363</v>
      </c>
      <c r="C4125" s="1" t="n">
        <v>45962</v>
      </c>
      <c r="D4125" t="inlineStr">
        <is>
          <t>JÖNKÖPINGS LÄN</t>
        </is>
      </c>
      <c r="E4125" t="inlineStr">
        <is>
          <t>VETLANDA</t>
        </is>
      </c>
      <c r="F4125" t="inlineStr">
        <is>
          <t>Kyrkan</t>
        </is>
      </c>
      <c r="G4125" t="n">
        <v>1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25120-2025</t>
        </is>
      </c>
      <c r="B4126" s="1" t="n">
        <v>45798</v>
      </c>
      <c r="C4126" s="1" t="n">
        <v>45962</v>
      </c>
      <c r="D4126" t="inlineStr">
        <is>
          <t>JÖNKÖPINGS LÄN</t>
        </is>
      </c>
      <c r="E4126" t="inlineStr">
        <is>
          <t>VAGGERYD</t>
        </is>
      </c>
      <c r="G4126" t="n">
        <v>0.5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10946-2025</t>
        </is>
      </c>
      <c r="B4127" s="1" t="n">
        <v>45723.3394675926</v>
      </c>
      <c r="C4127" s="1" t="n">
        <v>45962</v>
      </c>
      <c r="D4127" t="inlineStr">
        <is>
          <t>JÖNKÖPINGS LÄN</t>
        </is>
      </c>
      <c r="E4127" t="inlineStr">
        <is>
          <t>NÄSSJÖ</t>
        </is>
      </c>
      <c r="G4127" t="n">
        <v>3.2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50287-2024</t>
        </is>
      </c>
      <c r="B4128" s="1" t="n">
        <v>45600.61741898148</v>
      </c>
      <c r="C4128" s="1" t="n">
        <v>45962</v>
      </c>
      <c r="D4128" t="inlineStr">
        <is>
          <t>JÖNKÖPINGS LÄN</t>
        </is>
      </c>
      <c r="E4128" t="inlineStr">
        <is>
          <t>EKSJÖ</t>
        </is>
      </c>
      <c r="G4128" t="n">
        <v>0.7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24879-2025</t>
        </is>
      </c>
      <c r="B4129" s="1" t="n">
        <v>45799.49456018519</v>
      </c>
      <c r="C4129" s="1" t="n">
        <v>45962</v>
      </c>
      <c r="D4129" t="inlineStr">
        <is>
          <t>JÖNKÖPINGS LÄN</t>
        </is>
      </c>
      <c r="E4129" t="inlineStr">
        <is>
          <t>GNOSJÖ</t>
        </is>
      </c>
      <c r="G4129" t="n">
        <v>1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61449-2022</t>
        </is>
      </c>
      <c r="B4130" s="1" t="n">
        <v>44916.40109953703</v>
      </c>
      <c r="C4130" s="1" t="n">
        <v>45962</v>
      </c>
      <c r="D4130" t="inlineStr">
        <is>
          <t>JÖNKÖPINGS LÄN</t>
        </is>
      </c>
      <c r="E4130" t="inlineStr">
        <is>
          <t>VETLANDA</t>
        </is>
      </c>
      <c r="G4130" t="n">
        <v>2.3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5817-2021</t>
        </is>
      </c>
      <c r="B4131" s="1" t="n">
        <v>44231</v>
      </c>
      <c r="C4131" s="1" t="n">
        <v>45962</v>
      </c>
      <c r="D4131" t="inlineStr">
        <is>
          <t>JÖNKÖPINGS LÄN</t>
        </is>
      </c>
      <c r="E4131" t="inlineStr">
        <is>
          <t>JÖNKÖPING</t>
        </is>
      </c>
      <c r="G4131" t="n">
        <v>4.1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25114-2025</t>
        </is>
      </c>
      <c r="B4132" s="1" t="n">
        <v>45798</v>
      </c>
      <c r="C4132" s="1" t="n">
        <v>45962</v>
      </c>
      <c r="D4132" t="inlineStr">
        <is>
          <t>JÖNKÖPINGS LÄN</t>
        </is>
      </c>
      <c r="E4132" t="inlineStr">
        <is>
          <t>VAGGERYD</t>
        </is>
      </c>
      <c r="G4132" t="n">
        <v>3.3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44425-2023</t>
        </is>
      </c>
      <c r="B4133" s="1" t="n">
        <v>45189.343125</v>
      </c>
      <c r="C4133" s="1" t="n">
        <v>45962</v>
      </c>
      <c r="D4133" t="inlineStr">
        <is>
          <t>JÖNKÖPINGS LÄN</t>
        </is>
      </c>
      <c r="E4133" t="inlineStr">
        <is>
          <t>VÄRNAMO</t>
        </is>
      </c>
      <c r="G4133" t="n">
        <v>2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36042-2024</t>
        </is>
      </c>
      <c r="B4134" s="1" t="n">
        <v>45533.60511574074</v>
      </c>
      <c r="C4134" s="1" t="n">
        <v>45962</v>
      </c>
      <c r="D4134" t="inlineStr">
        <is>
          <t>JÖNKÖPINGS LÄN</t>
        </is>
      </c>
      <c r="E4134" t="inlineStr">
        <is>
          <t>EKSJÖ</t>
        </is>
      </c>
      <c r="G4134" t="n">
        <v>0.7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12743-2025</t>
        </is>
      </c>
      <c r="B4135" s="1" t="n">
        <v>45733.54864583333</v>
      </c>
      <c r="C4135" s="1" t="n">
        <v>45962</v>
      </c>
      <c r="D4135" t="inlineStr">
        <is>
          <t>JÖNKÖPINGS LÄN</t>
        </is>
      </c>
      <c r="E4135" t="inlineStr">
        <is>
          <t>GISLAVED</t>
        </is>
      </c>
      <c r="G4135" t="n">
        <v>1.5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12746-2025</t>
        </is>
      </c>
      <c r="B4136" s="1" t="n">
        <v>45733.55269675926</v>
      </c>
      <c r="C4136" s="1" t="n">
        <v>45962</v>
      </c>
      <c r="D4136" t="inlineStr">
        <is>
          <t>JÖNKÖPINGS LÄN</t>
        </is>
      </c>
      <c r="E4136" t="inlineStr">
        <is>
          <t>GISLAVED</t>
        </is>
      </c>
      <c r="G4136" t="n">
        <v>5.2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2832-2022</t>
        </is>
      </c>
      <c r="B4137" s="1" t="n">
        <v>44581.43232638889</v>
      </c>
      <c r="C4137" s="1" t="n">
        <v>45962</v>
      </c>
      <c r="D4137" t="inlineStr">
        <is>
          <t>JÖNKÖPINGS LÄN</t>
        </is>
      </c>
      <c r="E4137" t="inlineStr">
        <is>
          <t>GISLAVED</t>
        </is>
      </c>
      <c r="F4137" t="inlineStr">
        <is>
          <t>Kommuner</t>
        </is>
      </c>
      <c r="G4137" t="n">
        <v>3.4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50704-2022</t>
        </is>
      </c>
      <c r="B4138" s="1" t="n">
        <v>44867.32956018519</v>
      </c>
      <c r="C4138" s="1" t="n">
        <v>45962</v>
      </c>
      <c r="D4138" t="inlineStr">
        <is>
          <t>JÖNKÖPINGS LÄN</t>
        </is>
      </c>
      <c r="E4138" t="inlineStr">
        <is>
          <t>GISLAVED</t>
        </is>
      </c>
      <c r="G4138" t="n">
        <v>1.5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12621-2023</t>
        </is>
      </c>
      <c r="B4139" s="1" t="n">
        <v>45000</v>
      </c>
      <c r="C4139" s="1" t="n">
        <v>45962</v>
      </c>
      <c r="D4139" t="inlineStr">
        <is>
          <t>JÖNKÖPINGS LÄN</t>
        </is>
      </c>
      <c r="E4139" t="inlineStr">
        <is>
          <t>VETLANDA</t>
        </is>
      </c>
      <c r="G4139" t="n">
        <v>1.1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4429-2023</t>
        </is>
      </c>
      <c r="B4140" s="1" t="n">
        <v>44956.4115625</v>
      </c>
      <c r="C4140" s="1" t="n">
        <v>45962</v>
      </c>
      <c r="D4140" t="inlineStr">
        <is>
          <t>JÖNKÖPINGS LÄN</t>
        </is>
      </c>
      <c r="E4140" t="inlineStr">
        <is>
          <t>VÄRNAMO</t>
        </is>
      </c>
      <c r="G4140" t="n">
        <v>0.5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13144-2025</t>
        </is>
      </c>
      <c r="B4141" s="1" t="n">
        <v>45735</v>
      </c>
      <c r="C4141" s="1" t="n">
        <v>45962</v>
      </c>
      <c r="D4141" t="inlineStr">
        <is>
          <t>JÖNKÖPINGS LÄN</t>
        </is>
      </c>
      <c r="E4141" t="inlineStr">
        <is>
          <t>JÖNKÖPING</t>
        </is>
      </c>
      <c r="G4141" t="n">
        <v>1.5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13164-2025</t>
        </is>
      </c>
      <c r="B4142" s="1" t="n">
        <v>45735.36429398148</v>
      </c>
      <c r="C4142" s="1" t="n">
        <v>45962</v>
      </c>
      <c r="D4142" t="inlineStr">
        <is>
          <t>JÖNKÖPINGS LÄN</t>
        </is>
      </c>
      <c r="E4142" t="inlineStr">
        <is>
          <t>VETLANDA</t>
        </is>
      </c>
      <c r="G4142" t="n">
        <v>1.9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13255-2025</t>
        </is>
      </c>
      <c r="B4143" s="1" t="n">
        <v>45735</v>
      </c>
      <c r="C4143" s="1" t="n">
        <v>45962</v>
      </c>
      <c r="D4143" t="inlineStr">
        <is>
          <t>JÖNKÖPINGS LÄN</t>
        </is>
      </c>
      <c r="E4143" t="inlineStr">
        <is>
          <t>VETLANDA</t>
        </is>
      </c>
      <c r="G4143" t="n">
        <v>4.4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13931-2025</t>
        </is>
      </c>
      <c r="B4144" s="1" t="n">
        <v>45737.67416666666</v>
      </c>
      <c r="C4144" s="1" t="n">
        <v>45962</v>
      </c>
      <c r="D4144" t="inlineStr">
        <is>
          <t>JÖNKÖPINGS LÄN</t>
        </is>
      </c>
      <c r="E4144" t="inlineStr">
        <is>
          <t>JÖNKÖPING</t>
        </is>
      </c>
      <c r="G4144" t="n">
        <v>1.2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12404-2025</t>
        </is>
      </c>
      <c r="B4145" s="1" t="n">
        <v>45730.42434027778</v>
      </c>
      <c r="C4145" s="1" t="n">
        <v>45962</v>
      </c>
      <c r="D4145" t="inlineStr">
        <is>
          <t>JÖNKÖPINGS LÄN</t>
        </is>
      </c>
      <c r="E4145" t="inlineStr">
        <is>
          <t>VETLANDA</t>
        </is>
      </c>
      <c r="G4145" t="n">
        <v>1.2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11669-2025</t>
        </is>
      </c>
      <c r="B4146" s="1" t="n">
        <v>45727.51495370371</v>
      </c>
      <c r="C4146" s="1" t="n">
        <v>45962</v>
      </c>
      <c r="D4146" t="inlineStr">
        <is>
          <t>JÖNKÖPINGS LÄN</t>
        </is>
      </c>
      <c r="E4146" t="inlineStr">
        <is>
          <t>EKSJÖ</t>
        </is>
      </c>
      <c r="G4146" t="n">
        <v>0.6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12932-2025</t>
        </is>
      </c>
      <c r="B4147" s="1" t="n">
        <v>45734.35039351852</v>
      </c>
      <c r="C4147" s="1" t="n">
        <v>45962</v>
      </c>
      <c r="D4147" t="inlineStr">
        <is>
          <t>JÖNKÖPINGS LÄN</t>
        </is>
      </c>
      <c r="E4147" t="inlineStr">
        <is>
          <t>JÖNKÖPING</t>
        </is>
      </c>
      <c r="G4147" t="n">
        <v>3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12933-2025</t>
        </is>
      </c>
      <c r="B4148" s="1" t="n">
        <v>45734.35122685185</v>
      </c>
      <c r="C4148" s="1" t="n">
        <v>45962</v>
      </c>
      <c r="D4148" t="inlineStr">
        <is>
          <t>JÖNKÖPINGS LÄN</t>
        </is>
      </c>
      <c r="E4148" t="inlineStr">
        <is>
          <t>JÖNKÖPING</t>
        </is>
      </c>
      <c r="G4148" t="n">
        <v>1.6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58876-2021</t>
        </is>
      </c>
      <c r="B4149" s="1" t="n">
        <v>44489.64912037037</v>
      </c>
      <c r="C4149" s="1" t="n">
        <v>45962</v>
      </c>
      <c r="D4149" t="inlineStr">
        <is>
          <t>JÖNKÖPINGS LÄN</t>
        </is>
      </c>
      <c r="E4149" t="inlineStr">
        <is>
          <t>VAGGERYD</t>
        </is>
      </c>
      <c r="G4149" t="n">
        <v>7.8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69263-2021</t>
        </is>
      </c>
      <c r="B4150" s="1" t="n">
        <v>44531.43190972223</v>
      </c>
      <c r="C4150" s="1" t="n">
        <v>45962</v>
      </c>
      <c r="D4150" t="inlineStr">
        <is>
          <t>JÖNKÖPINGS LÄN</t>
        </is>
      </c>
      <c r="E4150" t="inlineStr">
        <is>
          <t>VETLANDA</t>
        </is>
      </c>
      <c r="G4150" t="n">
        <v>3.6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12288-2025</t>
        </is>
      </c>
      <c r="B4151" s="1" t="n">
        <v>45729.67428240741</v>
      </c>
      <c r="C4151" s="1" t="n">
        <v>45962</v>
      </c>
      <c r="D4151" t="inlineStr">
        <is>
          <t>JÖNKÖPINGS LÄN</t>
        </is>
      </c>
      <c r="E4151" t="inlineStr">
        <is>
          <t>NÄSSJÖ</t>
        </is>
      </c>
      <c r="G4151" t="n">
        <v>1.3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12305-2025</t>
        </is>
      </c>
      <c r="B4152" s="1" t="n">
        <v>45729</v>
      </c>
      <c r="C4152" s="1" t="n">
        <v>45962</v>
      </c>
      <c r="D4152" t="inlineStr">
        <is>
          <t>JÖNKÖPINGS LÄN</t>
        </is>
      </c>
      <c r="E4152" t="inlineStr">
        <is>
          <t>NÄSSJÖ</t>
        </is>
      </c>
      <c r="G4152" t="n">
        <v>9.4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56875-2024</t>
        </is>
      </c>
      <c r="B4153" s="1" t="n">
        <v>45628.56390046296</v>
      </c>
      <c r="C4153" s="1" t="n">
        <v>45962</v>
      </c>
      <c r="D4153" t="inlineStr">
        <is>
          <t>JÖNKÖPINGS LÄN</t>
        </is>
      </c>
      <c r="E4153" t="inlineStr">
        <is>
          <t>TRANÅS</t>
        </is>
      </c>
      <c r="G4153" t="n">
        <v>5.3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37080-2023</t>
        </is>
      </c>
      <c r="B4154" s="1" t="n">
        <v>45155.48686342593</v>
      </c>
      <c r="C4154" s="1" t="n">
        <v>45962</v>
      </c>
      <c r="D4154" t="inlineStr">
        <is>
          <t>JÖNKÖPINGS LÄN</t>
        </is>
      </c>
      <c r="E4154" t="inlineStr">
        <is>
          <t>GISLAVED</t>
        </is>
      </c>
      <c r="G4154" t="n">
        <v>1.6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44360-2023</t>
        </is>
      </c>
      <c r="B4155" s="1" t="n">
        <v>45188</v>
      </c>
      <c r="C4155" s="1" t="n">
        <v>45962</v>
      </c>
      <c r="D4155" t="inlineStr">
        <is>
          <t>JÖNKÖPINGS LÄN</t>
        </is>
      </c>
      <c r="E4155" t="inlineStr">
        <is>
          <t>NÄSSJÖ</t>
        </is>
      </c>
      <c r="G4155" t="n">
        <v>1.4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60382-2020</t>
        </is>
      </c>
      <c r="B4156" s="1" t="n">
        <v>44152</v>
      </c>
      <c r="C4156" s="1" t="n">
        <v>45962</v>
      </c>
      <c r="D4156" t="inlineStr">
        <is>
          <t>JÖNKÖPINGS LÄN</t>
        </is>
      </c>
      <c r="E4156" t="inlineStr">
        <is>
          <t>SÄVSJÖ</t>
        </is>
      </c>
      <c r="G4156" t="n">
        <v>0.9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24677-2025</t>
        </is>
      </c>
      <c r="B4157" s="1" t="n">
        <v>45798.65495370371</v>
      </c>
      <c r="C4157" s="1" t="n">
        <v>45962</v>
      </c>
      <c r="D4157" t="inlineStr">
        <is>
          <t>JÖNKÖPINGS LÄN</t>
        </is>
      </c>
      <c r="E4157" t="inlineStr">
        <is>
          <t>EKSJÖ</t>
        </is>
      </c>
      <c r="G4157" t="n">
        <v>1.2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37083-2023</t>
        </is>
      </c>
      <c r="B4158" s="1" t="n">
        <v>45154</v>
      </c>
      <c r="C4158" s="1" t="n">
        <v>45962</v>
      </c>
      <c r="D4158" t="inlineStr">
        <is>
          <t>JÖNKÖPINGS LÄN</t>
        </is>
      </c>
      <c r="E4158" t="inlineStr">
        <is>
          <t>VÄRNAMO</t>
        </is>
      </c>
      <c r="G4158" t="n">
        <v>5.2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24708-2025</t>
        </is>
      </c>
      <c r="B4159" s="1" t="n">
        <v>45798.84240740741</v>
      </c>
      <c r="C4159" s="1" t="n">
        <v>45962</v>
      </c>
      <c r="D4159" t="inlineStr">
        <is>
          <t>JÖNKÖPINGS LÄN</t>
        </is>
      </c>
      <c r="E4159" t="inlineStr">
        <is>
          <t>ANEBY</t>
        </is>
      </c>
      <c r="G4159" t="n">
        <v>11.7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12088-2021</t>
        </is>
      </c>
      <c r="B4160" s="1" t="n">
        <v>44266.50493055556</v>
      </c>
      <c r="C4160" s="1" t="n">
        <v>45962</v>
      </c>
      <c r="D4160" t="inlineStr">
        <is>
          <t>JÖNKÖPINGS LÄN</t>
        </is>
      </c>
      <c r="E4160" t="inlineStr">
        <is>
          <t>EKSJÖ</t>
        </is>
      </c>
      <c r="G4160" t="n">
        <v>0.8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43613-2023</t>
        </is>
      </c>
      <c r="B4161" s="1" t="n">
        <v>45184</v>
      </c>
      <c r="C4161" s="1" t="n">
        <v>45962</v>
      </c>
      <c r="D4161" t="inlineStr">
        <is>
          <t>JÖNKÖPINGS LÄN</t>
        </is>
      </c>
      <c r="E4161" t="inlineStr">
        <is>
          <t>ANEBY</t>
        </is>
      </c>
      <c r="G4161" t="n">
        <v>5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21000-2025</t>
        </is>
      </c>
      <c r="B4162" s="1" t="n">
        <v>45777</v>
      </c>
      <c r="C4162" s="1" t="n">
        <v>45962</v>
      </c>
      <c r="D4162" t="inlineStr">
        <is>
          <t>JÖNKÖPINGS LÄN</t>
        </is>
      </c>
      <c r="E4162" t="inlineStr">
        <is>
          <t>EKSJÖ</t>
        </is>
      </c>
      <c r="F4162" t="inlineStr">
        <is>
          <t>Kommuner</t>
        </is>
      </c>
      <c r="G4162" t="n">
        <v>4.6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22263-2025</t>
        </is>
      </c>
      <c r="B4163" s="1" t="n">
        <v>45785.79543981481</v>
      </c>
      <c r="C4163" s="1" t="n">
        <v>45962</v>
      </c>
      <c r="D4163" t="inlineStr">
        <is>
          <t>JÖNKÖPINGS LÄN</t>
        </is>
      </c>
      <c r="E4163" t="inlineStr">
        <is>
          <t>SÄVSJÖ</t>
        </is>
      </c>
      <c r="G4163" t="n">
        <v>1.8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25391-2025</t>
        </is>
      </c>
      <c r="B4164" s="1" t="n">
        <v>45799</v>
      </c>
      <c r="C4164" s="1" t="n">
        <v>45962</v>
      </c>
      <c r="D4164" t="inlineStr">
        <is>
          <t>JÖNKÖPINGS LÄN</t>
        </is>
      </c>
      <c r="E4164" t="inlineStr">
        <is>
          <t>VAGGERYD</t>
        </is>
      </c>
      <c r="G4164" t="n">
        <v>2.5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43234-2023</t>
        </is>
      </c>
      <c r="B4165" s="1" t="n">
        <v>45183.47331018518</v>
      </c>
      <c r="C4165" s="1" t="n">
        <v>45962</v>
      </c>
      <c r="D4165" t="inlineStr">
        <is>
          <t>JÖNKÖPINGS LÄN</t>
        </is>
      </c>
      <c r="E4165" t="inlineStr">
        <is>
          <t>VETLANDA</t>
        </is>
      </c>
      <c r="G4165" t="n">
        <v>2.3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12742-2025</t>
        </is>
      </c>
      <c r="B4166" s="1" t="n">
        <v>45733.54788194445</v>
      </c>
      <c r="C4166" s="1" t="n">
        <v>45962</v>
      </c>
      <c r="D4166" t="inlineStr">
        <is>
          <t>JÖNKÖPINGS LÄN</t>
        </is>
      </c>
      <c r="E4166" t="inlineStr">
        <is>
          <t>VETLANDA</t>
        </is>
      </c>
      <c r="G4166" t="n">
        <v>2.6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12748-2025</t>
        </is>
      </c>
      <c r="B4167" s="1" t="n">
        <v>45733.55436342592</v>
      </c>
      <c r="C4167" s="1" t="n">
        <v>45962</v>
      </c>
      <c r="D4167" t="inlineStr">
        <is>
          <t>JÖNKÖPINGS LÄN</t>
        </is>
      </c>
      <c r="E4167" t="inlineStr">
        <is>
          <t>VETLANDA</t>
        </is>
      </c>
      <c r="G4167" t="n">
        <v>1.7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47296-2023</t>
        </is>
      </c>
      <c r="B4168" s="1" t="n">
        <v>45202</v>
      </c>
      <c r="C4168" s="1" t="n">
        <v>45962</v>
      </c>
      <c r="D4168" t="inlineStr">
        <is>
          <t>JÖNKÖPINGS LÄN</t>
        </is>
      </c>
      <c r="E4168" t="inlineStr">
        <is>
          <t>ANEBY</t>
        </is>
      </c>
      <c r="F4168" t="inlineStr">
        <is>
          <t>Sveaskog</t>
        </is>
      </c>
      <c r="G4168" t="n">
        <v>0.6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25011-2025</t>
        </is>
      </c>
      <c r="B4169" s="1" t="n">
        <v>45799</v>
      </c>
      <c r="C4169" s="1" t="n">
        <v>45962</v>
      </c>
      <c r="D4169" t="inlineStr">
        <is>
          <t>JÖNKÖPINGS LÄN</t>
        </is>
      </c>
      <c r="E4169" t="inlineStr">
        <is>
          <t>VETLANDA</t>
        </is>
      </c>
      <c r="G4169" t="n">
        <v>1.7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47309-2023</t>
        </is>
      </c>
      <c r="B4170" s="1" t="n">
        <v>45202</v>
      </c>
      <c r="C4170" s="1" t="n">
        <v>45962</v>
      </c>
      <c r="D4170" t="inlineStr">
        <is>
          <t>JÖNKÖPINGS LÄN</t>
        </is>
      </c>
      <c r="E4170" t="inlineStr">
        <is>
          <t>ANEBY</t>
        </is>
      </c>
      <c r="F4170" t="inlineStr">
        <is>
          <t>Sveaskog</t>
        </is>
      </c>
      <c r="G4170" t="n">
        <v>1.6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48968-2021</t>
        </is>
      </c>
      <c r="B4171" s="1" t="n">
        <v>44453.40046296296</v>
      </c>
      <c r="C4171" s="1" t="n">
        <v>45962</v>
      </c>
      <c r="D4171" t="inlineStr">
        <is>
          <t>JÖNKÖPINGS LÄN</t>
        </is>
      </c>
      <c r="E4171" t="inlineStr">
        <is>
          <t>NÄSSJÖ</t>
        </is>
      </c>
      <c r="G4171" t="n">
        <v>1.1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49128-2021</t>
        </is>
      </c>
      <c r="B4172" s="1" t="n">
        <v>44453.89114583333</v>
      </c>
      <c r="C4172" s="1" t="n">
        <v>45962</v>
      </c>
      <c r="D4172" t="inlineStr">
        <is>
          <t>JÖNKÖPINGS LÄN</t>
        </is>
      </c>
      <c r="E4172" t="inlineStr">
        <is>
          <t>VAGGERYD</t>
        </is>
      </c>
      <c r="G4172" t="n">
        <v>6.7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54642-2024</t>
        </is>
      </c>
      <c r="B4173" s="1" t="n">
        <v>45617.92190972222</v>
      </c>
      <c r="C4173" s="1" t="n">
        <v>45962</v>
      </c>
      <c r="D4173" t="inlineStr">
        <is>
          <t>JÖNKÖPINGS LÄN</t>
        </is>
      </c>
      <c r="E4173" t="inlineStr">
        <is>
          <t>JÖNKÖPING</t>
        </is>
      </c>
      <c r="G4173" t="n">
        <v>1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7657-2025</t>
        </is>
      </c>
      <c r="B4174" s="1" t="n">
        <v>45706.31609953703</v>
      </c>
      <c r="C4174" s="1" t="n">
        <v>45962</v>
      </c>
      <c r="D4174" t="inlineStr">
        <is>
          <t>JÖNKÖPINGS LÄN</t>
        </is>
      </c>
      <c r="E4174" t="inlineStr">
        <is>
          <t>SÄVSJÖ</t>
        </is>
      </c>
      <c r="G4174" t="n">
        <v>0.9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7663-2025</t>
        </is>
      </c>
      <c r="B4175" s="1" t="n">
        <v>45706.3347337963</v>
      </c>
      <c r="C4175" s="1" t="n">
        <v>45962</v>
      </c>
      <c r="D4175" t="inlineStr">
        <is>
          <t>JÖNKÖPINGS LÄN</t>
        </is>
      </c>
      <c r="E4175" t="inlineStr">
        <is>
          <t>VETLANDA</t>
        </is>
      </c>
      <c r="G4175" t="n">
        <v>1.9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35555-2024</t>
        </is>
      </c>
      <c r="B4176" s="1" t="n">
        <v>45531.61946759259</v>
      </c>
      <c r="C4176" s="1" t="n">
        <v>45962</v>
      </c>
      <c r="D4176" t="inlineStr">
        <is>
          <t>JÖNKÖPINGS LÄN</t>
        </is>
      </c>
      <c r="E4176" t="inlineStr">
        <is>
          <t>ANEBY</t>
        </is>
      </c>
      <c r="G4176" t="n">
        <v>1.9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55285-2024</t>
        </is>
      </c>
      <c r="B4177" s="1" t="n">
        <v>45621.63099537037</v>
      </c>
      <c r="C4177" s="1" t="n">
        <v>45962</v>
      </c>
      <c r="D4177" t="inlineStr">
        <is>
          <t>JÖNKÖPINGS LÄN</t>
        </is>
      </c>
      <c r="E4177" t="inlineStr">
        <is>
          <t>GNOSJÖ</t>
        </is>
      </c>
      <c r="F4177" t="inlineStr">
        <is>
          <t>Sveaskog</t>
        </is>
      </c>
      <c r="G4177" t="n">
        <v>1.6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7710-2025</t>
        </is>
      </c>
      <c r="B4178" s="1" t="n">
        <v>45706.42435185185</v>
      </c>
      <c r="C4178" s="1" t="n">
        <v>45962</v>
      </c>
      <c r="D4178" t="inlineStr">
        <is>
          <t>JÖNKÖPINGS LÄN</t>
        </is>
      </c>
      <c r="E4178" t="inlineStr">
        <is>
          <t>VETLANDA</t>
        </is>
      </c>
      <c r="G4178" t="n">
        <v>1.8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25626-2025</t>
        </is>
      </c>
      <c r="B4179" s="1" t="n">
        <v>45803.58403935185</v>
      </c>
      <c r="C4179" s="1" t="n">
        <v>45962</v>
      </c>
      <c r="D4179" t="inlineStr">
        <is>
          <t>JÖNKÖPINGS LÄN</t>
        </is>
      </c>
      <c r="E4179" t="inlineStr">
        <is>
          <t>VÄRNAMO</t>
        </is>
      </c>
      <c r="G4179" t="n">
        <v>1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7852-2025</t>
        </is>
      </c>
      <c r="B4180" s="1" t="n">
        <v>45706.67424768519</v>
      </c>
      <c r="C4180" s="1" t="n">
        <v>45962</v>
      </c>
      <c r="D4180" t="inlineStr">
        <is>
          <t>JÖNKÖPINGS LÄN</t>
        </is>
      </c>
      <c r="E4180" t="inlineStr">
        <is>
          <t>JÖNKÖPING</t>
        </is>
      </c>
      <c r="F4180" t="inlineStr">
        <is>
          <t>Sveaskog</t>
        </is>
      </c>
      <c r="G4180" t="n">
        <v>1.4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37826-2021</t>
        </is>
      </c>
      <c r="B4181" s="1" t="n">
        <v>44403</v>
      </c>
      <c r="C4181" s="1" t="n">
        <v>45962</v>
      </c>
      <c r="D4181" t="inlineStr">
        <is>
          <t>JÖNKÖPINGS LÄN</t>
        </is>
      </c>
      <c r="E4181" t="inlineStr">
        <is>
          <t>VAGGERYD</t>
        </is>
      </c>
      <c r="G4181" t="n">
        <v>4.9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1939-2025</t>
        </is>
      </c>
      <c r="B4182" s="1" t="n">
        <v>45671.94960648148</v>
      </c>
      <c r="C4182" s="1" t="n">
        <v>45962</v>
      </c>
      <c r="D4182" t="inlineStr">
        <is>
          <t>JÖNKÖPINGS LÄN</t>
        </is>
      </c>
      <c r="E4182" t="inlineStr">
        <is>
          <t>NÄSSJÖ</t>
        </is>
      </c>
      <c r="G4182" t="n">
        <v>2.1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25482-2025</t>
        </is>
      </c>
      <c r="B4183" s="1" t="n">
        <v>45802.92706018518</v>
      </c>
      <c r="C4183" s="1" t="n">
        <v>45962</v>
      </c>
      <c r="D4183" t="inlineStr">
        <is>
          <t>JÖNKÖPINGS LÄN</t>
        </is>
      </c>
      <c r="E4183" t="inlineStr">
        <is>
          <t>GNOSJÖ</t>
        </is>
      </c>
      <c r="G4183" t="n">
        <v>8.300000000000001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25498-2025</t>
        </is>
      </c>
      <c r="B4184" s="1" t="n">
        <v>45803.34383101852</v>
      </c>
      <c r="C4184" s="1" t="n">
        <v>45962</v>
      </c>
      <c r="D4184" t="inlineStr">
        <is>
          <t>JÖNKÖPINGS LÄN</t>
        </is>
      </c>
      <c r="E4184" t="inlineStr">
        <is>
          <t>GISLAVED</t>
        </is>
      </c>
      <c r="G4184" t="n">
        <v>1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62762-2022</t>
        </is>
      </c>
      <c r="B4185" s="1" t="n">
        <v>44926.84900462963</v>
      </c>
      <c r="C4185" s="1" t="n">
        <v>45962</v>
      </c>
      <c r="D4185" t="inlineStr">
        <is>
          <t>JÖNKÖPINGS LÄN</t>
        </is>
      </c>
      <c r="E4185" t="inlineStr">
        <is>
          <t>GISLAVED</t>
        </is>
      </c>
      <c r="G4185" t="n">
        <v>1.8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12477-2023</t>
        </is>
      </c>
      <c r="B4186" s="1" t="n">
        <v>44999</v>
      </c>
      <c r="C4186" s="1" t="n">
        <v>45962</v>
      </c>
      <c r="D4186" t="inlineStr">
        <is>
          <t>JÖNKÖPINGS LÄN</t>
        </is>
      </c>
      <c r="E4186" t="inlineStr">
        <is>
          <t>ANEBY</t>
        </is>
      </c>
      <c r="G4186" t="n">
        <v>3.2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25647-2025</t>
        </is>
      </c>
      <c r="B4187" s="1" t="n">
        <v>45803.60734953704</v>
      </c>
      <c r="C4187" s="1" t="n">
        <v>45962</v>
      </c>
      <c r="D4187" t="inlineStr">
        <is>
          <t>JÖNKÖPINGS LÄN</t>
        </is>
      </c>
      <c r="E4187" t="inlineStr">
        <is>
          <t>NÄSSJÖ</t>
        </is>
      </c>
      <c r="G4187" t="n">
        <v>1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25070-2025</t>
        </is>
      </c>
      <c r="B4188" s="1" t="n">
        <v>45799.76940972222</v>
      </c>
      <c r="C4188" s="1" t="n">
        <v>45962</v>
      </c>
      <c r="D4188" t="inlineStr">
        <is>
          <t>JÖNKÖPINGS LÄN</t>
        </is>
      </c>
      <c r="E4188" t="inlineStr">
        <is>
          <t>NÄSSJÖ</t>
        </is>
      </c>
      <c r="G4188" t="n">
        <v>1.8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6879-2022</t>
        </is>
      </c>
      <c r="B4189" s="1" t="n">
        <v>44602</v>
      </c>
      <c r="C4189" s="1" t="n">
        <v>45962</v>
      </c>
      <c r="D4189" t="inlineStr">
        <is>
          <t>JÖNKÖPINGS LÄN</t>
        </is>
      </c>
      <c r="E4189" t="inlineStr">
        <is>
          <t>VÄRNAMO</t>
        </is>
      </c>
      <c r="F4189" t="inlineStr">
        <is>
          <t>Kommuner</t>
        </is>
      </c>
      <c r="G4189" t="n">
        <v>1.4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24783-2023</t>
        </is>
      </c>
      <c r="B4190" s="1" t="n">
        <v>45084.66478009259</v>
      </c>
      <c r="C4190" s="1" t="n">
        <v>45962</v>
      </c>
      <c r="D4190" t="inlineStr">
        <is>
          <t>JÖNKÖPINGS LÄN</t>
        </is>
      </c>
      <c r="E4190" t="inlineStr">
        <is>
          <t>ANEBY</t>
        </is>
      </c>
      <c r="G4190" t="n">
        <v>1.1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24798-2023</t>
        </is>
      </c>
      <c r="B4191" s="1" t="n">
        <v>45084.73050925926</v>
      </c>
      <c r="C4191" s="1" t="n">
        <v>45962</v>
      </c>
      <c r="D4191" t="inlineStr">
        <is>
          <t>JÖNKÖPINGS LÄN</t>
        </is>
      </c>
      <c r="E4191" t="inlineStr">
        <is>
          <t>SÄVSJÖ</t>
        </is>
      </c>
      <c r="G4191" t="n">
        <v>1.1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65546-2021</t>
        </is>
      </c>
      <c r="B4192" s="1" t="n">
        <v>44516</v>
      </c>
      <c r="C4192" s="1" t="n">
        <v>45962</v>
      </c>
      <c r="D4192" t="inlineStr">
        <is>
          <t>JÖNKÖPINGS LÄN</t>
        </is>
      </c>
      <c r="E4192" t="inlineStr">
        <is>
          <t>GISLAVED</t>
        </is>
      </c>
      <c r="G4192" t="n">
        <v>5.3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47738-2023</t>
        </is>
      </c>
      <c r="B4193" s="1" t="n">
        <v>45203.71078703704</v>
      </c>
      <c r="C4193" s="1" t="n">
        <v>45962</v>
      </c>
      <c r="D4193" t="inlineStr">
        <is>
          <t>JÖNKÖPINGS LÄN</t>
        </is>
      </c>
      <c r="E4193" t="inlineStr">
        <is>
          <t>VÄRNAMO</t>
        </is>
      </c>
      <c r="G4193" t="n">
        <v>2.1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25580-2025</t>
        </is>
      </c>
      <c r="B4194" s="1" t="n">
        <v>45803.47989583333</v>
      </c>
      <c r="C4194" s="1" t="n">
        <v>45962</v>
      </c>
      <c r="D4194" t="inlineStr">
        <is>
          <t>JÖNKÖPINGS LÄN</t>
        </is>
      </c>
      <c r="E4194" t="inlineStr">
        <is>
          <t>VETLANDA</t>
        </is>
      </c>
      <c r="G4194" t="n">
        <v>0.5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5832-2025</t>
        </is>
      </c>
      <c r="B4195" s="1" t="n">
        <v>45694.84364583333</v>
      </c>
      <c r="C4195" s="1" t="n">
        <v>45962</v>
      </c>
      <c r="D4195" t="inlineStr">
        <is>
          <t>JÖNKÖPINGS LÄN</t>
        </is>
      </c>
      <c r="E4195" t="inlineStr">
        <is>
          <t>MULLSJÖ</t>
        </is>
      </c>
      <c r="G4195" t="n">
        <v>3.6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17685-2025</t>
        </is>
      </c>
      <c r="B4196" s="1" t="n">
        <v>45758.38935185185</v>
      </c>
      <c r="C4196" s="1" t="n">
        <v>45962</v>
      </c>
      <c r="D4196" t="inlineStr">
        <is>
          <t>JÖNKÖPINGS LÄN</t>
        </is>
      </c>
      <c r="E4196" t="inlineStr">
        <is>
          <t>VÄRNAMO</t>
        </is>
      </c>
      <c r="G4196" t="n">
        <v>4.7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14941-2025</t>
        </is>
      </c>
      <c r="B4197" s="1" t="n">
        <v>45743</v>
      </c>
      <c r="C4197" s="1" t="n">
        <v>45962</v>
      </c>
      <c r="D4197" t="inlineStr">
        <is>
          <t>JÖNKÖPINGS LÄN</t>
        </is>
      </c>
      <c r="E4197" t="inlineStr">
        <is>
          <t>VETLANDA</t>
        </is>
      </c>
      <c r="G4197" t="n">
        <v>2.8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21645-2024</t>
        </is>
      </c>
      <c r="B4198" s="1" t="n">
        <v>45442</v>
      </c>
      <c r="C4198" s="1" t="n">
        <v>45962</v>
      </c>
      <c r="D4198" t="inlineStr">
        <is>
          <t>JÖNKÖPINGS LÄN</t>
        </is>
      </c>
      <c r="E4198" t="inlineStr">
        <is>
          <t>VETLANDA</t>
        </is>
      </c>
      <c r="G4198" t="n">
        <v>1.5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23869-2023</t>
        </is>
      </c>
      <c r="B4199" s="1" t="n">
        <v>45078.49762731481</v>
      </c>
      <c r="C4199" s="1" t="n">
        <v>45962</v>
      </c>
      <c r="D4199" t="inlineStr">
        <is>
          <t>JÖNKÖPINGS LÄN</t>
        </is>
      </c>
      <c r="E4199" t="inlineStr">
        <is>
          <t>EKSJÖ</t>
        </is>
      </c>
      <c r="G4199" t="n">
        <v>0.8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58161-2024</t>
        </is>
      </c>
      <c r="B4200" s="1" t="n">
        <v>45632.45001157407</v>
      </c>
      <c r="C4200" s="1" t="n">
        <v>45962</v>
      </c>
      <c r="D4200" t="inlineStr">
        <is>
          <t>JÖNKÖPINGS LÄN</t>
        </is>
      </c>
      <c r="E4200" t="inlineStr">
        <is>
          <t>VÄRNAMO</t>
        </is>
      </c>
      <c r="G4200" t="n">
        <v>5.8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8220-2025</t>
        </is>
      </c>
      <c r="B4201" s="1" t="n">
        <v>45708.456875</v>
      </c>
      <c r="C4201" s="1" t="n">
        <v>45962</v>
      </c>
      <c r="D4201" t="inlineStr">
        <is>
          <t>JÖNKÖPINGS LÄN</t>
        </is>
      </c>
      <c r="E4201" t="inlineStr">
        <is>
          <t>VETLANDA</t>
        </is>
      </c>
      <c r="G4201" t="n">
        <v>3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12852-2022</t>
        </is>
      </c>
      <c r="B4202" s="1" t="n">
        <v>44642</v>
      </c>
      <c r="C4202" s="1" t="n">
        <v>45962</v>
      </c>
      <c r="D4202" t="inlineStr">
        <is>
          <t>JÖNKÖPINGS LÄN</t>
        </is>
      </c>
      <c r="E4202" t="inlineStr">
        <is>
          <t>VÄRNAMO</t>
        </is>
      </c>
      <c r="G4202" t="n">
        <v>2.3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12857-2022</t>
        </is>
      </c>
      <c r="B4203" s="1" t="n">
        <v>44642</v>
      </c>
      <c r="C4203" s="1" t="n">
        <v>45962</v>
      </c>
      <c r="D4203" t="inlineStr">
        <is>
          <t>JÖNKÖPINGS LÄN</t>
        </is>
      </c>
      <c r="E4203" t="inlineStr">
        <is>
          <t>VÄRNAMO</t>
        </is>
      </c>
      <c r="G4203" t="n">
        <v>1.2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14557-2025</t>
        </is>
      </c>
      <c r="B4204" s="1" t="n">
        <v>45741.74936342592</v>
      </c>
      <c r="C4204" s="1" t="n">
        <v>45962</v>
      </c>
      <c r="D4204" t="inlineStr">
        <is>
          <t>JÖNKÖPINGS LÄN</t>
        </is>
      </c>
      <c r="E4204" t="inlineStr">
        <is>
          <t>VETLANDA</t>
        </is>
      </c>
      <c r="G4204" t="n">
        <v>8.6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62224-2023</t>
        </is>
      </c>
      <c r="B4205" s="1" t="n">
        <v>45267</v>
      </c>
      <c r="C4205" s="1" t="n">
        <v>45962</v>
      </c>
      <c r="D4205" t="inlineStr">
        <is>
          <t>JÖNKÖPINGS LÄN</t>
        </is>
      </c>
      <c r="E4205" t="inlineStr">
        <is>
          <t>NÄSSJÖ</t>
        </is>
      </c>
      <c r="G4205" t="n">
        <v>5.3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54052-2024</t>
        </is>
      </c>
      <c r="B4206" s="1" t="n">
        <v>45616.46105324074</v>
      </c>
      <c r="C4206" s="1" t="n">
        <v>45962</v>
      </c>
      <c r="D4206" t="inlineStr">
        <is>
          <t>JÖNKÖPINGS LÄN</t>
        </is>
      </c>
      <c r="E4206" t="inlineStr">
        <is>
          <t>VETLANDA</t>
        </is>
      </c>
      <c r="G4206" t="n">
        <v>2.6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22295-2023</t>
        </is>
      </c>
      <c r="B4207" s="1" t="n">
        <v>45070.44547453704</v>
      </c>
      <c r="C4207" s="1" t="n">
        <v>45962</v>
      </c>
      <c r="D4207" t="inlineStr">
        <is>
          <t>JÖNKÖPINGS LÄN</t>
        </is>
      </c>
      <c r="E4207" t="inlineStr">
        <is>
          <t>VAGGERYD</t>
        </is>
      </c>
      <c r="G4207" t="n">
        <v>0.8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59229-2024</t>
        </is>
      </c>
      <c r="B4208" s="1" t="n">
        <v>45637.5841087963</v>
      </c>
      <c r="C4208" s="1" t="n">
        <v>45962</v>
      </c>
      <c r="D4208" t="inlineStr">
        <is>
          <t>JÖNKÖPINGS LÄN</t>
        </is>
      </c>
      <c r="E4208" t="inlineStr">
        <is>
          <t>VÄRNAMO</t>
        </is>
      </c>
      <c r="G4208" t="n">
        <v>1.8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48038-2021</t>
        </is>
      </c>
      <c r="B4209" s="1" t="n">
        <v>44449</v>
      </c>
      <c r="C4209" s="1" t="n">
        <v>45962</v>
      </c>
      <c r="D4209" t="inlineStr">
        <is>
          <t>JÖNKÖPINGS LÄN</t>
        </is>
      </c>
      <c r="E4209" t="inlineStr">
        <is>
          <t>JÖNKÖPING</t>
        </is>
      </c>
      <c r="G4209" t="n">
        <v>0.8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21874-2024</t>
        </is>
      </c>
      <c r="B4210" s="1" t="n">
        <v>45443.33925925926</v>
      </c>
      <c r="C4210" s="1" t="n">
        <v>45962</v>
      </c>
      <c r="D4210" t="inlineStr">
        <is>
          <t>JÖNKÖPINGS LÄN</t>
        </is>
      </c>
      <c r="E4210" t="inlineStr">
        <is>
          <t>VÄRNAMO</t>
        </is>
      </c>
      <c r="G4210" t="n">
        <v>1.5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40051-2022</t>
        </is>
      </c>
      <c r="B4211" s="1" t="n">
        <v>44820.44133101852</v>
      </c>
      <c r="C4211" s="1" t="n">
        <v>45962</v>
      </c>
      <c r="D4211" t="inlineStr">
        <is>
          <t>JÖNKÖPINGS LÄN</t>
        </is>
      </c>
      <c r="E4211" t="inlineStr">
        <is>
          <t>GISLAVED</t>
        </is>
      </c>
      <c r="G4211" t="n">
        <v>3.4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50718-2021</t>
        </is>
      </c>
      <c r="B4212" s="1" t="n">
        <v>44460</v>
      </c>
      <c r="C4212" s="1" t="n">
        <v>45962</v>
      </c>
      <c r="D4212" t="inlineStr">
        <is>
          <t>JÖNKÖPINGS LÄN</t>
        </is>
      </c>
      <c r="E4212" t="inlineStr">
        <is>
          <t>NÄSSJÖ</t>
        </is>
      </c>
      <c r="G4212" t="n">
        <v>0.3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9484-2024</t>
        </is>
      </c>
      <c r="B4213" s="1" t="n">
        <v>45359.58304398148</v>
      </c>
      <c r="C4213" s="1" t="n">
        <v>45962</v>
      </c>
      <c r="D4213" t="inlineStr">
        <is>
          <t>JÖNKÖPINGS LÄN</t>
        </is>
      </c>
      <c r="E4213" t="inlineStr">
        <is>
          <t>VETLANDA</t>
        </is>
      </c>
      <c r="G4213" t="n">
        <v>2.3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19468-2023</t>
        </is>
      </c>
      <c r="B4214" s="1" t="n">
        <v>45049</v>
      </c>
      <c r="C4214" s="1" t="n">
        <v>45962</v>
      </c>
      <c r="D4214" t="inlineStr">
        <is>
          <t>JÖNKÖPINGS LÄN</t>
        </is>
      </c>
      <c r="E4214" t="inlineStr">
        <is>
          <t>EKSJÖ</t>
        </is>
      </c>
      <c r="G4214" t="n">
        <v>1.9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42929-2021</t>
        </is>
      </c>
      <c r="B4215" s="1" t="n">
        <v>44431</v>
      </c>
      <c r="C4215" s="1" t="n">
        <v>45962</v>
      </c>
      <c r="D4215" t="inlineStr">
        <is>
          <t>JÖNKÖPINGS LÄN</t>
        </is>
      </c>
      <c r="E4215" t="inlineStr">
        <is>
          <t>EKSJÖ</t>
        </is>
      </c>
      <c r="G4215" t="n">
        <v>1.3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64650-2023</t>
        </is>
      </c>
      <c r="B4216" s="1" t="n">
        <v>45281.57759259259</v>
      </c>
      <c r="C4216" s="1" t="n">
        <v>45962</v>
      </c>
      <c r="D4216" t="inlineStr">
        <is>
          <t>JÖNKÖPINGS LÄN</t>
        </is>
      </c>
      <c r="E4216" t="inlineStr">
        <is>
          <t>JÖNKÖPING</t>
        </is>
      </c>
      <c r="F4216" t="inlineStr">
        <is>
          <t>Sveaskog</t>
        </is>
      </c>
      <c r="G4216" t="n">
        <v>0.9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30875-2024</t>
        </is>
      </c>
      <c r="B4217" s="1" t="n">
        <v>45498.32634259259</v>
      </c>
      <c r="C4217" s="1" t="n">
        <v>45962</v>
      </c>
      <c r="D4217" t="inlineStr">
        <is>
          <t>JÖNKÖPINGS LÄN</t>
        </is>
      </c>
      <c r="E4217" t="inlineStr">
        <is>
          <t>GISLAVED</t>
        </is>
      </c>
      <c r="G4217" t="n">
        <v>3.6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10423-2024</t>
        </is>
      </c>
      <c r="B4218" s="1" t="n">
        <v>45365</v>
      </c>
      <c r="C4218" s="1" t="n">
        <v>45962</v>
      </c>
      <c r="D4218" t="inlineStr">
        <is>
          <t>JÖNKÖPINGS LÄN</t>
        </is>
      </c>
      <c r="E4218" t="inlineStr">
        <is>
          <t>VETLANDA</t>
        </is>
      </c>
      <c r="G4218" t="n">
        <v>4.5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3427-2022</t>
        </is>
      </c>
      <c r="B4219" s="1" t="n">
        <v>44585</v>
      </c>
      <c r="C4219" s="1" t="n">
        <v>45962</v>
      </c>
      <c r="D4219" t="inlineStr">
        <is>
          <t>JÖNKÖPINGS LÄN</t>
        </is>
      </c>
      <c r="E4219" t="inlineStr">
        <is>
          <t>JÖNKÖPING</t>
        </is>
      </c>
      <c r="G4219" t="n">
        <v>4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17210-2024</t>
        </is>
      </c>
      <c r="B4220" s="1" t="n">
        <v>45414.31138888889</v>
      </c>
      <c r="C4220" s="1" t="n">
        <v>45962</v>
      </c>
      <c r="D4220" t="inlineStr">
        <is>
          <t>JÖNKÖPINGS LÄN</t>
        </is>
      </c>
      <c r="E4220" t="inlineStr">
        <is>
          <t>VETLANDA</t>
        </is>
      </c>
      <c r="F4220" t="inlineStr">
        <is>
          <t>Sveaskog</t>
        </is>
      </c>
      <c r="G4220" t="n">
        <v>4.2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53251-2023</t>
        </is>
      </c>
      <c r="B4221" s="1" t="n">
        <v>45229</v>
      </c>
      <c r="C4221" s="1" t="n">
        <v>45962</v>
      </c>
      <c r="D4221" t="inlineStr">
        <is>
          <t>JÖNKÖPINGS LÄN</t>
        </is>
      </c>
      <c r="E4221" t="inlineStr">
        <is>
          <t>ANEBY</t>
        </is>
      </c>
      <c r="G4221" t="n">
        <v>2.2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29471-2023</t>
        </is>
      </c>
      <c r="B4222" s="1" t="n">
        <v>45106.56295138889</v>
      </c>
      <c r="C4222" s="1" t="n">
        <v>45962</v>
      </c>
      <c r="D4222" t="inlineStr">
        <is>
          <t>JÖNKÖPINGS LÄN</t>
        </is>
      </c>
      <c r="E4222" t="inlineStr">
        <is>
          <t>VÄRNAMO</t>
        </is>
      </c>
      <c r="G4222" t="n">
        <v>1.2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36272-2023</t>
        </is>
      </c>
      <c r="B4223" s="1" t="n">
        <v>45152</v>
      </c>
      <c r="C4223" s="1" t="n">
        <v>45962</v>
      </c>
      <c r="D4223" t="inlineStr">
        <is>
          <t>JÖNKÖPINGS LÄN</t>
        </is>
      </c>
      <c r="E4223" t="inlineStr">
        <is>
          <t>JÖNKÖPING</t>
        </is>
      </c>
      <c r="G4223" t="n">
        <v>1.7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44169-2022</t>
        </is>
      </c>
      <c r="B4224" s="1" t="n">
        <v>44839</v>
      </c>
      <c r="C4224" s="1" t="n">
        <v>45962</v>
      </c>
      <c r="D4224" t="inlineStr">
        <is>
          <t>JÖNKÖPINGS LÄN</t>
        </is>
      </c>
      <c r="E4224" t="inlineStr">
        <is>
          <t>VETLANDA</t>
        </is>
      </c>
      <c r="G4224" t="n">
        <v>3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47390-2022</t>
        </is>
      </c>
      <c r="B4225" s="1" t="n">
        <v>44853</v>
      </c>
      <c r="C4225" s="1" t="n">
        <v>45962</v>
      </c>
      <c r="D4225" t="inlineStr">
        <is>
          <t>JÖNKÖPINGS LÄN</t>
        </is>
      </c>
      <c r="E4225" t="inlineStr">
        <is>
          <t>EKSJÖ</t>
        </is>
      </c>
      <c r="F4225" t="inlineStr">
        <is>
          <t>Sveaskog</t>
        </is>
      </c>
      <c r="G4225" t="n">
        <v>1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25083-2025</t>
        </is>
      </c>
      <c r="B4226" s="1" t="n">
        <v>45800.27915509259</v>
      </c>
      <c r="C4226" s="1" t="n">
        <v>45962</v>
      </c>
      <c r="D4226" t="inlineStr">
        <is>
          <t>JÖNKÖPINGS LÄN</t>
        </is>
      </c>
      <c r="E4226" t="inlineStr">
        <is>
          <t>VÄRNAMO</t>
        </is>
      </c>
      <c r="G4226" t="n">
        <v>0.6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11760-2025</t>
        </is>
      </c>
      <c r="B4227" s="1" t="n">
        <v>45727</v>
      </c>
      <c r="C4227" s="1" t="n">
        <v>45962</v>
      </c>
      <c r="D4227" t="inlineStr">
        <is>
          <t>JÖNKÖPINGS LÄN</t>
        </is>
      </c>
      <c r="E4227" t="inlineStr">
        <is>
          <t>SÄVSJÖ</t>
        </is>
      </c>
      <c r="G4227" t="n">
        <v>1.8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32177-2022</t>
        </is>
      </c>
      <c r="B4228" s="1" t="n">
        <v>44781.37054398148</v>
      </c>
      <c r="C4228" s="1" t="n">
        <v>45962</v>
      </c>
      <c r="D4228" t="inlineStr">
        <is>
          <t>JÖNKÖPINGS LÄN</t>
        </is>
      </c>
      <c r="E4228" t="inlineStr">
        <is>
          <t>SÄVSJÖ</t>
        </is>
      </c>
      <c r="G4228" t="n">
        <v>1.9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7278-2025</t>
        </is>
      </c>
      <c r="B4229" s="1" t="n">
        <v>45702.63168981481</v>
      </c>
      <c r="C4229" s="1" t="n">
        <v>45962</v>
      </c>
      <c r="D4229" t="inlineStr">
        <is>
          <t>JÖNKÖPINGS LÄN</t>
        </is>
      </c>
      <c r="E4229" t="inlineStr">
        <is>
          <t>MULLSJÖ</t>
        </is>
      </c>
      <c r="G4229" t="n">
        <v>1.3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2636-2023</t>
        </is>
      </c>
      <c r="B4230" s="1" t="n">
        <v>44944.40825231482</v>
      </c>
      <c r="C4230" s="1" t="n">
        <v>45962</v>
      </c>
      <c r="D4230" t="inlineStr">
        <is>
          <t>JÖNKÖPINGS LÄN</t>
        </is>
      </c>
      <c r="E4230" t="inlineStr">
        <is>
          <t>JÖNKÖPING</t>
        </is>
      </c>
      <c r="G4230" t="n">
        <v>2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8931-2022</t>
        </is>
      </c>
      <c r="B4231" s="1" t="n">
        <v>44614.68596064814</v>
      </c>
      <c r="C4231" s="1" t="n">
        <v>45962</v>
      </c>
      <c r="D4231" t="inlineStr">
        <is>
          <t>JÖNKÖPINGS LÄN</t>
        </is>
      </c>
      <c r="E4231" t="inlineStr">
        <is>
          <t>JÖNKÖPING</t>
        </is>
      </c>
      <c r="G4231" t="n">
        <v>1.1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40343-2023</t>
        </is>
      </c>
      <c r="B4232" s="1" t="n">
        <v>45169.63048611111</v>
      </c>
      <c r="C4232" s="1" t="n">
        <v>45962</v>
      </c>
      <c r="D4232" t="inlineStr">
        <is>
          <t>JÖNKÖPINGS LÄN</t>
        </is>
      </c>
      <c r="E4232" t="inlineStr">
        <is>
          <t>VAGGERYD</t>
        </is>
      </c>
      <c r="G4232" t="n">
        <v>1.2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25064-2022</t>
        </is>
      </c>
      <c r="B4233" s="1" t="n">
        <v>44729.35767361111</v>
      </c>
      <c r="C4233" s="1" t="n">
        <v>45962</v>
      </c>
      <c r="D4233" t="inlineStr">
        <is>
          <t>JÖNKÖPINGS LÄN</t>
        </is>
      </c>
      <c r="E4233" t="inlineStr">
        <is>
          <t>GISLAVED</t>
        </is>
      </c>
      <c r="G4233" t="n">
        <v>1.2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25067-2022</t>
        </is>
      </c>
      <c r="B4234" s="1" t="n">
        <v>44729</v>
      </c>
      <c r="C4234" s="1" t="n">
        <v>45962</v>
      </c>
      <c r="D4234" t="inlineStr">
        <is>
          <t>JÖNKÖPINGS LÄN</t>
        </is>
      </c>
      <c r="E4234" t="inlineStr">
        <is>
          <t>JÖNKÖPING</t>
        </is>
      </c>
      <c r="G4234" t="n">
        <v>1.7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17768-2023</t>
        </is>
      </c>
      <c r="B4235" s="1" t="n">
        <v>45037.50520833334</v>
      </c>
      <c r="C4235" s="1" t="n">
        <v>45962</v>
      </c>
      <c r="D4235" t="inlineStr">
        <is>
          <t>JÖNKÖPINGS LÄN</t>
        </is>
      </c>
      <c r="E4235" t="inlineStr">
        <is>
          <t>SÄVSJÖ</t>
        </is>
      </c>
      <c r="G4235" t="n">
        <v>0.4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41622-2024</t>
        </is>
      </c>
      <c r="B4236" s="1" t="n">
        <v>45560.60371527778</v>
      </c>
      <c r="C4236" s="1" t="n">
        <v>45962</v>
      </c>
      <c r="D4236" t="inlineStr">
        <is>
          <t>JÖNKÖPINGS LÄN</t>
        </is>
      </c>
      <c r="E4236" t="inlineStr">
        <is>
          <t>HABO</t>
        </is>
      </c>
      <c r="G4236" t="n">
        <v>1.7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29413-2022</t>
        </is>
      </c>
      <c r="B4237" s="1" t="n">
        <v>44753</v>
      </c>
      <c r="C4237" s="1" t="n">
        <v>45962</v>
      </c>
      <c r="D4237" t="inlineStr">
        <is>
          <t>JÖNKÖPINGS LÄN</t>
        </is>
      </c>
      <c r="E4237" t="inlineStr">
        <is>
          <t>VETLANDA</t>
        </is>
      </c>
      <c r="G4237" t="n">
        <v>2.7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37167-2021</t>
        </is>
      </c>
      <c r="B4238" s="1" t="n">
        <v>44396.55261574074</v>
      </c>
      <c r="C4238" s="1" t="n">
        <v>45962</v>
      </c>
      <c r="D4238" t="inlineStr">
        <is>
          <t>JÖNKÖPINGS LÄN</t>
        </is>
      </c>
      <c r="E4238" t="inlineStr">
        <is>
          <t>GISLAVED</t>
        </is>
      </c>
      <c r="G4238" t="n">
        <v>0.7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11255-2023</t>
        </is>
      </c>
      <c r="B4239" s="1" t="n">
        <v>44992.66236111111</v>
      </c>
      <c r="C4239" s="1" t="n">
        <v>45962</v>
      </c>
      <c r="D4239" t="inlineStr">
        <is>
          <t>JÖNKÖPINGS LÄN</t>
        </is>
      </c>
      <c r="E4239" t="inlineStr">
        <is>
          <t>JÖNKÖPING</t>
        </is>
      </c>
      <c r="G4239" t="n">
        <v>1.8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15829-2024</t>
        </is>
      </c>
      <c r="B4240" s="1" t="n">
        <v>45404</v>
      </c>
      <c r="C4240" s="1" t="n">
        <v>45962</v>
      </c>
      <c r="D4240" t="inlineStr">
        <is>
          <t>JÖNKÖPINGS LÄN</t>
        </is>
      </c>
      <c r="E4240" t="inlineStr">
        <is>
          <t>NÄSSJÖ</t>
        </is>
      </c>
      <c r="G4240" t="n">
        <v>2.2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61371-2023</t>
        </is>
      </c>
      <c r="B4241" s="1" t="n">
        <v>45264</v>
      </c>
      <c r="C4241" s="1" t="n">
        <v>45962</v>
      </c>
      <c r="D4241" t="inlineStr">
        <is>
          <t>JÖNKÖPINGS LÄN</t>
        </is>
      </c>
      <c r="E4241" t="inlineStr">
        <is>
          <t>GISLAVED</t>
        </is>
      </c>
      <c r="G4241" t="n">
        <v>1.7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34106-2023</t>
        </is>
      </c>
      <c r="B4242" s="1" t="n">
        <v>45135</v>
      </c>
      <c r="C4242" s="1" t="n">
        <v>45962</v>
      </c>
      <c r="D4242" t="inlineStr">
        <is>
          <t>JÖNKÖPINGS LÄN</t>
        </is>
      </c>
      <c r="E4242" t="inlineStr">
        <is>
          <t>VETLANDA</t>
        </is>
      </c>
      <c r="G4242" t="n">
        <v>5.5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9283-2025</t>
        </is>
      </c>
      <c r="B4243" s="1" t="n">
        <v>45714.64796296296</v>
      </c>
      <c r="C4243" s="1" t="n">
        <v>45962</v>
      </c>
      <c r="D4243" t="inlineStr">
        <is>
          <t>JÖNKÖPINGS LÄN</t>
        </is>
      </c>
      <c r="E4243" t="inlineStr">
        <is>
          <t>EKSJÖ</t>
        </is>
      </c>
      <c r="F4243" t="inlineStr">
        <is>
          <t>Sveaskog</t>
        </is>
      </c>
      <c r="G4243" t="n">
        <v>3.1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9287-2025</t>
        </is>
      </c>
      <c r="B4244" s="1" t="n">
        <v>45714.65370370371</v>
      </c>
      <c r="C4244" s="1" t="n">
        <v>45962</v>
      </c>
      <c r="D4244" t="inlineStr">
        <is>
          <t>JÖNKÖPINGS LÄN</t>
        </is>
      </c>
      <c r="E4244" t="inlineStr">
        <is>
          <t>EKSJÖ</t>
        </is>
      </c>
      <c r="F4244" t="inlineStr">
        <is>
          <t>Sveaskog</t>
        </is>
      </c>
      <c r="G4244" t="n">
        <v>1.7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21801-2023</t>
        </is>
      </c>
      <c r="B4245" s="1" t="n">
        <v>45067.86534722222</v>
      </c>
      <c r="C4245" s="1" t="n">
        <v>45962</v>
      </c>
      <c r="D4245" t="inlineStr">
        <is>
          <t>JÖNKÖPINGS LÄN</t>
        </is>
      </c>
      <c r="E4245" t="inlineStr">
        <is>
          <t>SÄVSJÖ</t>
        </is>
      </c>
      <c r="G4245" t="n">
        <v>0.8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25084-2025</t>
        </is>
      </c>
      <c r="B4246" s="1" t="n">
        <v>45800.28173611111</v>
      </c>
      <c r="C4246" s="1" t="n">
        <v>45962</v>
      </c>
      <c r="D4246" t="inlineStr">
        <is>
          <t>JÖNKÖPINGS LÄN</t>
        </is>
      </c>
      <c r="E4246" t="inlineStr">
        <is>
          <t>VÄRNAMO</t>
        </is>
      </c>
      <c r="G4246" t="n">
        <v>0.4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591-2023</t>
        </is>
      </c>
      <c r="B4247" s="1" t="n">
        <v>44925</v>
      </c>
      <c r="C4247" s="1" t="n">
        <v>45962</v>
      </c>
      <c r="D4247" t="inlineStr">
        <is>
          <t>JÖNKÖPINGS LÄN</t>
        </is>
      </c>
      <c r="E4247" t="inlineStr">
        <is>
          <t>EKSJÖ</t>
        </is>
      </c>
      <c r="G4247" t="n">
        <v>4.3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13735-2025</t>
        </is>
      </c>
      <c r="B4248" s="1" t="n">
        <v>45737.3978587963</v>
      </c>
      <c r="C4248" s="1" t="n">
        <v>45962</v>
      </c>
      <c r="D4248" t="inlineStr">
        <is>
          <t>JÖNKÖPINGS LÄN</t>
        </is>
      </c>
      <c r="E4248" t="inlineStr">
        <is>
          <t>EKSJÖ</t>
        </is>
      </c>
      <c r="G4248" t="n">
        <v>0.9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4265-2023</t>
        </is>
      </c>
      <c r="B4249" s="1" t="n">
        <v>44953.56549768519</v>
      </c>
      <c r="C4249" s="1" t="n">
        <v>45962</v>
      </c>
      <c r="D4249" t="inlineStr">
        <is>
          <t>JÖNKÖPINGS LÄN</t>
        </is>
      </c>
      <c r="E4249" t="inlineStr">
        <is>
          <t>EKSJÖ</t>
        </is>
      </c>
      <c r="G4249" t="n">
        <v>7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1158-2024</t>
        </is>
      </c>
      <c r="B4250" s="1" t="n">
        <v>45302</v>
      </c>
      <c r="C4250" s="1" t="n">
        <v>45962</v>
      </c>
      <c r="D4250" t="inlineStr">
        <is>
          <t>JÖNKÖPINGS LÄN</t>
        </is>
      </c>
      <c r="E4250" t="inlineStr">
        <is>
          <t>VÄRNAMO</t>
        </is>
      </c>
      <c r="G4250" t="n">
        <v>0.3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16485-2025</t>
        </is>
      </c>
      <c r="B4251" s="1" t="n">
        <v>45751.58130787037</v>
      </c>
      <c r="C4251" s="1" t="n">
        <v>45962</v>
      </c>
      <c r="D4251" t="inlineStr">
        <is>
          <t>JÖNKÖPINGS LÄN</t>
        </is>
      </c>
      <c r="E4251" t="inlineStr">
        <is>
          <t>JÖNKÖPING</t>
        </is>
      </c>
      <c r="G4251" t="n">
        <v>6.6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29733-2023</t>
        </is>
      </c>
      <c r="B4252" s="1" t="n">
        <v>45107.45170138889</v>
      </c>
      <c r="C4252" s="1" t="n">
        <v>45962</v>
      </c>
      <c r="D4252" t="inlineStr">
        <is>
          <t>JÖNKÖPINGS LÄN</t>
        </is>
      </c>
      <c r="E4252" t="inlineStr">
        <is>
          <t>HABO</t>
        </is>
      </c>
      <c r="G4252" t="n">
        <v>0.3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25122-2025</t>
        </is>
      </c>
      <c r="B4253" s="1" t="n">
        <v>45800.37456018518</v>
      </c>
      <c r="C4253" s="1" t="n">
        <v>45962</v>
      </c>
      <c r="D4253" t="inlineStr">
        <is>
          <t>JÖNKÖPINGS LÄN</t>
        </is>
      </c>
      <c r="E4253" t="inlineStr">
        <is>
          <t>NÄSSJÖ</t>
        </is>
      </c>
      <c r="G4253" t="n">
        <v>3.5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29753-2023</t>
        </is>
      </c>
      <c r="B4254" s="1" t="n">
        <v>45107</v>
      </c>
      <c r="C4254" s="1" t="n">
        <v>45962</v>
      </c>
      <c r="D4254" t="inlineStr">
        <is>
          <t>JÖNKÖPINGS LÄN</t>
        </is>
      </c>
      <c r="E4254" t="inlineStr">
        <is>
          <t>VETLANDA</t>
        </is>
      </c>
      <c r="G4254" t="n">
        <v>5.2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20835-2024</t>
        </is>
      </c>
      <c r="B4255" s="1" t="n">
        <v>45439</v>
      </c>
      <c r="C4255" s="1" t="n">
        <v>45962</v>
      </c>
      <c r="D4255" t="inlineStr">
        <is>
          <t>JÖNKÖPINGS LÄN</t>
        </is>
      </c>
      <c r="E4255" t="inlineStr">
        <is>
          <t>VÄRNAMO</t>
        </is>
      </c>
      <c r="G4255" t="n">
        <v>4.1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764-2025</t>
        </is>
      </c>
      <c r="B4256" s="1" t="n">
        <v>45665.45333333333</v>
      </c>
      <c r="C4256" s="1" t="n">
        <v>45962</v>
      </c>
      <c r="D4256" t="inlineStr">
        <is>
          <t>JÖNKÖPINGS LÄN</t>
        </is>
      </c>
      <c r="E4256" t="inlineStr">
        <is>
          <t>ANEBY</t>
        </is>
      </c>
      <c r="F4256" t="inlineStr">
        <is>
          <t>Sveaskog</t>
        </is>
      </c>
      <c r="G4256" t="n">
        <v>1.7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39607-2022</t>
        </is>
      </c>
      <c r="B4257" s="1" t="n">
        <v>44818</v>
      </c>
      <c r="C4257" s="1" t="n">
        <v>45962</v>
      </c>
      <c r="D4257" t="inlineStr">
        <is>
          <t>JÖNKÖPINGS LÄN</t>
        </is>
      </c>
      <c r="E4257" t="inlineStr">
        <is>
          <t>GISLAVED</t>
        </is>
      </c>
      <c r="G4257" t="n">
        <v>5.9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56700-2020</t>
        </is>
      </c>
      <c r="B4258" s="1" t="n">
        <v>44137</v>
      </c>
      <c r="C4258" s="1" t="n">
        <v>45962</v>
      </c>
      <c r="D4258" t="inlineStr">
        <is>
          <t>JÖNKÖPINGS LÄN</t>
        </is>
      </c>
      <c r="E4258" t="inlineStr">
        <is>
          <t>JÖNKÖPING</t>
        </is>
      </c>
      <c r="G4258" t="n">
        <v>5.4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64573-2023</t>
        </is>
      </c>
      <c r="B4259" s="1" t="n">
        <v>45281</v>
      </c>
      <c r="C4259" s="1" t="n">
        <v>45962</v>
      </c>
      <c r="D4259" t="inlineStr">
        <is>
          <t>JÖNKÖPINGS LÄN</t>
        </is>
      </c>
      <c r="E4259" t="inlineStr">
        <is>
          <t>SÄVSJÖ</t>
        </is>
      </c>
      <c r="G4259" t="n">
        <v>1.7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50072-2023</t>
        </is>
      </c>
      <c r="B4260" s="1" t="n">
        <v>45215.55824074074</v>
      </c>
      <c r="C4260" s="1" t="n">
        <v>45962</v>
      </c>
      <c r="D4260" t="inlineStr">
        <is>
          <t>JÖNKÖPINGS LÄN</t>
        </is>
      </c>
      <c r="E4260" t="inlineStr">
        <is>
          <t>NÄSSJÖ</t>
        </is>
      </c>
      <c r="G4260" t="n">
        <v>0.5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6785-2025</t>
        </is>
      </c>
      <c r="B4261" s="1" t="n">
        <v>45700.65645833333</v>
      </c>
      <c r="C4261" s="1" t="n">
        <v>45962</v>
      </c>
      <c r="D4261" t="inlineStr">
        <is>
          <t>JÖNKÖPINGS LÄN</t>
        </is>
      </c>
      <c r="E4261" t="inlineStr">
        <is>
          <t>GNOSJÖ</t>
        </is>
      </c>
      <c r="G4261" t="n">
        <v>0.5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58570-2023</t>
        </is>
      </c>
      <c r="B4262" s="1" t="n">
        <v>45251.44450231481</v>
      </c>
      <c r="C4262" s="1" t="n">
        <v>45962</v>
      </c>
      <c r="D4262" t="inlineStr">
        <is>
          <t>JÖNKÖPINGS LÄN</t>
        </is>
      </c>
      <c r="E4262" t="inlineStr">
        <is>
          <t>VETLANDA</t>
        </is>
      </c>
      <c r="G4262" t="n">
        <v>1.3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6793-2025</t>
        </is>
      </c>
      <c r="B4263" s="1" t="n">
        <v>45700.66422453704</v>
      </c>
      <c r="C4263" s="1" t="n">
        <v>45962</v>
      </c>
      <c r="D4263" t="inlineStr">
        <is>
          <t>JÖNKÖPINGS LÄN</t>
        </is>
      </c>
      <c r="E4263" t="inlineStr">
        <is>
          <t>GNOSJÖ</t>
        </is>
      </c>
      <c r="G4263" t="n">
        <v>0.9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35574-2022</t>
        </is>
      </c>
      <c r="B4264" s="1" t="n">
        <v>44799.41391203704</v>
      </c>
      <c r="C4264" s="1" t="n">
        <v>45962</v>
      </c>
      <c r="D4264" t="inlineStr">
        <is>
          <t>JÖNKÖPINGS LÄN</t>
        </is>
      </c>
      <c r="E4264" t="inlineStr">
        <is>
          <t>HABO</t>
        </is>
      </c>
      <c r="G4264" t="n">
        <v>3.3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6925-2025</t>
        </is>
      </c>
      <c r="B4265" s="1" t="n">
        <v>45701.44952546297</v>
      </c>
      <c r="C4265" s="1" t="n">
        <v>45962</v>
      </c>
      <c r="D4265" t="inlineStr">
        <is>
          <t>JÖNKÖPINGS LÄN</t>
        </is>
      </c>
      <c r="E4265" t="inlineStr">
        <is>
          <t>VAGGERYD</t>
        </is>
      </c>
      <c r="G4265" t="n">
        <v>3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14353-2022</t>
        </is>
      </c>
      <c r="B4266" s="1" t="n">
        <v>44652</v>
      </c>
      <c r="C4266" s="1" t="n">
        <v>45962</v>
      </c>
      <c r="D4266" t="inlineStr">
        <is>
          <t>JÖNKÖPINGS LÄN</t>
        </is>
      </c>
      <c r="E4266" t="inlineStr">
        <is>
          <t>VÄRNAMO</t>
        </is>
      </c>
      <c r="G4266" t="n">
        <v>0.7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25922-2025</t>
        </is>
      </c>
      <c r="B4267" s="1" t="n">
        <v>45804.57377314815</v>
      </c>
      <c r="C4267" s="1" t="n">
        <v>45962</v>
      </c>
      <c r="D4267" t="inlineStr">
        <is>
          <t>JÖNKÖPINGS LÄN</t>
        </is>
      </c>
      <c r="E4267" t="inlineStr">
        <is>
          <t>VAGGERYD</t>
        </is>
      </c>
      <c r="F4267" t="inlineStr">
        <is>
          <t>Kyrkan</t>
        </is>
      </c>
      <c r="G4267" t="n">
        <v>2.3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25964-2025</t>
        </is>
      </c>
      <c r="B4268" s="1" t="n">
        <v>45804.61609953704</v>
      </c>
      <c r="C4268" s="1" t="n">
        <v>45962</v>
      </c>
      <c r="D4268" t="inlineStr">
        <is>
          <t>JÖNKÖPINGS LÄN</t>
        </is>
      </c>
      <c r="E4268" t="inlineStr">
        <is>
          <t>GISLAVED</t>
        </is>
      </c>
      <c r="G4268" t="n">
        <v>3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25966-2025</t>
        </is>
      </c>
      <c r="B4269" s="1" t="n">
        <v>45804.61944444444</v>
      </c>
      <c r="C4269" s="1" t="n">
        <v>45962</v>
      </c>
      <c r="D4269" t="inlineStr">
        <is>
          <t>JÖNKÖPINGS LÄN</t>
        </is>
      </c>
      <c r="E4269" t="inlineStr">
        <is>
          <t>GISLAVED</t>
        </is>
      </c>
      <c r="G4269" t="n">
        <v>1.1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11822-2025</t>
        </is>
      </c>
      <c r="B4270" s="1" t="n">
        <v>45728.32645833334</v>
      </c>
      <c r="C4270" s="1" t="n">
        <v>45962</v>
      </c>
      <c r="D4270" t="inlineStr">
        <is>
          <t>JÖNKÖPINGS LÄN</t>
        </is>
      </c>
      <c r="E4270" t="inlineStr">
        <is>
          <t>SÄVSJÖ</t>
        </is>
      </c>
      <c r="G4270" t="n">
        <v>5.4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766-2024</t>
        </is>
      </c>
      <c r="B4271" s="1" t="n">
        <v>45300.51850694444</v>
      </c>
      <c r="C4271" s="1" t="n">
        <v>45962</v>
      </c>
      <c r="D4271" t="inlineStr">
        <is>
          <t>JÖNKÖPINGS LÄN</t>
        </is>
      </c>
      <c r="E4271" t="inlineStr">
        <is>
          <t>VAGGERYD</t>
        </is>
      </c>
      <c r="G4271" t="n">
        <v>2.8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49681-2023</t>
        </is>
      </c>
      <c r="B4272" s="1" t="n">
        <v>45212</v>
      </c>
      <c r="C4272" s="1" t="n">
        <v>45962</v>
      </c>
      <c r="D4272" t="inlineStr">
        <is>
          <t>JÖNKÖPINGS LÄN</t>
        </is>
      </c>
      <c r="E4272" t="inlineStr">
        <is>
          <t>EKSJÖ</t>
        </is>
      </c>
      <c r="G4272" t="n">
        <v>3.8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59727-2024</t>
        </is>
      </c>
      <c r="B4273" s="1" t="n">
        <v>45639.49689814815</v>
      </c>
      <c r="C4273" s="1" t="n">
        <v>45962</v>
      </c>
      <c r="D4273" t="inlineStr">
        <is>
          <t>JÖNKÖPINGS LÄN</t>
        </is>
      </c>
      <c r="E4273" t="inlineStr">
        <is>
          <t>GNOSJÖ</t>
        </is>
      </c>
      <c r="G4273" t="n">
        <v>2.3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36748-2023</t>
        </is>
      </c>
      <c r="B4274" s="1" t="n">
        <v>45153.905</v>
      </c>
      <c r="C4274" s="1" t="n">
        <v>45962</v>
      </c>
      <c r="D4274" t="inlineStr">
        <is>
          <t>JÖNKÖPINGS LÄN</t>
        </is>
      </c>
      <c r="E4274" t="inlineStr">
        <is>
          <t>VAGGERYD</t>
        </is>
      </c>
      <c r="G4274" t="n">
        <v>0.5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26069-2025</t>
        </is>
      </c>
      <c r="B4275" s="1" t="n">
        <v>45805.31577546296</v>
      </c>
      <c r="C4275" s="1" t="n">
        <v>45962</v>
      </c>
      <c r="D4275" t="inlineStr">
        <is>
          <t>JÖNKÖPINGS LÄN</t>
        </is>
      </c>
      <c r="E4275" t="inlineStr">
        <is>
          <t>GNOSJÖ</t>
        </is>
      </c>
      <c r="G4275" t="n">
        <v>3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26093-2025</t>
        </is>
      </c>
      <c r="B4276" s="1" t="n">
        <v>45805.34600694444</v>
      </c>
      <c r="C4276" s="1" t="n">
        <v>45962</v>
      </c>
      <c r="D4276" t="inlineStr">
        <is>
          <t>JÖNKÖPINGS LÄN</t>
        </is>
      </c>
      <c r="E4276" t="inlineStr">
        <is>
          <t>GISLAVED</t>
        </is>
      </c>
      <c r="G4276" t="n">
        <v>7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8185-2024</t>
        </is>
      </c>
      <c r="B4277" s="1" t="n">
        <v>45351.65180555556</v>
      </c>
      <c r="C4277" s="1" t="n">
        <v>45962</v>
      </c>
      <c r="D4277" t="inlineStr">
        <is>
          <t>JÖNKÖPINGS LÄN</t>
        </is>
      </c>
      <c r="E4277" t="inlineStr">
        <is>
          <t>JÖNKÖPING</t>
        </is>
      </c>
      <c r="F4277" t="inlineStr">
        <is>
          <t>Sveaskog</t>
        </is>
      </c>
      <c r="G4277" t="n">
        <v>0.7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18131-2021</t>
        </is>
      </c>
      <c r="B4278" s="1" t="n">
        <v>44302</v>
      </c>
      <c r="C4278" s="1" t="n">
        <v>45962</v>
      </c>
      <c r="D4278" t="inlineStr">
        <is>
          <t>JÖNKÖPINGS LÄN</t>
        </is>
      </c>
      <c r="E4278" t="inlineStr">
        <is>
          <t>GISLAVED</t>
        </is>
      </c>
      <c r="G4278" t="n">
        <v>1.2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34012-2023</t>
        </is>
      </c>
      <c r="B4279" s="1" t="n">
        <v>45135</v>
      </c>
      <c r="C4279" s="1" t="n">
        <v>45962</v>
      </c>
      <c r="D4279" t="inlineStr">
        <is>
          <t>JÖNKÖPINGS LÄN</t>
        </is>
      </c>
      <c r="E4279" t="inlineStr">
        <is>
          <t>GISLAVED</t>
        </is>
      </c>
      <c r="G4279" t="n">
        <v>3.5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26274-2025</t>
        </is>
      </c>
      <c r="B4280" s="1" t="n">
        <v>45805</v>
      </c>
      <c r="C4280" s="1" t="n">
        <v>45962</v>
      </c>
      <c r="D4280" t="inlineStr">
        <is>
          <t>JÖNKÖPINGS LÄN</t>
        </is>
      </c>
      <c r="E4280" t="inlineStr">
        <is>
          <t>JÖNKÖPING</t>
        </is>
      </c>
      <c r="G4280" t="n">
        <v>1.4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6545-2025</t>
        </is>
      </c>
      <c r="B4281" s="1" t="n">
        <v>45699.70334490741</v>
      </c>
      <c r="C4281" s="1" t="n">
        <v>45962</v>
      </c>
      <c r="D4281" t="inlineStr">
        <is>
          <t>JÖNKÖPINGS LÄN</t>
        </is>
      </c>
      <c r="E4281" t="inlineStr">
        <is>
          <t>GISLAVED</t>
        </is>
      </c>
      <c r="G4281" t="n">
        <v>2.8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22855-2023</t>
        </is>
      </c>
      <c r="B4282" s="1" t="n">
        <v>45072.47188657407</v>
      </c>
      <c r="C4282" s="1" t="n">
        <v>45962</v>
      </c>
      <c r="D4282" t="inlineStr">
        <is>
          <t>JÖNKÖPINGS LÄN</t>
        </is>
      </c>
      <c r="E4282" t="inlineStr">
        <is>
          <t>VÄRNAMO</t>
        </is>
      </c>
      <c r="F4282" t="inlineStr">
        <is>
          <t>Sveaskog</t>
        </is>
      </c>
      <c r="G4282" t="n">
        <v>1.2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22860-2023</t>
        </is>
      </c>
      <c r="B4283" s="1" t="n">
        <v>45072</v>
      </c>
      <c r="C4283" s="1" t="n">
        <v>45962</v>
      </c>
      <c r="D4283" t="inlineStr">
        <is>
          <t>JÖNKÖPINGS LÄN</t>
        </is>
      </c>
      <c r="E4283" t="inlineStr">
        <is>
          <t>EKSJÖ</t>
        </is>
      </c>
      <c r="G4283" t="n">
        <v>1.3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7169-2025</t>
        </is>
      </c>
      <c r="B4284" s="1" t="n">
        <v>45702.40758101852</v>
      </c>
      <c r="C4284" s="1" t="n">
        <v>45962</v>
      </c>
      <c r="D4284" t="inlineStr">
        <is>
          <t>JÖNKÖPINGS LÄN</t>
        </is>
      </c>
      <c r="E4284" t="inlineStr">
        <is>
          <t>GISLAVED</t>
        </is>
      </c>
      <c r="F4284" t="inlineStr">
        <is>
          <t>Sveaskog</t>
        </is>
      </c>
      <c r="G4284" t="n">
        <v>1.2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16456-2025</t>
        </is>
      </c>
      <c r="B4285" s="1" t="n">
        <v>45750</v>
      </c>
      <c r="C4285" s="1" t="n">
        <v>45962</v>
      </c>
      <c r="D4285" t="inlineStr">
        <is>
          <t>JÖNKÖPINGS LÄN</t>
        </is>
      </c>
      <c r="E4285" t="inlineStr">
        <is>
          <t>VÄRNAMO</t>
        </is>
      </c>
      <c r="G4285" t="n">
        <v>10.4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62764-2023</t>
        </is>
      </c>
      <c r="B4286" s="1" t="n">
        <v>45271.64642361111</v>
      </c>
      <c r="C4286" s="1" t="n">
        <v>45962</v>
      </c>
      <c r="D4286" t="inlineStr">
        <is>
          <t>JÖNKÖPINGS LÄN</t>
        </is>
      </c>
      <c r="E4286" t="inlineStr">
        <is>
          <t>HABO</t>
        </is>
      </c>
      <c r="G4286" t="n">
        <v>2.5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47972-2023</t>
        </is>
      </c>
      <c r="B4287" s="1" t="n">
        <v>45204.60837962963</v>
      </c>
      <c r="C4287" s="1" t="n">
        <v>45962</v>
      </c>
      <c r="D4287" t="inlineStr">
        <is>
          <t>JÖNKÖPINGS LÄN</t>
        </is>
      </c>
      <c r="E4287" t="inlineStr">
        <is>
          <t>GISLAVED</t>
        </is>
      </c>
      <c r="G4287" t="n">
        <v>1.4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47989-2023</t>
        </is>
      </c>
      <c r="B4288" s="1" t="n">
        <v>45204.62497685185</v>
      </c>
      <c r="C4288" s="1" t="n">
        <v>45962</v>
      </c>
      <c r="D4288" t="inlineStr">
        <is>
          <t>JÖNKÖPINGS LÄN</t>
        </is>
      </c>
      <c r="E4288" t="inlineStr">
        <is>
          <t>EKSJÖ</t>
        </is>
      </c>
      <c r="F4288" t="inlineStr">
        <is>
          <t>Sveaskog</t>
        </is>
      </c>
      <c r="G4288" t="n">
        <v>1.9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62794-2023</t>
        </is>
      </c>
      <c r="B4289" s="1" t="n">
        <v>45271.75553240741</v>
      </c>
      <c r="C4289" s="1" t="n">
        <v>45962</v>
      </c>
      <c r="D4289" t="inlineStr">
        <is>
          <t>JÖNKÖPINGS LÄN</t>
        </is>
      </c>
      <c r="E4289" t="inlineStr">
        <is>
          <t>VÄRNAMO</t>
        </is>
      </c>
      <c r="F4289" t="inlineStr">
        <is>
          <t>Kommuner</t>
        </is>
      </c>
      <c r="G4289" t="n">
        <v>4.4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60004-2024</t>
        </is>
      </c>
      <c r="B4290" s="1" t="n">
        <v>45642.41534722222</v>
      </c>
      <c r="C4290" s="1" t="n">
        <v>45962</v>
      </c>
      <c r="D4290" t="inlineStr">
        <is>
          <t>JÖNKÖPINGS LÄN</t>
        </is>
      </c>
      <c r="E4290" t="inlineStr">
        <is>
          <t>EKSJÖ</t>
        </is>
      </c>
      <c r="G4290" t="n">
        <v>1.8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26067-2025</t>
        </is>
      </c>
      <c r="B4291" s="1" t="n">
        <v>45805.30957175926</v>
      </c>
      <c r="C4291" s="1" t="n">
        <v>45962</v>
      </c>
      <c r="D4291" t="inlineStr">
        <is>
          <t>JÖNKÖPINGS LÄN</t>
        </is>
      </c>
      <c r="E4291" t="inlineStr">
        <is>
          <t>VETLANDA</t>
        </is>
      </c>
      <c r="G4291" t="n">
        <v>3.2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13632-2022</t>
        </is>
      </c>
      <c r="B4292" s="1" t="n">
        <v>44648.61840277778</v>
      </c>
      <c r="C4292" s="1" t="n">
        <v>45962</v>
      </c>
      <c r="D4292" t="inlineStr">
        <is>
          <t>JÖNKÖPINGS LÄN</t>
        </is>
      </c>
      <c r="E4292" t="inlineStr">
        <is>
          <t>JÖNKÖPING</t>
        </is>
      </c>
      <c r="G4292" t="n">
        <v>3.1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26071-2025</t>
        </is>
      </c>
      <c r="B4293" s="1" t="n">
        <v>45805.31810185185</v>
      </c>
      <c r="C4293" s="1" t="n">
        <v>45962</v>
      </c>
      <c r="D4293" t="inlineStr">
        <is>
          <t>JÖNKÖPINGS LÄN</t>
        </is>
      </c>
      <c r="E4293" t="inlineStr">
        <is>
          <t>GNOSJÖ</t>
        </is>
      </c>
      <c r="G4293" t="n">
        <v>0.9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25863-2025</t>
        </is>
      </c>
      <c r="B4294" s="1" t="n">
        <v>45804.47696759259</v>
      </c>
      <c r="C4294" s="1" t="n">
        <v>45962</v>
      </c>
      <c r="D4294" t="inlineStr">
        <is>
          <t>JÖNKÖPINGS LÄN</t>
        </is>
      </c>
      <c r="E4294" t="inlineStr">
        <is>
          <t>MULLSJÖ</t>
        </is>
      </c>
      <c r="G4294" t="n">
        <v>4.2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26896-2024</t>
        </is>
      </c>
      <c r="B4295" s="1" t="n">
        <v>45470.6672337963</v>
      </c>
      <c r="C4295" s="1" t="n">
        <v>45962</v>
      </c>
      <c r="D4295" t="inlineStr">
        <is>
          <t>JÖNKÖPINGS LÄN</t>
        </is>
      </c>
      <c r="E4295" t="inlineStr">
        <is>
          <t>JÖNKÖPING</t>
        </is>
      </c>
      <c r="G4295" t="n">
        <v>2.1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42047-2023</t>
        </is>
      </c>
      <c r="B4296" s="1" t="n">
        <v>45177.5462962963</v>
      </c>
      <c r="C4296" s="1" t="n">
        <v>45962</v>
      </c>
      <c r="D4296" t="inlineStr">
        <is>
          <t>JÖNKÖPINGS LÄN</t>
        </is>
      </c>
      <c r="E4296" t="inlineStr">
        <is>
          <t>JÖNKÖPING</t>
        </is>
      </c>
      <c r="G4296" t="n">
        <v>1.2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6781-2022</t>
        </is>
      </c>
      <c r="B4297" s="1" t="n">
        <v>44602.54028935185</v>
      </c>
      <c r="C4297" s="1" t="n">
        <v>45962</v>
      </c>
      <c r="D4297" t="inlineStr">
        <is>
          <t>JÖNKÖPINGS LÄN</t>
        </is>
      </c>
      <c r="E4297" t="inlineStr">
        <is>
          <t>GNOSJÖ</t>
        </is>
      </c>
      <c r="G4297" t="n">
        <v>3.1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13235-2021</t>
        </is>
      </c>
      <c r="B4298" s="1" t="n">
        <v>44272</v>
      </c>
      <c r="C4298" s="1" t="n">
        <v>45962</v>
      </c>
      <c r="D4298" t="inlineStr">
        <is>
          <t>JÖNKÖPINGS LÄN</t>
        </is>
      </c>
      <c r="E4298" t="inlineStr">
        <is>
          <t>JÖNKÖPING</t>
        </is>
      </c>
      <c r="G4298" t="n">
        <v>2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15434-2023</t>
        </is>
      </c>
      <c r="B4299" s="1" t="n">
        <v>45020</v>
      </c>
      <c r="C4299" s="1" t="n">
        <v>45962</v>
      </c>
      <c r="D4299" t="inlineStr">
        <is>
          <t>JÖNKÖPINGS LÄN</t>
        </is>
      </c>
      <c r="E4299" t="inlineStr">
        <is>
          <t>GNOSJÖ</t>
        </is>
      </c>
      <c r="G4299" t="n">
        <v>0.5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25967-2025</t>
        </is>
      </c>
      <c r="B4300" s="1" t="n">
        <v>45804.62068287037</v>
      </c>
      <c r="C4300" s="1" t="n">
        <v>45962</v>
      </c>
      <c r="D4300" t="inlineStr">
        <is>
          <t>JÖNKÖPINGS LÄN</t>
        </is>
      </c>
      <c r="E4300" t="inlineStr">
        <is>
          <t>GISLAVED</t>
        </is>
      </c>
      <c r="G4300" t="n">
        <v>1.7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25970-2025</t>
        </is>
      </c>
      <c r="B4301" s="1" t="n">
        <v>45804</v>
      </c>
      <c r="C4301" s="1" t="n">
        <v>45962</v>
      </c>
      <c r="D4301" t="inlineStr">
        <is>
          <t>JÖNKÖPINGS LÄN</t>
        </is>
      </c>
      <c r="E4301" t="inlineStr">
        <is>
          <t>VÄRNAMO</t>
        </is>
      </c>
      <c r="G4301" t="n">
        <v>0.8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15620-2024</t>
        </is>
      </c>
      <c r="B4302" s="1" t="n">
        <v>45402.23428240741</v>
      </c>
      <c r="C4302" s="1" t="n">
        <v>45962</v>
      </c>
      <c r="D4302" t="inlineStr">
        <is>
          <t>JÖNKÖPINGS LÄN</t>
        </is>
      </c>
      <c r="E4302" t="inlineStr">
        <is>
          <t>NÄSSJÖ</t>
        </is>
      </c>
      <c r="G4302" t="n">
        <v>0.9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26059-2025</t>
        </is>
      </c>
      <c r="B4303" s="1" t="n">
        <v>45804</v>
      </c>
      <c r="C4303" s="1" t="n">
        <v>45962</v>
      </c>
      <c r="D4303" t="inlineStr">
        <is>
          <t>JÖNKÖPINGS LÄN</t>
        </is>
      </c>
      <c r="E4303" t="inlineStr">
        <is>
          <t>NÄSSJÖ</t>
        </is>
      </c>
      <c r="G4303" t="n">
        <v>4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52780-2024</t>
        </is>
      </c>
      <c r="B4304" s="1" t="n">
        <v>45610.54395833334</v>
      </c>
      <c r="C4304" s="1" t="n">
        <v>45962</v>
      </c>
      <c r="D4304" t="inlineStr">
        <is>
          <t>JÖNKÖPINGS LÄN</t>
        </is>
      </c>
      <c r="E4304" t="inlineStr">
        <is>
          <t>VÄRNAMO</t>
        </is>
      </c>
      <c r="G4304" t="n">
        <v>1.1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3425-2024</t>
        </is>
      </c>
      <c r="B4305" s="1" t="n">
        <v>45319.901875</v>
      </c>
      <c r="C4305" s="1" t="n">
        <v>45962</v>
      </c>
      <c r="D4305" t="inlineStr">
        <is>
          <t>JÖNKÖPINGS LÄN</t>
        </is>
      </c>
      <c r="E4305" t="inlineStr">
        <is>
          <t>VETLANDA</t>
        </is>
      </c>
      <c r="G4305" t="n">
        <v>3.4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1220-2021</t>
        </is>
      </c>
      <c r="B4306" s="1" t="n">
        <v>44208</v>
      </c>
      <c r="C4306" s="1" t="n">
        <v>45962</v>
      </c>
      <c r="D4306" t="inlineStr">
        <is>
          <t>JÖNKÖPINGS LÄN</t>
        </is>
      </c>
      <c r="E4306" t="inlineStr">
        <is>
          <t>GISLAVED</t>
        </is>
      </c>
      <c r="F4306" t="inlineStr">
        <is>
          <t>Kyrkan</t>
        </is>
      </c>
      <c r="G4306" t="n">
        <v>4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53264-2022</t>
        </is>
      </c>
      <c r="B4307" s="1" t="n">
        <v>44876</v>
      </c>
      <c r="C4307" s="1" t="n">
        <v>45962</v>
      </c>
      <c r="D4307" t="inlineStr">
        <is>
          <t>JÖNKÖPINGS LÄN</t>
        </is>
      </c>
      <c r="E4307" t="inlineStr">
        <is>
          <t>HABO</t>
        </is>
      </c>
      <c r="G4307" t="n">
        <v>0.7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60433-2023</t>
        </is>
      </c>
      <c r="B4308" s="1" t="n">
        <v>45259.51289351852</v>
      </c>
      <c r="C4308" s="1" t="n">
        <v>45962</v>
      </c>
      <c r="D4308" t="inlineStr">
        <is>
          <t>JÖNKÖPINGS LÄN</t>
        </is>
      </c>
      <c r="E4308" t="inlineStr">
        <is>
          <t>NÄSSJÖ</t>
        </is>
      </c>
      <c r="G4308" t="n">
        <v>1.4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41820-2021</t>
        </is>
      </c>
      <c r="B4309" s="1" t="n">
        <v>44425.85980324074</v>
      </c>
      <c r="C4309" s="1" t="n">
        <v>45962</v>
      </c>
      <c r="D4309" t="inlineStr">
        <is>
          <t>JÖNKÖPINGS LÄN</t>
        </is>
      </c>
      <c r="E4309" t="inlineStr">
        <is>
          <t>VÄRNAMO</t>
        </is>
      </c>
      <c r="G4309" t="n">
        <v>1.5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3683-2025</t>
        </is>
      </c>
      <c r="B4310" s="1" t="n">
        <v>45681.45478009259</v>
      </c>
      <c r="C4310" s="1" t="n">
        <v>45962</v>
      </c>
      <c r="D4310" t="inlineStr">
        <is>
          <t>JÖNKÖPINGS LÄN</t>
        </is>
      </c>
      <c r="E4310" t="inlineStr">
        <is>
          <t>VETLANDA</t>
        </is>
      </c>
      <c r="G4310" t="n">
        <v>5.5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25991-2025</t>
        </is>
      </c>
      <c r="B4311" s="1" t="n">
        <v>45804.65353009259</v>
      </c>
      <c r="C4311" s="1" t="n">
        <v>45962</v>
      </c>
      <c r="D4311" t="inlineStr">
        <is>
          <t>JÖNKÖPINGS LÄN</t>
        </is>
      </c>
      <c r="E4311" t="inlineStr">
        <is>
          <t>GISLAVED</t>
        </is>
      </c>
      <c r="G4311" t="n">
        <v>1.3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12547-2023</t>
        </is>
      </c>
      <c r="B4312" s="1" t="n">
        <v>45000.32324074074</v>
      </c>
      <c r="C4312" s="1" t="n">
        <v>45962</v>
      </c>
      <c r="D4312" t="inlineStr">
        <is>
          <t>JÖNKÖPINGS LÄN</t>
        </is>
      </c>
      <c r="E4312" t="inlineStr">
        <is>
          <t>GISLAVED</t>
        </is>
      </c>
      <c r="G4312" t="n">
        <v>5.1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16791-2021</t>
        </is>
      </c>
      <c r="B4313" s="1" t="n">
        <v>44295.31922453704</v>
      </c>
      <c r="C4313" s="1" t="n">
        <v>45962</v>
      </c>
      <c r="D4313" t="inlineStr">
        <is>
          <t>JÖNKÖPINGS LÄN</t>
        </is>
      </c>
      <c r="E4313" t="inlineStr">
        <is>
          <t>JÖNKÖPING</t>
        </is>
      </c>
      <c r="G4313" t="n">
        <v>3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34545-2023</t>
        </is>
      </c>
      <c r="B4314" s="1" t="n">
        <v>45140.485</v>
      </c>
      <c r="C4314" s="1" t="n">
        <v>45962</v>
      </c>
      <c r="D4314" t="inlineStr">
        <is>
          <t>JÖNKÖPINGS LÄN</t>
        </is>
      </c>
      <c r="E4314" t="inlineStr">
        <is>
          <t>NÄSSJÖ</t>
        </is>
      </c>
      <c r="G4314" t="n">
        <v>1.8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36354-2022</t>
        </is>
      </c>
      <c r="B4315" s="1" t="n">
        <v>44803.86137731482</v>
      </c>
      <c r="C4315" s="1" t="n">
        <v>45962</v>
      </c>
      <c r="D4315" t="inlineStr">
        <is>
          <t>JÖNKÖPINGS LÄN</t>
        </is>
      </c>
      <c r="E4315" t="inlineStr">
        <is>
          <t>EKSJÖ</t>
        </is>
      </c>
      <c r="G4315" t="n">
        <v>1.3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41144-2021</t>
        </is>
      </c>
      <c r="B4316" s="1" t="n">
        <v>44423</v>
      </c>
      <c r="C4316" s="1" t="n">
        <v>45962</v>
      </c>
      <c r="D4316" t="inlineStr">
        <is>
          <t>JÖNKÖPINGS LÄN</t>
        </is>
      </c>
      <c r="E4316" t="inlineStr">
        <is>
          <t>ANEBY</t>
        </is>
      </c>
      <c r="G4316" t="n">
        <v>6.6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55012-2023</t>
        </is>
      </c>
      <c r="B4317" s="1" t="n">
        <v>45237.31642361111</v>
      </c>
      <c r="C4317" s="1" t="n">
        <v>45962</v>
      </c>
      <c r="D4317" t="inlineStr">
        <is>
          <t>JÖNKÖPINGS LÄN</t>
        </is>
      </c>
      <c r="E4317" t="inlineStr">
        <is>
          <t>SÄVSJÖ</t>
        </is>
      </c>
      <c r="G4317" t="n">
        <v>5.4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30752-2024</t>
        </is>
      </c>
      <c r="B4318" s="1" t="n">
        <v>45496.69783564815</v>
      </c>
      <c r="C4318" s="1" t="n">
        <v>45962</v>
      </c>
      <c r="D4318" t="inlineStr">
        <is>
          <t>JÖNKÖPINGS LÄN</t>
        </is>
      </c>
      <c r="E4318" t="inlineStr">
        <is>
          <t>NÄSSJÖ</t>
        </is>
      </c>
      <c r="G4318" t="n">
        <v>3.8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65277-2021</t>
        </is>
      </c>
      <c r="B4319" s="1" t="n">
        <v>44515</v>
      </c>
      <c r="C4319" s="1" t="n">
        <v>45962</v>
      </c>
      <c r="D4319" t="inlineStr">
        <is>
          <t>JÖNKÖPINGS LÄN</t>
        </is>
      </c>
      <c r="E4319" t="inlineStr">
        <is>
          <t>VETLANDA</t>
        </is>
      </c>
      <c r="F4319" t="inlineStr">
        <is>
          <t>Kyrkan</t>
        </is>
      </c>
      <c r="G4319" t="n">
        <v>1.1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9777-2023</t>
        </is>
      </c>
      <c r="B4320" s="1" t="n">
        <v>44984.61239583333</v>
      </c>
      <c r="C4320" s="1" t="n">
        <v>45962</v>
      </c>
      <c r="D4320" t="inlineStr">
        <is>
          <t>JÖNKÖPINGS LÄN</t>
        </is>
      </c>
      <c r="E4320" t="inlineStr">
        <is>
          <t>VETLANDA</t>
        </is>
      </c>
      <c r="G4320" t="n">
        <v>1.8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5898-2023</t>
        </is>
      </c>
      <c r="B4321" s="1" t="n">
        <v>44963</v>
      </c>
      <c r="C4321" s="1" t="n">
        <v>45962</v>
      </c>
      <c r="D4321" t="inlineStr">
        <is>
          <t>JÖNKÖPINGS LÄN</t>
        </is>
      </c>
      <c r="E4321" t="inlineStr">
        <is>
          <t>JÖNKÖPING</t>
        </is>
      </c>
      <c r="G4321" t="n">
        <v>4.1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38484-2023</t>
        </is>
      </c>
      <c r="B4322" s="1" t="n">
        <v>45162.47753472222</v>
      </c>
      <c r="C4322" s="1" t="n">
        <v>45962</v>
      </c>
      <c r="D4322" t="inlineStr">
        <is>
          <t>JÖNKÖPINGS LÄN</t>
        </is>
      </c>
      <c r="E4322" t="inlineStr">
        <is>
          <t>VÄRNAMO</t>
        </is>
      </c>
      <c r="G4322" t="n">
        <v>1.1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38501-2023</t>
        </is>
      </c>
      <c r="B4323" s="1" t="n">
        <v>45162.49752314815</v>
      </c>
      <c r="C4323" s="1" t="n">
        <v>45962</v>
      </c>
      <c r="D4323" t="inlineStr">
        <is>
          <t>JÖNKÖPINGS LÄN</t>
        </is>
      </c>
      <c r="E4323" t="inlineStr">
        <is>
          <t>VÄRNAMO</t>
        </is>
      </c>
      <c r="G4323" t="n">
        <v>0.9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8070-2023</t>
        </is>
      </c>
      <c r="B4324" s="1" t="n">
        <v>44974.36349537037</v>
      </c>
      <c r="C4324" s="1" t="n">
        <v>45962</v>
      </c>
      <c r="D4324" t="inlineStr">
        <is>
          <t>JÖNKÖPINGS LÄN</t>
        </is>
      </c>
      <c r="E4324" t="inlineStr">
        <is>
          <t>EKSJÖ</t>
        </is>
      </c>
      <c r="F4324" t="inlineStr">
        <is>
          <t>Sveaskog</t>
        </is>
      </c>
      <c r="G4324" t="n">
        <v>1.1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54254-2023</t>
        </is>
      </c>
      <c r="B4325" s="1" t="n">
        <v>45232</v>
      </c>
      <c r="C4325" s="1" t="n">
        <v>45962</v>
      </c>
      <c r="D4325" t="inlineStr">
        <is>
          <t>JÖNKÖPINGS LÄN</t>
        </is>
      </c>
      <c r="E4325" t="inlineStr">
        <is>
          <t>VETLANDA</t>
        </is>
      </c>
      <c r="G4325" t="n">
        <v>0.6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45976-2022</t>
        </is>
      </c>
      <c r="B4326" s="1" t="n">
        <v>44846.68375</v>
      </c>
      <c r="C4326" s="1" t="n">
        <v>45962</v>
      </c>
      <c r="D4326" t="inlineStr">
        <is>
          <t>JÖNKÖPINGS LÄN</t>
        </is>
      </c>
      <c r="E4326" t="inlineStr">
        <is>
          <t>JÖNKÖPING</t>
        </is>
      </c>
      <c r="G4326" t="n">
        <v>1.5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25216-2024</t>
        </is>
      </c>
      <c r="B4327" s="1" t="n">
        <v>45462.58177083333</v>
      </c>
      <c r="C4327" s="1" t="n">
        <v>45962</v>
      </c>
      <c r="D4327" t="inlineStr">
        <is>
          <t>JÖNKÖPINGS LÄN</t>
        </is>
      </c>
      <c r="E4327" t="inlineStr">
        <is>
          <t>VETLANDA</t>
        </is>
      </c>
      <c r="G4327" t="n">
        <v>0.6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2052-2021</t>
        </is>
      </c>
      <c r="B4328" s="1" t="n">
        <v>44211</v>
      </c>
      <c r="C4328" s="1" t="n">
        <v>45962</v>
      </c>
      <c r="D4328" t="inlineStr">
        <is>
          <t>JÖNKÖPINGS LÄN</t>
        </is>
      </c>
      <c r="E4328" t="inlineStr">
        <is>
          <t>JÖNKÖPING</t>
        </is>
      </c>
      <c r="G4328" t="n">
        <v>0.7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33845-2024</t>
        </is>
      </c>
      <c r="B4329" s="1" t="n">
        <v>45520</v>
      </c>
      <c r="C4329" s="1" t="n">
        <v>45962</v>
      </c>
      <c r="D4329" t="inlineStr">
        <is>
          <t>JÖNKÖPINGS LÄN</t>
        </is>
      </c>
      <c r="E4329" t="inlineStr">
        <is>
          <t>GISLAVED</t>
        </is>
      </c>
      <c r="F4329" t="inlineStr">
        <is>
          <t>Sveaskog</t>
        </is>
      </c>
      <c r="G4329" t="n">
        <v>1.9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33846-2024</t>
        </is>
      </c>
      <c r="B4330" s="1" t="n">
        <v>45520</v>
      </c>
      <c r="C4330" s="1" t="n">
        <v>45962</v>
      </c>
      <c r="D4330" t="inlineStr">
        <is>
          <t>JÖNKÖPINGS LÄN</t>
        </is>
      </c>
      <c r="E4330" t="inlineStr">
        <is>
          <t>GISLAVED</t>
        </is>
      </c>
      <c r="F4330" t="inlineStr">
        <is>
          <t>Sveaskog</t>
        </is>
      </c>
      <c r="G4330" t="n">
        <v>1.2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62594-2020</t>
        </is>
      </c>
      <c r="B4331" s="1" t="n">
        <v>44161.31023148148</v>
      </c>
      <c r="C4331" s="1" t="n">
        <v>45962</v>
      </c>
      <c r="D4331" t="inlineStr">
        <is>
          <t>JÖNKÖPINGS LÄN</t>
        </is>
      </c>
      <c r="E4331" t="inlineStr">
        <is>
          <t>JÖNKÖPING</t>
        </is>
      </c>
      <c r="G4331" t="n">
        <v>1.5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55039-2023</t>
        </is>
      </c>
      <c r="B4332" s="1" t="n">
        <v>45237.35436342593</v>
      </c>
      <c r="C4332" s="1" t="n">
        <v>45962</v>
      </c>
      <c r="D4332" t="inlineStr">
        <is>
          <t>JÖNKÖPINGS LÄN</t>
        </is>
      </c>
      <c r="E4332" t="inlineStr">
        <is>
          <t>SÄVSJÖ</t>
        </is>
      </c>
      <c r="G4332" t="n">
        <v>2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1756-2023</t>
        </is>
      </c>
      <c r="B4333" s="1" t="n">
        <v>44938</v>
      </c>
      <c r="C4333" s="1" t="n">
        <v>45962</v>
      </c>
      <c r="D4333" t="inlineStr">
        <is>
          <t>JÖNKÖPINGS LÄN</t>
        </is>
      </c>
      <c r="E4333" t="inlineStr">
        <is>
          <t>JÖNKÖPING</t>
        </is>
      </c>
      <c r="F4333" t="inlineStr">
        <is>
          <t>Kyrkan</t>
        </is>
      </c>
      <c r="G4333" t="n">
        <v>3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26279-2025</t>
        </is>
      </c>
      <c r="B4334" s="1" t="n">
        <v>45805.60481481482</v>
      </c>
      <c r="C4334" s="1" t="n">
        <v>45962</v>
      </c>
      <c r="D4334" t="inlineStr">
        <is>
          <t>JÖNKÖPINGS LÄN</t>
        </is>
      </c>
      <c r="E4334" t="inlineStr">
        <is>
          <t>JÖNKÖPING</t>
        </is>
      </c>
      <c r="G4334" t="n">
        <v>0.5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25875-2024</t>
        </is>
      </c>
      <c r="B4335" s="1" t="n">
        <v>45467.47898148148</v>
      </c>
      <c r="C4335" s="1" t="n">
        <v>45962</v>
      </c>
      <c r="D4335" t="inlineStr">
        <is>
          <t>JÖNKÖPINGS LÄN</t>
        </is>
      </c>
      <c r="E4335" t="inlineStr">
        <is>
          <t>ANEBY</t>
        </is>
      </c>
      <c r="G4335" t="n">
        <v>1.4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50493-2024</t>
        </is>
      </c>
      <c r="B4336" s="1" t="n">
        <v>45601.50608796296</v>
      </c>
      <c r="C4336" s="1" t="n">
        <v>45962</v>
      </c>
      <c r="D4336" t="inlineStr">
        <is>
          <t>JÖNKÖPINGS LÄN</t>
        </is>
      </c>
      <c r="E4336" t="inlineStr">
        <is>
          <t>SÄVSJÖ</t>
        </is>
      </c>
      <c r="G4336" t="n">
        <v>0.4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49958-2022</t>
        </is>
      </c>
      <c r="B4337" s="1" t="n">
        <v>44865.37258101852</v>
      </c>
      <c r="C4337" s="1" t="n">
        <v>45962</v>
      </c>
      <c r="D4337" t="inlineStr">
        <is>
          <t>JÖNKÖPINGS LÄN</t>
        </is>
      </c>
      <c r="E4337" t="inlineStr">
        <is>
          <t>TRANÅS</t>
        </is>
      </c>
      <c r="G4337" t="n">
        <v>0.6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26239-2025</t>
        </is>
      </c>
      <c r="B4338" s="1" t="n">
        <v>45805</v>
      </c>
      <c r="C4338" s="1" t="n">
        <v>45962</v>
      </c>
      <c r="D4338" t="inlineStr">
        <is>
          <t>JÖNKÖPINGS LÄN</t>
        </is>
      </c>
      <c r="E4338" t="inlineStr">
        <is>
          <t>NÄSSJÖ</t>
        </is>
      </c>
      <c r="G4338" t="n">
        <v>1.2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26259-2025</t>
        </is>
      </c>
      <c r="B4339" s="1" t="n">
        <v>45805.58372685185</v>
      </c>
      <c r="C4339" s="1" t="n">
        <v>45962</v>
      </c>
      <c r="D4339" t="inlineStr">
        <is>
          <t>JÖNKÖPINGS LÄN</t>
        </is>
      </c>
      <c r="E4339" t="inlineStr">
        <is>
          <t>JÖNKÖPING</t>
        </is>
      </c>
      <c r="G4339" t="n">
        <v>1.5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57436-2022</t>
        </is>
      </c>
      <c r="B4340" s="1" t="n">
        <v>44896</v>
      </c>
      <c r="C4340" s="1" t="n">
        <v>45962</v>
      </c>
      <c r="D4340" t="inlineStr">
        <is>
          <t>JÖNKÖPINGS LÄN</t>
        </is>
      </c>
      <c r="E4340" t="inlineStr">
        <is>
          <t>GISLAVED</t>
        </is>
      </c>
      <c r="G4340" t="n">
        <v>3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6976-2021</t>
        </is>
      </c>
      <c r="B4341" s="1" t="n">
        <v>44237</v>
      </c>
      <c r="C4341" s="1" t="n">
        <v>45962</v>
      </c>
      <c r="D4341" t="inlineStr">
        <is>
          <t>JÖNKÖPINGS LÄN</t>
        </is>
      </c>
      <c r="E4341" t="inlineStr">
        <is>
          <t>EKSJÖ</t>
        </is>
      </c>
      <c r="G4341" t="n">
        <v>2.1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25841-2025</t>
        </is>
      </c>
      <c r="B4342" s="1" t="n">
        <v>45804.4540162037</v>
      </c>
      <c r="C4342" s="1" t="n">
        <v>45962</v>
      </c>
      <c r="D4342" t="inlineStr">
        <is>
          <t>JÖNKÖPINGS LÄN</t>
        </is>
      </c>
      <c r="E4342" t="inlineStr">
        <is>
          <t>NÄSSJÖ</t>
        </is>
      </c>
      <c r="G4342" t="n">
        <v>1.8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6105-2025</t>
        </is>
      </c>
      <c r="B4343" s="1" t="n">
        <v>45697.96215277778</v>
      </c>
      <c r="C4343" s="1" t="n">
        <v>45962</v>
      </c>
      <c r="D4343" t="inlineStr">
        <is>
          <t>JÖNKÖPINGS LÄN</t>
        </is>
      </c>
      <c r="E4343" t="inlineStr">
        <is>
          <t>VAGGERYD</t>
        </is>
      </c>
      <c r="G4343" t="n">
        <v>0.9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2094-2022</t>
        </is>
      </c>
      <c r="B4344" s="1" t="n">
        <v>44577.50803240741</v>
      </c>
      <c r="C4344" s="1" t="n">
        <v>45962</v>
      </c>
      <c r="D4344" t="inlineStr">
        <is>
          <t>JÖNKÖPINGS LÄN</t>
        </is>
      </c>
      <c r="E4344" t="inlineStr">
        <is>
          <t>VÄRNAMO</t>
        </is>
      </c>
      <c r="G4344" t="n">
        <v>1.6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47405-2021</t>
        </is>
      </c>
      <c r="B4345" s="1" t="n">
        <v>44447.59116898148</v>
      </c>
      <c r="C4345" s="1" t="n">
        <v>45962</v>
      </c>
      <c r="D4345" t="inlineStr">
        <is>
          <t>JÖNKÖPINGS LÄN</t>
        </is>
      </c>
      <c r="E4345" t="inlineStr">
        <is>
          <t>SÄVSJÖ</t>
        </is>
      </c>
      <c r="G4345" t="n">
        <v>1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6963-2021</t>
        </is>
      </c>
      <c r="B4346" s="1" t="n">
        <v>44237</v>
      </c>
      <c r="C4346" s="1" t="n">
        <v>45962</v>
      </c>
      <c r="D4346" t="inlineStr">
        <is>
          <t>JÖNKÖPINGS LÄN</t>
        </is>
      </c>
      <c r="E4346" t="inlineStr">
        <is>
          <t>GISLAVED</t>
        </is>
      </c>
      <c r="G4346" t="n">
        <v>15.6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25852-2025</t>
        </is>
      </c>
      <c r="B4347" s="1" t="n">
        <v>45804</v>
      </c>
      <c r="C4347" s="1" t="n">
        <v>45962</v>
      </c>
      <c r="D4347" t="inlineStr">
        <is>
          <t>JÖNKÖPINGS LÄN</t>
        </is>
      </c>
      <c r="E4347" t="inlineStr">
        <is>
          <t>JÖNKÖPING</t>
        </is>
      </c>
      <c r="G4347" t="n">
        <v>3.3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9667-2023</t>
        </is>
      </c>
      <c r="B4348" s="1" t="n">
        <v>44984.40798611111</v>
      </c>
      <c r="C4348" s="1" t="n">
        <v>45962</v>
      </c>
      <c r="D4348" t="inlineStr">
        <is>
          <t>JÖNKÖPINGS LÄN</t>
        </is>
      </c>
      <c r="E4348" t="inlineStr">
        <is>
          <t>VETLANDA</t>
        </is>
      </c>
      <c r="G4348" t="n">
        <v>0.7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9677-2023</t>
        </is>
      </c>
      <c r="B4349" s="1" t="n">
        <v>44984.43561342593</v>
      </c>
      <c r="C4349" s="1" t="n">
        <v>45962</v>
      </c>
      <c r="D4349" t="inlineStr">
        <is>
          <t>JÖNKÖPINGS LÄN</t>
        </is>
      </c>
      <c r="E4349" t="inlineStr">
        <is>
          <t>VETLANDA</t>
        </is>
      </c>
      <c r="G4349" t="n">
        <v>1.4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9037-2024</t>
        </is>
      </c>
      <c r="B4350" s="1" t="n">
        <v>45357.63869212963</v>
      </c>
      <c r="C4350" s="1" t="n">
        <v>45962</v>
      </c>
      <c r="D4350" t="inlineStr">
        <is>
          <t>JÖNKÖPINGS LÄN</t>
        </is>
      </c>
      <c r="E4350" t="inlineStr">
        <is>
          <t>VETLANDA</t>
        </is>
      </c>
      <c r="G4350" t="n">
        <v>0.3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44742-2023</t>
        </is>
      </c>
      <c r="B4351" s="1" t="n">
        <v>45190</v>
      </c>
      <c r="C4351" s="1" t="n">
        <v>45962</v>
      </c>
      <c r="D4351" t="inlineStr">
        <is>
          <t>JÖNKÖPINGS LÄN</t>
        </is>
      </c>
      <c r="E4351" t="inlineStr">
        <is>
          <t>GISLAVED</t>
        </is>
      </c>
      <c r="G4351" t="n">
        <v>0.6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57868-2024</t>
        </is>
      </c>
      <c r="B4352" s="1" t="n">
        <v>45631.43929398148</v>
      </c>
      <c r="C4352" s="1" t="n">
        <v>45962</v>
      </c>
      <c r="D4352" t="inlineStr">
        <is>
          <t>JÖNKÖPINGS LÄN</t>
        </is>
      </c>
      <c r="E4352" t="inlineStr">
        <is>
          <t>EKSJÖ</t>
        </is>
      </c>
      <c r="G4352" t="n">
        <v>0.6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26257-2025</t>
        </is>
      </c>
      <c r="B4353" s="1" t="n">
        <v>45805.58325231481</v>
      </c>
      <c r="C4353" s="1" t="n">
        <v>45962</v>
      </c>
      <c r="D4353" t="inlineStr">
        <is>
          <t>JÖNKÖPINGS LÄN</t>
        </is>
      </c>
      <c r="E4353" t="inlineStr">
        <is>
          <t>JÖNKÖPING</t>
        </is>
      </c>
      <c r="G4353" t="n">
        <v>0.6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25962-2025</t>
        </is>
      </c>
      <c r="B4354" s="1" t="n">
        <v>45804.61416666667</v>
      </c>
      <c r="C4354" s="1" t="n">
        <v>45962</v>
      </c>
      <c r="D4354" t="inlineStr">
        <is>
          <t>JÖNKÖPINGS LÄN</t>
        </is>
      </c>
      <c r="E4354" t="inlineStr">
        <is>
          <t>GISLAVED</t>
        </is>
      </c>
      <c r="G4354" t="n">
        <v>1.5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26458-2025</t>
        </is>
      </c>
      <c r="B4355" s="1" t="n">
        <v>45807</v>
      </c>
      <c r="C4355" s="1" t="n">
        <v>45962</v>
      </c>
      <c r="D4355" t="inlineStr">
        <is>
          <t>JÖNKÖPINGS LÄN</t>
        </is>
      </c>
      <c r="E4355" t="inlineStr">
        <is>
          <t>VAGGERYD</t>
        </is>
      </c>
      <c r="G4355" t="n">
        <v>6.4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41347-2023</t>
        </is>
      </c>
      <c r="B4356" s="1" t="n">
        <v>45174.75674768518</v>
      </c>
      <c r="C4356" s="1" t="n">
        <v>45962</v>
      </c>
      <c r="D4356" t="inlineStr">
        <is>
          <t>JÖNKÖPINGS LÄN</t>
        </is>
      </c>
      <c r="E4356" t="inlineStr">
        <is>
          <t>GNOSJÖ</t>
        </is>
      </c>
      <c r="G4356" t="n">
        <v>6.2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26362-2025</t>
        </is>
      </c>
      <c r="B4357" s="1" t="n">
        <v>45806.2833912037</v>
      </c>
      <c r="C4357" s="1" t="n">
        <v>45962</v>
      </c>
      <c r="D4357" t="inlineStr">
        <is>
          <t>JÖNKÖPINGS LÄN</t>
        </is>
      </c>
      <c r="E4357" t="inlineStr">
        <is>
          <t>JÖNKÖPING</t>
        </is>
      </c>
      <c r="G4357" t="n">
        <v>3.4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57130-2022</t>
        </is>
      </c>
      <c r="B4358" s="1" t="n">
        <v>44895.55646990741</v>
      </c>
      <c r="C4358" s="1" t="n">
        <v>45962</v>
      </c>
      <c r="D4358" t="inlineStr">
        <is>
          <t>JÖNKÖPINGS LÄN</t>
        </is>
      </c>
      <c r="E4358" t="inlineStr">
        <is>
          <t>TRANÅS</t>
        </is>
      </c>
      <c r="G4358" t="n">
        <v>2.3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26363-2025</t>
        </is>
      </c>
      <c r="B4359" s="1" t="n">
        <v>45806.28703703704</v>
      </c>
      <c r="C4359" s="1" t="n">
        <v>45962</v>
      </c>
      <c r="D4359" t="inlineStr">
        <is>
          <t>JÖNKÖPINGS LÄN</t>
        </is>
      </c>
      <c r="E4359" t="inlineStr">
        <is>
          <t>JÖNKÖPING</t>
        </is>
      </c>
      <c r="G4359" t="n">
        <v>3.8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35835-2022</t>
        </is>
      </c>
      <c r="B4360" s="1" t="n">
        <v>44802</v>
      </c>
      <c r="C4360" s="1" t="n">
        <v>45962</v>
      </c>
      <c r="D4360" t="inlineStr">
        <is>
          <t>JÖNKÖPINGS LÄN</t>
        </is>
      </c>
      <c r="E4360" t="inlineStr">
        <is>
          <t>VETLANDA</t>
        </is>
      </c>
      <c r="F4360" t="inlineStr">
        <is>
          <t>Kyrkan</t>
        </is>
      </c>
      <c r="G4360" t="n">
        <v>1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9068-2024</t>
        </is>
      </c>
      <c r="B4361" s="1" t="n">
        <v>45357</v>
      </c>
      <c r="C4361" s="1" t="n">
        <v>45962</v>
      </c>
      <c r="D4361" t="inlineStr">
        <is>
          <t>JÖNKÖPINGS LÄN</t>
        </is>
      </c>
      <c r="E4361" t="inlineStr">
        <is>
          <t>ANEBY</t>
        </is>
      </c>
      <c r="G4361" t="n">
        <v>1.1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9103-2024</t>
        </is>
      </c>
      <c r="B4362" s="1" t="n">
        <v>45357.93746527778</v>
      </c>
      <c r="C4362" s="1" t="n">
        <v>45962</v>
      </c>
      <c r="D4362" t="inlineStr">
        <is>
          <t>JÖNKÖPINGS LÄN</t>
        </is>
      </c>
      <c r="E4362" t="inlineStr">
        <is>
          <t>VAGGERYD</t>
        </is>
      </c>
      <c r="G4362" t="n">
        <v>3.3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9188-2024</t>
        </is>
      </c>
      <c r="B4363" s="1" t="n">
        <v>45358.4497337963</v>
      </c>
      <c r="C4363" s="1" t="n">
        <v>45962</v>
      </c>
      <c r="D4363" t="inlineStr">
        <is>
          <t>JÖNKÖPINGS LÄN</t>
        </is>
      </c>
      <c r="E4363" t="inlineStr">
        <is>
          <t>EKSJÖ</t>
        </is>
      </c>
      <c r="F4363" t="inlineStr">
        <is>
          <t>Sveaskog</t>
        </is>
      </c>
      <c r="G4363" t="n">
        <v>4.1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26361-2025</t>
        </is>
      </c>
      <c r="B4364" s="1" t="n">
        <v>45806.27789351852</v>
      </c>
      <c r="C4364" s="1" t="n">
        <v>45962</v>
      </c>
      <c r="D4364" t="inlineStr">
        <is>
          <t>JÖNKÖPINGS LÄN</t>
        </is>
      </c>
      <c r="E4364" t="inlineStr">
        <is>
          <t>GNOSJÖ</t>
        </is>
      </c>
      <c r="G4364" t="n">
        <v>0.8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47740-2024</t>
        </is>
      </c>
      <c r="B4365" s="1" t="n">
        <v>45588</v>
      </c>
      <c r="C4365" s="1" t="n">
        <v>45962</v>
      </c>
      <c r="D4365" t="inlineStr">
        <is>
          <t>JÖNKÖPINGS LÄN</t>
        </is>
      </c>
      <c r="E4365" t="inlineStr">
        <is>
          <t>JÖNKÖPING</t>
        </is>
      </c>
      <c r="G4365" t="n">
        <v>1.2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19065-2023</t>
        </is>
      </c>
      <c r="B4366" s="1" t="n">
        <v>45048</v>
      </c>
      <c r="C4366" s="1" t="n">
        <v>45962</v>
      </c>
      <c r="D4366" t="inlineStr">
        <is>
          <t>JÖNKÖPINGS LÄN</t>
        </is>
      </c>
      <c r="E4366" t="inlineStr">
        <is>
          <t>VETLANDA</t>
        </is>
      </c>
      <c r="G4366" t="n">
        <v>15.7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19106-2023</t>
        </is>
      </c>
      <c r="B4367" s="1" t="n">
        <v>45048</v>
      </c>
      <c r="C4367" s="1" t="n">
        <v>45962</v>
      </c>
      <c r="D4367" t="inlineStr">
        <is>
          <t>JÖNKÖPINGS LÄN</t>
        </is>
      </c>
      <c r="E4367" t="inlineStr">
        <is>
          <t>VAGGERYD</t>
        </is>
      </c>
      <c r="G4367" t="n">
        <v>2.2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19107-2023</t>
        </is>
      </c>
      <c r="B4368" s="1" t="n">
        <v>45048.45601851852</v>
      </c>
      <c r="C4368" s="1" t="n">
        <v>45962</v>
      </c>
      <c r="D4368" t="inlineStr">
        <is>
          <t>JÖNKÖPINGS LÄN</t>
        </is>
      </c>
      <c r="E4368" t="inlineStr">
        <is>
          <t>MULLSJÖ</t>
        </is>
      </c>
      <c r="G4368" t="n">
        <v>2.5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9908-2025</t>
        </is>
      </c>
      <c r="B4369" s="1" t="n">
        <v>45717.37541666667</v>
      </c>
      <c r="C4369" s="1" t="n">
        <v>45962</v>
      </c>
      <c r="D4369" t="inlineStr">
        <is>
          <t>JÖNKÖPINGS LÄN</t>
        </is>
      </c>
      <c r="E4369" t="inlineStr">
        <is>
          <t>GISLAVED</t>
        </is>
      </c>
      <c r="G4369" t="n">
        <v>1.2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18324-2022</t>
        </is>
      </c>
      <c r="B4370" s="1" t="n">
        <v>44685.60590277778</v>
      </c>
      <c r="C4370" s="1" t="n">
        <v>45962</v>
      </c>
      <c r="D4370" t="inlineStr">
        <is>
          <t>JÖNKÖPINGS LÄN</t>
        </is>
      </c>
      <c r="E4370" t="inlineStr">
        <is>
          <t>EKSJÖ</t>
        </is>
      </c>
      <c r="G4370" t="n">
        <v>4.8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46019-2022</t>
        </is>
      </c>
      <c r="B4371" s="1" t="n">
        <v>44846</v>
      </c>
      <c r="C4371" s="1" t="n">
        <v>45962</v>
      </c>
      <c r="D4371" t="inlineStr">
        <is>
          <t>JÖNKÖPINGS LÄN</t>
        </is>
      </c>
      <c r="E4371" t="inlineStr">
        <is>
          <t>EKSJÖ</t>
        </is>
      </c>
      <c r="G4371" t="n">
        <v>3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47595-2024</t>
        </is>
      </c>
      <c r="B4372" s="1" t="n">
        <v>45587.85671296297</v>
      </c>
      <c r="C4372" s="1" t="n">
        <v>45962</v>
      </c>
      <c r="D4372" t="inlineStr">
        <is>
          <t>JÖNKÖPINGS LÄN</t>
        </is>
      </c>
      <c r="E4372" t="inlineStr">
        <is>
          <t>VÄRNAMO</t>
        </is>
      </c>
      <c r="G4372" t="n">
        <v>2.4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47603-2024</t>
        </is>
      </c>
      <c r="B4373" s="1" t="n">
        <v>45587.87516203704</v>
      </c>
      <c r="C4373" s="1" t="n">
        <v>45962</v>
      </c>
      <c r="D4373" t="inlineStr">
        <is>
          <t>JÖNKÖPINGS LÄN</t>
        </is>
      </c>
      <c r="E4373" t="inlineStr">
        <is>
          <t>VÄRNAMO</t>
        </is>
      </c>
      <c r="G4373" t="n">
        <v>0.5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52278-2021</t>
        </is>
      </c>
      <c r="B4374" s="1" t="n">
        <v>44463</v>
      </c>
      <c r="C4374" s="1" t="n">
        <v>45962</v>
      </c>
      <c r="D4374" t="inlineStr">
        <is>
          <t>JÖNKÖPINGS LÄN</t>
        </is>
      </c>
      <c r="E4374" t="inlineStr">
        <is>
          <t>VETLANDA</t>
        </is>
      </c>
      <c r="G4374" t="n">
        <v>0.5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26519-2025</t>
        </is>
      </c>
      <c r="B4375" s="1" t="n">
        <v>45807.56061342593</v>
      </c>
      <c r="C4375" s="1" t="n">
        <v>45962</v>
      </c>
      <c r="D4375" t="inlineStr">
        <is>
          <t>JÖNKÖPINGS LÄN</t>
        </is>
      </c>
      <c r="E4375" t="inlineStr">
        <is>
          <t>HABO</t>
        </is>
      </c>
      <c r="G4375" t="n">
        <v>0.7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64812-2023</t>
        </is>
      </c>
      <c r="B4376" s="1" t="n">
        <v>45282.41629629629</v>
      </c>
      <c r="C4376" s="1" t="n">
        <v>45962</v>
      </c>
      <c r="D4376" t="inlineStr">
        <is>
          <t>JÖNKÖPINGS LÄN</t>
        </is>
      </c>
      <c r="E4376" t="inlineStr">
        <is>
          <t>GISLAVED</t>
        </is>
      </c>
      <c r="G4376" t="n">
        <v>0.8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40737-2022</t>
        </is>
      </c>
      <c r="B4377" s="1" t="n">
        <v>44824</v>
      </c>
      <c r="C4377" s="1" t="n">
        <v>45962</v>
      </c>
      <c r="D4377" t="inlineStr">
        <is>
          <t>JÖNKÖPINGS LÄN</t>
        </is>
      </c>
      <c r="E4377" t="inlineStr">
        <is>
          <t>VETLANDA</t>
        </is>
      </c>
      <c r="G4377" t="n">
        <v>2.9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26358-2025</t>
        </is>
      </c>
      <c r="B4378" s="1" t="n">
        <v>45806.26452546296</v>
      </c>
      <c r="C4378" s="1" t="n">
        <v>45962</v>
      </c>
      <c r="D4378" t="inlineStr">
        <is>
          <t>JÖNKÖPINGS LÄN</t>
        </is>
      </c>
      <c r="E4378" t="inlineStr">
        <is>
          <t>JÖNKÖPING</t>
        </is>
      </c>
      <c r="G4378" t="n">
        <v>1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26431-2025</t>
        </is>
      </c>
      <c r="B4379" s="1" t="n">
        <v>45807.39603009259</v>
      </c>
      <c r="C4379" s="1" t="n">
        <v>45962</v>
      </c>
      <c r="D4379" t="inlineStr">
        <is>
          <t>JÖNKÖPINGS LÄN</t>
        </is>
      </c>
      <c r="E4379" t="inlineStr">
        <is>
          <t>VÄRNAMO</t>
        </is>
      </c>
      <c r="G4379" t="n">
        <v>1.2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1938-2025</t>
        </is>
      </c>
      <c r="B4380" s="1" t="n">
        <v>45671.92524305556</v>
      </c>
      <c r="C4380" s="1" t="n">
        <v>45962</v>
      </c>
      <c r="D4380" t="inlineStr">
        <is>
          <t>JÖNKÖPINGS LÄN</t>
        </is>
      </c>
      <c r="E4380" t="inlineStr">
        <is>
          <t>VAGGERYD</t>
        </is>
      </c>
      <c r="G4380" t="n">
        <v>6.7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1951-2025</t>
        </is>
      </c>
      <c r="B4381" s="1" t="n">
        <v>45672.34840277778</v>
      </c>
      <c r="C4381" s="1" t="n">
        <v>45962</v>
      </c>
      <c r="D4381" t="inlineStr">
        <is>
          <t>JÖNKÖPINGS LÄN</t>
        </is>
      </c>
      <c r="E4381" t="inlineStr">
        <is>
          <t>VETLANDA</t>
        </is>
      </c>
      <c r="G4381" t="n">
        <v>1.8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4355-2023</t>
        </is>
      </c>
      <c r="B4382" s="1" t="n">
        <v>44954.598125</v>
      </c>
      <c r="C4382" s="1" t="n">
        <v>45962</v>
      </c>
      <c r="D4382" t="inlineStr">
        <is>
          <t>JÖNKÖPINGS LÄN</t>
        </is>
      </c>
      <c r="E4382" t="inlineStr">
        <is>
          <t>MULLSJÖ</t>
        </is>
      </c>
      <c r="G4382" t="n">
        <v>3.2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22164-2024</t>
        </is>
      </c>
      <c r="B4383" s="1" t="n">
        <v>45446</v>
      </c>
      <c r="C4383" s="1" t="n">
        <v>45962</v>
      </c>
      <c r="D4383" t="inlineStr">
        <is>
          <t>JÖNKÖPINGS LÄN</t>
        </is>
      </c>
      <c r="E4383" t="inlineStr">
        <is>
          <t>NÄSSJÖ</t>
        </is>
      </c>
      <c r="G4383" t="n">
        <v>1.1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38592-2022</t>
        </is>
      </c>
      <c r="B4384" s="1" t="n">
        <v>44813</v>
      </c>
      <c r="C4384" s="1" t="n">
        <v>45962</v>
      </c>
      <c r="D4384" t="inlineStr">
        <is>
          <t>JÖNKÖPINGS LÄN</t>
        </is>
      </c>
      <c r="E4384" t="inlineStr">
        <is>
          <t>EKSJÖ</t>
        </is>
      </c>
      <c r="G4384" t="n">
        <v>0.9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22254-2024</t>
        </is>
      </c>
      <c r="B4385" s="1" t="n">
        <v>45446.46471064815</v>
      </c>
      <c r="C4385" s="1" t="n">
        <v>45962</v>
      </c>
      <c r="D4385" t="inlineStr">
        <is>
          <t>JÖNKÖPINGS LÄN</t>
        </is>
      </c>
      <c r="E4385" t="inlineStr">
        <is>
          <t>VETLANDA</t>
        </is>
      </c>
      <c r="G4385" t="n">
        <v>1.4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17567-2025</t>
        </is>
      </c>
      <c r="B4386" s="1" t="n">
        <v>45757.64240740741</v>
      </c>
      <c r="C4386" s="1" t="n">
        <v>45962</v>
      </c>
      <c r="D4386" t="inlineStr">
        <is>
          <t>JÖNKÖPINGS LÄN</t>
        </is>
      </c>
      <c r="E4386" t="inlineStr">
        <is>
          <t>TRANÅS</t>
        </is>
      </c>
      <c r="G4386" t="n">
        <v>3.2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22110-2021</t>
        </is>
      </c>
      <c r="B4387" s="1" t="n">
        <v>44323.6992824074</v>
      </c>
      <c r="C4387" s="1" t="n">
        <v>45962</v>
      </c>
      <c r="D4387" t="inlineStr">
        <is>
          <t>JÖNKÖPINGS LÄN</t>
        </is>
      </c>
      <c r="E4387" t="inlineStr">
        <is>
          <t>MULLSJÖ</t>
        </is>
      </c>
      <c r="G4387" t="n">
        <v>4.7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17603-2025</t>
        </is>
      </c>
      <c r="B4388" s="1" t="n">
        <v>45757</v>
      </c>
      <c r="C4388" s="1" t="n">
        <v>45962</v>
      </c>
      <c r="D4388" t="inlineStr">
        <is>
          <t>JÖNKÖPINGS LÄN</t>
        </is>
      </c>
      <c r="E4388" t="inlineStr">
        <is>
          <t>VAGGERYD</t>
        </is>
      </c>
      <c r="G4388" t="n">
        <v>3.8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26397-2025</t>
        </is>
      </c>
      <c r="B4389" s="1" t="n">
        <v>45807</v>
      </c>
      <c r="C4389" s="1" t="n">
        <v>45962</v>
      </c>
      <c r="D4389" t="inlineStr">
        <is>
          <t>JÖNKÖPINGS LÄN</t>
        </is>
      </c>
      <c r="E4389" t="inlineStr">
        <is>
          <t>MULLSJÖ</t>
        </is>
      </c>
      <c r="G4389" t="n">
        <v>2.1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26432-2025</t>
        </is>
      </c>
      <c r="B4390" s="1" t="n">
        <v>45807.39693287037</v>
      </c>
      <c r="C4390" s="1" t="n">
        <v>45962</v>
      </c>
      <c r="D4390" t="inlineStr">
        <is>
          <t>JÖNKÖPINGS LÄN</t>
        </is>
      </c>
      <c r="E4390" t="inlineStr">
        <is>
          <t>VÄRNAMO</t>
        </is>
      </c>
      <c r="G4390" t="n">
        <v>0.9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14566-2022</t>
        </is>
      </c>
      <c r="B4391" s="1" t="n">
        <v>44655.48328703704</v>
      </c>
      <c r="C4391" s="1" t="n">
        <v>45962</v>
      </c>
      <c r="D4391" t="inlineStr">
        <is>
          <t>JÖNKÖPINGS LÄN</t>
        </is>
      </c>
      <c r="E4391" t="inlineStr">
        <is>
          <t>JÖNKÖPING</t>
        </is>
      </c>
      <c r="G4391" t="n">
        <v>0.5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28746-2022</t>
        </is>
      </c>
      <c r="B4392" s="1" t="n">
        <v>44749.27438657408</v>
      </c>
      <c r="C4392" s="1" t="n">
        <v>45962</v>
      </c>
      <c r="D4392" t="inlineStr">
        <is>
          <t>JÖNKÖPINGS LÄN</t>
        </is>
      </c>
      <c r="E4392" t="inlineStr">
        <is>
          <t>GISLAVED</t>
        </is>
      </c>
      <c r="G4392" t="n">
        <v>0.3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7361-2021</t>
        </is>
      </c>
      <c r="B4393" s="1" t="n">
        <v>44239</v>
      </c>
      <c r="C4393" s="1" t="n">
        <v>45962</v>
      </c>
      <c r="D4393" t="inlineStr">
        <is>
          <t>JÖNKÖPINGS LÄN</t>
        </is>
      </c>
      <c r="E4393" t="inlineStr">
        <is>
          <t>GISLAVED</t>
        </is>
      </c>
      <c r="G4393" t="n">
        <v>1.3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41744-2023</t>
        </is>
      </c>
      <c r="B4394" s="1" t="n">
        <v>45176</v>
      </c>
      <c r="C4394" s="1" t="n">
        <v>45962</v>
      </c>
      <c r="D4394" t="inlineStr">
        <is>
          <t>JÖNKÖPINGS LÄN</t>
        </is>
      </c>
      <c r="E4394" t="inlineStr">
        <is>
          <t>EKSJÖ</t>
        </is>
      </c>
      <c r="G4394" t="n">
        <v>2.4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41746-2023</t>
        </is>
      </c>
      <c r="B4395" s="1" t="n">
        <v>45176</v>
      </c>
      <c r="C4395" s="1" t="n">
        <v>45962</v>
      </c>
      <c r="D4395" t="inlineStr">
        <is>
          <t>JÖNKÖPINGS LÄN</t>
        </is>
      </c>
      <c r="E4395" t="inlineStr">
        <is>
          <t>EKSJÖ</t>
        </is>
      </c>
      <c r="G4395" t="n">
        <v>1.5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17634-2025</t>
        </is>
      </c>
      <c r="B4396" s="1" t="n">
        <v>45758.30116898148</v>
      </c>
      <c r="C4396" s="1" t="n">
        <v>45962</v>
      </c>
      <c r="D4396" t="inlineStr">
        <is>
          <t>JÖNKÖPINGS LÄN</t>
        </is>
      </c>
      <c r="E4396" t="inlineStr">
        <is>
          <t>EKSJÖ</t>
        </is>
      </c>
      <c r="F4396" t="inlineStr">
        <is>
          <t>Sveaskog</t>
        </is>
      </c>
      <c r="G4396" t="n">
        <v>1.4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17635-2025</t>
        </is>
      </c>
      <c r="B4397" s="1" t="n">
        <v>45758.30449074074</v>
      </c>
      <c r="C4397" s="1" t="n">
        <v>45962</v>
      </c>
      <c r="D4397" t="inlineStr">
        <is>
          <t>JÖNKÖPINGS LÄN</t>
        </is>
      </c>
      <c r="E4397" t="inlineStr">
        <is>
          <t>EKSJÖ</t>
        </is>
      </c>
      <c r="F4397" t="inlineStr">
        <is>
          <t>Sveaskog</t>
        </is>
      </c>
      <c r="G4397" t="n">
        <v>1.1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56289-2023</t>
        </is>
      </c>
      <c r="B4398" s="1" t="n">
        <v>45242.38527777778</v>
      </c>
      <c r="C4398" s="1" t="n">
        <v>45962</v>
      </c>
      <c r="D4398" t="inlineStr">
        <is>
          <t>JÖNKÖPINGS LÄN</t>
        </is>
      </c>
      <c r="E4398" t="inlineStr">
        <is>
          <t>HABO</t>
        </is>
      </c>
      <c r="F4398" t="inlineStr">
        <is>
          <t>Kyrkan</t>
        </is>
      </c>
      <c r="G4398" t="n">
        <v>2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17617-2023</t>
        </is>
      </c>
      <c r="B4399" s="1" t="n">
        <v>45036.63990740741</v>
      </c>
      <c r="C4399" s="1" t="n">
        <v>45962</v>
      </c>
      <c r="D4399" t="inlineStr">
        <is>
          <t>JÖNKÖPINGS LÄN</t>
        </is>
      </c>
      <c r="E4399" t="inlineStr">
        <is>
          <t>TRANÅS</t>
        </is>
      </c>
      <c r="G4399" t="n">
        <v>1.4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16245-2025</t>
        </is>
      </c>
      <c r="B4400" s="1" t="n">
        <v>45749</v>
      </c>
      <c r="C4400" s="1" t="n">
        <v>45962</v>
      </c>
      <c r="D4400" t="inlineStr">
        <is>
          <t>JÖNKÖPINGS LÄN</t>
        </is>
      </c>
      <c r="E4400" t="inlineStr">
        <is>
          <t>GISLAVED</t>
        </is>
      </c>
      <c r="F4400" t="inlineStr">
        <is>
          <t>Kyrkan</t>
        </is>
      </c>
      <c r="G4400" t="n">
        <v>7.5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16250-2025</t>
        </is>
      </c>
      <c r="B4401" s="1" t="n">
        <v>45750.69858796296</v>
      </c>
      <c r="C4401" s="1" t="n">
        <v>45962</v>
      </c>
      <c r="D4401" t="inlineStr">
        <is>
          <t>JÖNKÖPINGS LÄN</t>
        </is>
      </c>
      <c r="E4401" t="inlineStr">
        <is>
          <t>VETLANDA</t>
        </is>
      </c>
      <c r="G4401" t="n">
        <v>15.3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34173-2024</t>
        </is>
      </c>
      <c r="B4402" s="1" t="n">
        <v>45524</v>
      </c>
      <c r="C4402" s="1" t="n">
        <v>45962</v>
      </c>
      <c r="D4402" t="inlineStr">
        <is>
          <t>JÖNKÖPINGS LÄN</t>
        </is>
      </c>
      <c r="E4402" t="inlineStr">
        <is>
          <t>EKSJÖ</t>
        </is>
      </c>
      <c r="G4402" t="n">
        <v>1.6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18331-2023</t>
        </is>
      </c>
      <c r="B4403" s="1" t="n">
        <v>45041</v>
      </c>
      <c r="C4403" s="1" t="n">
        <v>45962</v>
      </c>
      <c r="D4403" t="inlineStr">
        <is>
          <t>JÖNKÖPINGS LÄN</t>
        </is>
      </c>
      <c r="E4403" t="inlineStr">
        <is>
          <t>NÄSSJÖ</t>
        </is>
      </c>
      <c r="G4403" t="n">
        <v>2.6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20315-2025</t>
        </is>
      </c>
      <c r="B4404" s="1" t="n">
        <v>45775.32407407407</v>
      </c>
      <c r="C4404" s="1" t="n">
        <v>45962</v>
      </c>
      <c r="D4404" t="inlineStr">
        <is>
          <t>JÖNKÖPINGS LÄN</t>
        </is>
      </c>
      <c r="E4404" t="inlineStr">
        <is>
          <t>JÖNKÖPING</t>
        </is>
      </c>
      <c r="G4404" t="n">
        <v>1.6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12574-2023</t>
        </is>
      </c>
      <c r="B4405" s="1" t="n">
        <v>45000.40204861111</v>
      </c>
      <c r="C4405" s="1" t="n">
        <v>45962</v>
      </c>
      <c r="D4405" t="inlineStr">
        <is>
          <t>JÖNKÖPINGS LÄN</t>
        </is>
      </c>
      <c r="E4405" t="inlineStr">
        <is>
          <t>EKSJÖ</t>
        </is>
      </c>
      <c r="G4405" t="n">
        <v>3.5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316-2023</t>
        </is>
      </c>
      <c r="B4406" s="1" t="n">
        <v>44929.3943287037</v>
      </c>
      <c r="C4406" s="1" t="n">
        <v>45962</v>
      </c>
      <c r="D4406" t="inlineStr">
        <is>
          <t>JÖNKÖPINGS LÄN</t>
        </is>
      </c>
      <c r="E4406" t="inlineStr">
        <is>
          <t>VETLANDA</t>
        </is>
      </c>
      <c r="G4406" t="n">
        <v>4.9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38224-2023</t>
        </is>
      </c>
      <c r="B4407" s="1" t="n">
        <v>45161</v>
      </c>
      <c r="C4407" s="1" t="n">
        <v>45962</v>
      </c>
      <c r="D4407" t="inlineStr">
        <is>
          <t>JÖNKÖPINGS LÄN</t>
        </is>
      </c>
      <c r="E4407" t="inlineStr">
        <is>
          <t>EKSJÖ</t>
        </is>
      </c>
      <c r="G4407" t="n">
        <v>7.3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27793-2022</t>
        </is>
      </c>
      <c r="B4408" s="1" t="n">
        <v>44743</v>
      </c>
      <c r="C4408" s="1" t="n">
        <v>45962</v>
      </c>
      <c r="D4408" t="inlineStr">
        <is>
          <t>JÖNKÖPINGS LÄN</t>
        </is>
      </c>
      <c r="E4408" t="inlineStr">
        <is>
          <t>VETLANDA</t>
        </is>
      </c>
      <c r="G4408" t="n">
        <v>2.5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26742-2025</t>
        </is>
      </c>
      <c r="B4409" s="1" t="n">
        <v>45810.52659722222</v>
      </c>
      <c r="C4409" s="1" t="n">
        <v>45962</v>
      </c>
      <c r="D4409" t="inlineStr">
        <is>
          <t>JÖNKÖPINGS LÄN</t>
        </is>
      </c>
      <c r="E4409" t="inlineStr">
        <is>
          <t>HABO</t>
        </is>
      </c>
      <c r="G4409" t="n">
        <v>1.2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4665-2025</t>
        </is>
      </c>
      <c r="B4410" s="1" t="n">
        <v>45687</v>
      </c>
      <c r="C4410" s="1" t="n">
        <v>45962</v>
      </c>
      <c r="D4410" t="inlineStr">
        <is>
          <t>JÖNKÖPINGS LÄN</t>
        </is>
      </c>
      <c r="E4410" t="inlineStr">
        <is>
          <t>JÖNKÖPING</t>
        </is>
      </c>
      <c r="G4410" t="n">
        <v>1.4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18062-2024</t>
        </is>
      </c>
      <c r="B4411" s="1" t="n">
        <v>45420</v>
      </c>
      <c r="C4411" s="1" t="n">
        <v>45962</v>
      </c>
      <c r="D4411" t="inlineStr">
        <is>
          <t>JÖNKÖPINGS LÄN</t>
        </is>
      </c>
      <c r="E4411" t="inlineStr">
        <is>
          <t>EKSJÖ</t>
        </is>
      </c>
      <c r="G4411" t="n">
        <v>3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18073-2024</t>
        </is>
      </c>
      <c r="B4412" s="1" t="n">
        <v>45420</v>
      </c>
      <c r="C4412" s="1" t="n">
        <v>45962</v>
      </c>
      <c r="D4412" t="inlineStr">
        <is>
          <t>JÖNKÖPINGS LÄN</t>
        </is>
      </c>
      <c r="E4412" t="inlineStr">
        <is>
          <t>TRANÅS</t>
        </is>
      </c>
      <c r="G4412" t="n">
        <v>2.6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46309-2024</t>
        </is>
      </c>
      <c r="B4413" s="1" t="n">
        <v>45581.72986111111</v>
      </c>
      <c r="C4413" s="1" t="n">
        <v>45962</v>
      </c>
      <c r="D4413" t="inlineStr">
        <is>
          <t>JÖNKÖPINGS LÄN</t>
        </is>
      </c>
      <c r="E4413" t="inlineStr">
        <is>
          <t>VETLANDA</t>
        </is>
      </c>
      <c r="F4413" t="inlineStr">
        <is>
          <t>Sveaskog</t>
        </is>
      </c>
      <c r="G4413" t="n">
        <v>1.3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41910-2022</t>
        </is>
      </c>
      <c r="B4414" s="1" t="n">
        <v>44830</v>
      </c>
      <c r="C4414" s="1" t="n">
        <v>45962</v>
      </c>
      <c r="D4414" t="inlineStr">
        <is>
          <t>JÖNKÖPINGS LÄN</t>
        </is>
      </c>
      <c r="E4414" t="inlineStr">
        <is>
          <t>HABO</t>
        </is>
      </c>
      <c r="G4414" t="n">
        <v>7.6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42394-2022</t>
        </is>
      </c>
      <c r="B4415" s="1" t="n">
        <v>44830</v>
      </c>
      <c r="C4415" s="1" t="n">
        <v>45962</v>
      </c>
      <c r="D4415" t="inlineStr">
        <is>
          <t>JÖNKÖPINGS LÄN</t>
        </is>
      </c>
      <c r="E4415" t="inlineStr">
        <is>
          <t>SÄVSJÖ</t>
        </is>
      </c>
      <c r="G4415" t="n">
        <v>1.8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41918-2022</t>
        </is>
      </c>
      <c r="B4416" s="1" t="n">
        <v>44830.36655092592</v>
      </c>
      <c r="C4416" s="1" t="n">
        <v>45962</v>
      </c>
      <c r="D4416" t="inlineStr">
        <is>
          <t>JÖNKÖPINGS LÄN</t>
        </is>
      </c>
      <c r="E4416" t="inlineStr">
        <is>
          <t>GNOSJÖ</t>
        </is>
      </c>
      <c r="G4416" t="n">
        <v>2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25635-2024</t>
        </is>
      </c>
      <c r="B4417" s="1" t="n">
        <v>45463.6528125</v>
      </c>
      <c r="C4417" s="1" t="n">
        <v>45962</v>
      </c>
      <c r="D4417" t="inlineStr">
        <is>
          <t>JÖNKÖPINGS LÄN</t>
        </is>
      </c>
      <c r="E4417" t="inlineStr">
        <is>
          <t>EKSJÖ</t>
        </is>
      </c>
      <c r="F4417" t="inlineStr">
        <is>
          <t>Övriga Aktiebolag</t>
        </is>
      </c>
      <c r="G4417" t="n">
        <v>17.5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20046-2024</t>
        </is>
      </c>
      <c r="B4418" s="1" t="n">
        <v>45434.37204861111</v>
      </c>
      <c r="C4418" s="1" t="n">
        <v>45962</v>
      </c>
      <c r="D4418" t="inlineStr">
        <is>
          <t>JÖNKÖPINGS LÄN</t>
        </is>
      </c>
      <c r="E4418" t="inlineStr">
        <is>
          <t>VETLANDA</t>
        </is>
      </c>
      <c r="G4418" t="n">
        <v>2.3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26626-2025</t>
        </is>
      </c>
      <c r="B4419" s="1" t="n">
        <v>45810</v>
      </c>
      <c r="C4419" s="1" t="n">
        <v>45962</v>
      </c>
      <c r="D4419" t="inlineStr">
        <is>
          <t>JÖNKÖPINGS LÄN</t>
        </is>
      </c>
      <c r="E4419" t="inlineStr">
        <is>
          <t>GISLAVED</t>
        </is>
      </c>
      <c r="G4419" t="n">
        <v>2.3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61531-2023</t>
        </is>
      </c>
      <c r="B4420" s="1" t="n">
        <v>45265</v>
      </c>
      <c r="C4420" s="1" t="n">
        <v>45962</v>
      </c>
      <c r="D4420" t="inlineStr">
        <is>
          <t>JÖNKÖPINGS LÄN</t>
        </is>
      </c>
      <c r="E4420" t="inlineStr">
        <is>
          <t>GNOSJÖ</t>
        </is>
      </c>
      <c r="F4420" t="inlineStr">
        <is>
          <t>Sveaskog</t>
        </is>
      </c>
      <c r="G4420" t="n">
        <v>0.9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63066-2020</t>
        </is>
      </c>
      <c r="B4421" s="1" t="n">
        <v>44162</v>
      </c>
      <c r="C4421" s="1" t="n">
        <v>45962</v>
      </c>
      <c r="D4421" t="inlineStr">
        <is>
          <t>JÖNKÖPINGS LÄN</t>
        </is>
      </c>
      <c r="E4421" t="inlineStr">
        <is>
          <t>NÄSSJÖ</t>
        </is>
      </c>
      <c r="G4421" t="n">
        <v>1.9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2911-2023</t>
        </is>
      </c>
      <c r="B4422" s="1" t="n">
        <v>44945</v>
      </c>
      <c r="C4422" s="1" t="n">
        <v>45962</v>
      </c>
      <c r="D4422" t="inlineStr">
        <is>
          <t>JÖNKÖPINGS LÄN</t>
        </is>
      </c>
      <c r="E4422" t="inlineStr">
        <is>
          <t>NÄSSJÖ</t>
        </is>
      </c>
      <c r="G4422" t="n">
        <v>8.9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2919-2023</t>
        </is>
      </c>
      <c r="B4423" s="1" t="n">
        <v>44945</v>
      </c>
      <c r="C4423" s="1" t="n">
        <v>45962</v>
      </c>
      <c r="D4423" t="inlineStr">
        <is>
          <t>JÖNKÖPINGS LÄN</t>
        </is>
      </c>
      <c r="E4423" t="inlineStr">
        <is>
          <t>VETLANDA</t>
        </is>
      </c>
      <c r="G4423" t="n">
        <v>8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36943-2023</t>
        </is>
      </c>
      <c r="B4424" s="1" t="n">
        <v>45154.79920138889</v>
      </c>
      <c r="C4424" s="1" t="n">
        <v>45962</v>
      </c>
      <c r="D4424" t="inlineStr">
        <is>
          <t>JÖNKÖPINGS LÄN</t>
        </is>
      </c>
      <c r="E4424" t="inlineStr">
        <is>
          <t>NÄSSJÖ</t>
        </is>
      </c>
      <c r="G4424" t="n">
        <v>0.9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19211-2025</t>
        </is>
      </c>
      <c r="B4425" s="1" t="n">
        <v>45769.43446759259</v>
      </c>
      <c r="C4425" s="1" t="n">
        <v>45962</v>
      </c>
      <c r="D4425" t="inlineStr">
        <is>
          <t>JÖNKÖPINGS LÄN</t>
        </is>
      </c>
      <c r="E4425" t="inlineStr">
        <is>
          <t>JÖNKÖPING</t>
        </is>
      </c>
      <c r="G4425" t="n">
        <v>1.5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20414-2025</t>
        </is>
      </c>
      <c r="B4426" s="1" t="n">
        <v>45775.46158564815</v>
      </c>
      <c r="C4426" s="1" t="n">
        <v>45962</v>
      </c>
      <c r="D4426" t="inlineStr">
        <is>
          <t>JÖNKÖPINGS LÄN</t>
        </is>
      </c>
      <c r="E4426" t="inlineStr">
        <is>
          <t>TRANÅS</t>
        </is>
      </c>
      <c r="G4426" t="n">
        <v>1.1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63263-2023</t>
        </is>
      </c>
      <c r="B4427" s="1" t="n">
        <v>45273.71439814815</v>
      </c>
      <c r="C4427" s="1" t="n">
        <v>45962</v>
      </c>
      <c r="D4427" t="inlineStr">
        <is>
          <t>JÖNKÖPINGS LÄN</t>
        </is>
      </c>
      <c r="E4427" t="inlineStr">
        <is>
          <t>GISLAVED</t>
        </is>
      </c>
      <c r="G4427" t="n">
        <v>1.7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49836-2024</t>
        </is>
      </c>
      <c r="B4428" s="1" t="n">
        <v>45597.43615740741</v>
      </c>
      <c r="C4428" s="1" t="n">
        <v>45962</v>
      </c>
      <c r="D4428" t="inlineStr">
        <is>
          <t>JÖNKÖPINGS LÄN</t>
        </is>
      </c>
      <c r="E4428" t="inlineStr">
        <is>
          <t>JÖNKÖPING</t>
        </is>
      </c>
      <c r="G4428" t="n">
        <v>1.5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19250-2025</t>
        </is>
      </c>
      <c r="B4429" s="1" t="n">
        <v>45769.48971064815</v>
      </c>
      <c r="C4429" s="1" t="n">
        <v>45962</v>
      </c>
      <c r="D4429" t="inlineStr">
        <is>
          <t>JÖNKÖPINGS LÄN</t>
        </is>
      </c>
      <c r="E4429" t="inlineStr">
        <is>
          <t>VÄRNAMO</t>
        </is>
      </c>
      <c r="G4429" t="n">
        <v>0.9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31046-2024</t>
        </is>
      </c>
      <c r="B4430" s="1" t="n">
        <v>45502.32021990741</v>
      </c>
      <c r="C4430" s="1" t="n">
        <v>45962</v>
      </c>
      <c r="D4430" t="inlineStr">
        <is>
          <t>JÖNKÖPINGS LÄN</t>
        </is>
      </c>
      <c r="E4430" t="inlineStr">
        <is>
          <t>JÖNKÖPING</t>
        </is>
      </c>
      <c r="G4430" t="n">
        <v>5.5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26746-2023</t>
        </is>
      </c>
      <c r="B4431" s="1" t="n">
        <v>45093</v>
      </c>
      <c r="C4431" s="1" t="n">
        <v>45962</v>
      </c>
      <c r="D4431" t="inlineStr">
        <is>
          <t>JÖNKÖPINGS LÄN</t>
        </is>
      </c>
      <c r="E4431" t="inlineStr">
        <is>
          <t>GNOSJÖ</t>
        </is>
      </c>
      <c r="G4431" t="n">
        <v>2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29403-2024</t>
        </is>
      </c>
      <c r="B4432" s="1" t="n">
        <v>45483.6641087963</v>
      </c>
      <c r="C4432" s="1" t="n">
        <v>45962</v>
      </c>
      <c r="D4432" t="inlineStr">
        <is>
          <t>JÖNKÖPINGS LÄN</t>
        </is>
      </c>
      <c r="E4432" t="inlineStr">
        <is>
          <t>VAGGERYD</t>
        </is>
      </c>
      <c r="F4432" t="inlineStr">
        <is>
          <t>Sveaskog</t>
        </is>
      </c>
      <c r="G4432" t="n">
        <v>1.1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4836-2023</t>
        </is>
      </c>
      <c r="B4433" s="1" t="n">
        <v>44957</v>
      </c>
      <c r="C4433" s="1" t="n">
        <v>45962</v>
      </c>
      <c r="D4433" t="inlineStr">
        <is>
          <t>JÖNKÖPINGS LÄN</t>
        </is>
      </c>
      <c r="E4433" t="inlineStr">
        <is>
          <t>ANEBY</t>
        </is>
      </c>
      <c r="G4433" t="n">
        <v>0.5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27134-2025</t>
        </is>
      </c>
      <c r="B4434" s="1" t="n">
        <v>45811</v>
      </c>
      <c r="C4434" s="1" t="n">
        <v>45962</v>
      </c>
      <c r="D4434" t="inlineStr">
        <is>
          <t>JÖNKÖPINGS LÄN</t>
        </is>
      </c>
      <c r="E4434" t="inlineStr">
        <is>
          <t>JÖNKÖPING</t>
        </is>
      </c>
      <c r="G4434" t="n">
        <v>9.1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40178-2023</t>
        </is>
      </c>
      <c r="B4435" s="1" t="n">
        <v>45169.40534722222</v>
      </c>
      <c r="C4435" s="1" t="n">
        <v>45962</v>
      </c>
      <c r="D4435" t="inlineStr">
        <is>
          <t>JÖNKÖPINGS LÄN</t>
        </is>
      </c>
      <c r="E4435" t="inlineStr">
        <is>
          <t>GISLAVED</t>
        </is>
      </c>
      <c r="G4435" t="n">
        <v>1.9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56698-2021</t>
        </is>
      </c>
      <c r="B4436" s="1" t="n">
        <v>44481.3784375</v>
      </c>
      <c r="C4436" s="1" t="n">
        <v>45962</v>
      </c>
      <c r="D4436" t="inlineStr">
        <is>
          <t>JÖNKÖPINGS LÄN</t>
        </is>
      </c>
      <c r="E4436" t="inlineStr">
        <is>
          <t>VETLANDA</t>
        </is>
      </c>
      <c r="G4436" t="n">
        <v>1.6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54383-2024</t>
        </is>
      </c>
      <c r="B4437" s="1" t="n">
        <v>45617.44547453704</v>
      </c>
      <c r="C4437" s="1" t="n">
        <v>45962</v>
      </c>
      <c r="D4437" t="inlineStr">
        <is>
          <t>JÖNKÖPINGS LÄN</t>
        </is>
      </c>
      <c r="E4437" t="inlineStr">
        <is>
          <t>GISLAVED</t>
        </is>
      </c>
      <c r="G4437" t="n">
        <v>3.5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26594-2025</t>
        </is>
      </c>
      <c r="B4438" s="1" t="n">
        <v>45808.25930555556</v>
      </c>
      <c r="C4438" s="1" t="n">
        <v>45962</v>
      </c>
      <c r="D4438" t="inlineStr">
        <is>
          <t>JÖNKÖPINGS LÄN</t>
        </is>
      </c>
      <c r="E4438" t="inlineStr">
        <is>
          <t>SÄVSJÖ</t>
        </is>
      </c>
      <c r="G4438" t="n">
        <v>6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57327-2023</t>
        </is>
      </c>
      <c r="B4439" s="1" t="n">
        <v>45245.65277777778</v>
      </c>
      <c r="C4439" s="1" t="n">
        <v>45962</v>
      </c>
      <c r="D4439" t="inlineStr">
        <is>
          <t>JÖNKÖPINGS LÄN</t>
        </is>
      </c>
      <c r="E4439" t="inlineStr">
        <is>
          <t>EKSJÖ</t>
        </is>
      </c>
      <c r="G4439" t="n">
        <v>1.9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27089-2025</t>
        </is>
      </c>
      <c r="B4440" s="1" t="n">
        <v>45811.66655092593</v>
      </c>
      <c r="C4440" s="1" t="n">
        <v>45962</v>
      </c>
      <c r="D4440" t="inlineStr">
        <is>
          <t>JÖNKÖPINGS LÄN</t>
        </is>
      </c>
      <c r="E4440" t="inlineStr">
        <is>
          <t>EKSJÖ</t>
        </is>
      </c>
      <c r="G4440" t="n">
        <v>0.5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60564-2020</t>
        </is>
      </c>
      <c r="B4441" s="1" t="n">
        <v>44153</v>
      </c>
      <c r="C4441" s="1" t="n">
        <v>45962</v>
      </c>
      <c r="D4441" t="inlineStr">
        <is>
          <t>JÖNKÖPINGS LÄN</t>
        </is>
      </c>
      <c r="E4441" t="inlineStr">
        <is>
          <t>VETLANDA</t>
        </is>
      </c>
      <c r="G4441" t="n">
        <v>1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13618-2023</t>
        </is>
      </c>
      <c r="B4442" s="1" t="n">
        <v>45006.61266203703</v>
      </c>
      <c r="C4442" s="1" t="n">
        <v>45962</v>
      </c>
      <c r="D4442" t="inlineStr">
        <is>
          <t>JÖNKÖPINGS LÄN</t>
        </is>
      </c>
      <c r="E4442" t="inlineStr">
        <is>
          <t>VETLANDA</t>
        </is>
      </c>
      <c r="G4442" t="n">
        <v>1.4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26913-2025</t>
        </is>
      </c>
      <c r="B4443" s="1" t="n">
        <v>45811.36108796296</v>
      </c>
      <c r="C4443" s="1" t="n">
        <v>45962</v>
      </c>
      <c r="D4443" t="inlineStr">
        <is>
          <t>JÖNKÖPINGS LÄN</t>
        </is>
      </c>
      <c r="E4443" t="inlineStr">
        <is>
          <t>SÄVSJÖ</t>
        </is>
      </c>
      <c r="G4443" t="n">
        <v>2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511-2022</t>
        </is>
      </c>
      <c r="B4444" s="1" t="n">
        <v>44566.53696759259</v>
      </c>
      <c r="C4444" s="1" t="n">
        <v>45962</v>
      </c>
      <c r="D4444" t="inlineStr">
        <is>
          <t>JÖNKÖPINGS LÄN</t>
        </is>
      </c>
      <c r="E4444" t="inlineStr">
        <is>
          <t>VÄRNAMO</t>
        </is>
      </c>
      <c r="G4444" t="n">
        <v>1.6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1516-2024</t>
        </is>
      </c>
      <c r="B4445" s="1" t="n">
        <v>45306</v>
      </c>
      <c r="C4445" s="1" t="n">
        <v>45962</v>
      </c>
      <c r="D4445" t="inlineStr">
        <is>
          <t>JÖNKÖPINGS LÄN</t>
        </is>
      </c>
      <c r="E4445" t="inlineStr">
        <is>
          <t>TRANÅS</t>
        </is>
      </c>
      <c r="G4445" t="n">
        <v>2.3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27050-2025</t>
        </is>
      </c>
      <c r="B4446" s="1" t="n">
        <v>45811.6200925926</v>
      </c>
      <c r="C4446" s="1" t="n">
        <v>45962</v>
      </c>
      <c r="D4446" t="inlineStr">
        <is>
          <t>JÖNKÖPINGS LÄN</t>
        </is>
      </c>
      <c r="E4446" t="inlineStr">
        <is>
          <t>VETLANDA</t>
        </is>
      </c>
      <c r="G4446" t="n">
        <v>0.4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51595-2024</t>
        </is>
      </c>
      <c r="B4447" s="1" t="n">
        <v>45604.65391203704</v>
      </c>
      <c r="C4447" s="1" t="n">
        <v>45962</v>
      </c>
      <c r="D4447" t="inlineStr">
        <is>
          <t>JÖNKÖPINGS LÄN</t>
        </is>
      </c>
      <c r="E4447" t="inlineStr">
        <is>
          <t>VAGGERYD</t>
        </is>
      </c>
      <c r="F4447" t="inlineStr">
        <is>
          <t>Sveaskog</t>
        </is>
      </c>
      <c r="G4447" t="n">
        <v>1.4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39639-2023</t>
        </is>
      </c>
      <c r="B4448" s="1" t="n">
        <v>45167.53902777778</v>
      </c>
      <c r="C4448" s="1" t="n">
        <v>45962</v>
      </c>
      <c r="D4448" t="inlineStr">
        <is>
          <t>JÖNKÖPINGS LÄN</t>
        </is>
      </c>
      <c r="E4448" t="inlineStr">
        <is>
          <t>VÄRNAMO</t>
        </is>
      </c>
      <c r="G4448" t="n">
        <v>0.8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17636-2025</t>
        </is>
      </c>
      <c r="B4449" s="1" t="n">
        <v>45758.30741898148</v>
      </c>
      <c r="C4449" s="1" t="n">
        <v>45962</v>
      </c>
      <c r="D4449" t="inlineStr">
        <is>
          <t>JÖNKÖPINGS LÄN</t>
        </is>
      </c>
      <c r="E4449" t="inlineStr">
        <is>
          <t>EKSJÖ</t>
        </is>
      </c>
      <c r="F4449" t="inlineStr">
        <is>
          <t>Sveaskog</t>
        </is>
      </c>
      <c r="G4449" t="n">
        <v>1.8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6884-2022</t>
        </is>
      </c>
      <c r="B4450" s="1" t="n">
        <v>44602</v>
      </c>
      <c r="C4450" s="1" t="n">
        <v>45962</v>
      </c>
      <c r="D4450" t="inlineStr">
        <is>
          <t>JÖNKÖPINGS LÄN</t>
        </is>
      </c>
      <c r="E4450" t="inlineStr">
        <is>
          <t>VETLANDA</t>
        </is>
      </c>
      <c r="G4450" t="n">
        <v>1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47438-2021</t>
        </is>
      </c>
      <c r="B4451" s="1" t="n">
        <v>44447.61085648148</v>
      </c>
      <c r="C4451" s="1" t="n">
        <v>45962</v>
      </c>
      <c r="D4451" t="inlineStr">
        <is>
          <t>JÖNKÖPINGS LÄN</t>
        </is>
      </c>
      <c r="E4451" t="inlineStr">
        <is>
          <t>NÄSSJÖ</t>
        </is>
      </c>
      <c r="F4451" t="inlineStr">
        <is>
          <t>Sveaskog</t>
        </is>
      </c>
      <c r="G4451" t="n">
        <v>0.6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17704-2025</t>
        </is>
      </c>
      <c r="B4452" s="1" t="n">
        <v>45758.42807870371</v>
      </c>
      <c r="C4452" s="1" t="n">
        <v>45962</v>
      </c>
      <c r="D4452" t="inlineStr">
        <is>
          <t>JÖNKÖPINGS LÄN</t>
        </is>
      </c>
      <c r="E4452" t="inlineStr">
        <is>
          <t>VÄRNAMO</t>
        </is>
      </c>
      <c r="G4452" t="n">
        <v>1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18695-2024</t>
        </is>
      </c>
      <c r="B4453" s="1" t="n">
        <v>45426</v>
      </c>
      <c r="C4453" s="1" t="n">
        <v>45962</v>
      </c>
      <c r="D4453" t="inlineStr">
        <is>
          <t>JÖNKÖPINGS LÄN</t>
        </is>
      </c>
      <c r="E4453" t="inlineStr">
        <is>
          <t>EKSJÖ</t>
        </is>
      </c>
      <c r="G4453" t="n">
        <v>0.8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47729-2023</t>
        </is>
      </c>
      <c r="B4454" s="1" t="n">
        <v>45198</v>
      </c>
      <c r="C4454" s="1" t="n">
        <v>45962</v>
      </c>
      <c r="D4454" t="inlineStr">
        <is>
          <t>JÖNKÖPINGS LÄN</t>
        </is>
      </c>
      <c r="E4454" t="inlineStr">
        <is>
          <t>GISLAVED</t>
        </is>
      </c>
      <c r="F4454" t="inlineStr">
        <is>
          <t>Kyrkan</t>
        </is>
      </c>
      <c r="G4454" t="n">
        <v>3.9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42494-2023</t>
        </is>
      </c>
      <c r="B4455" s="1" t="n">
        <v>45180.8941087963</v>
      </c>
      <c r="C4455" s="1" t="n">
        <v>45962</v>
      </c>
      <c r="D4455" t="inlineStr">
        <is>
          <t>JÖNKÖPINGS LÄN</t>
        </is>
      </c>
      <c r="E4455" t="inlineStr">
        <is>
          <t>VÄRNAMO</t>
        </is>
      </c>
      <c r="G4455" t="n">
        <v>0.7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32539-2023</t>
        </is>
      </c>
      <c r="B4456" s="1" t="n">
        <v>45121</v>
      </c>
      <c r="C4456" s="1" t="n">
        <v>45962</v>
      </c>
      <c r="D4456" t="inlineStr">
        <is>
          <t>JÖNKÖPINGS LÄN</t>
        </is>
      </c>
      <c r="E4456" t="inlineStr">
        <is>
          <t>HABO</t>
        </is>
      </c>
      <c r="G4456" t="n">
        <v>1.4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27011-2025</t>
        </is>
      </c>
      <c r="B4457" s="1" t="n">
        <v>45811.56231481482</v>
      </c>
      <c r="C4457" s="1" t="n">
        <v>45962</v>
      </c>
      <c r="D4457" t="inlineStr">
        <is>
          <t>JÖNKÖPINGS LÄN</t>
        </is>
      </c>
      <c r="E4457" t="inlineStr">
        <is>
          <t>VÄRNAMO</t>
        </is>
      </c>
      <c r="G4457" t="n">
        <v>3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26625-2025</t>
        </is>
      </c>
      <c r="B4458" s="1" t="n">
        <v>45810.34222222222</v>
      </c>
      <c r="C4458" s="1" t="n">
        <v>45962</v>
      </c>
      <c r="D4458" t="inlineStr">
        <is>
          <t>JÖNKÖPINGS LÄN</t>
        </is>
      </c>
      <c r="E4458" t="inlineStr">
        <is>
          <t>GISLAVED</t>
        </is>
      </c>
      <c r="G4458" t="n">
        <v>1.7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36355-2022</t>
        </is>
      </c>
      <c r="B4459" s="1" t="n">
        <v>44803</v>
      </c>
      <c r="C4459" s="1" t="n">
        <v>45962</v>
      </c>
      <c r="D4459" t="inlineStr">
        <is>
          <t>JÖNKÖPINGS LÄN</t>
        </is>
      </c>
      <c r="E4459" t="inlineStr">
        <is>
          <t>EKSJÖ</t>
        </is>
      </c>
      <c r="G4459" t="n">
        <v>1.4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24703-2022</t>
        </is>
      </c>
      <c r="B4460" s="1" t="n">
        <v>44727</v>
      </c>
      <c r="C4460" s="1" t="n">
        <v>45962</v>
      </c>
      <c r="D4460" t="inlineStr">
        <is>
          <t>JÖNKÖPINGS LÄN</t>
        </is>
      </c>
      <c r="E4460" t="inlineStr">
        <is>
          <t>VÄRNAMO</t>
        </is>
      </c>
      <c r="G4460" t="n">
        <v>0.2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37108-2022</t>
        </is>
      </c>
      <c r="B4461" s="1" t="n">
        <v>44806.52077546297</v>
      </c>
      <c r="C4461" s="1" t="n">
        <v>45962</v>
      </c>
      <c r="D4461" t="inlineStr">
        <is>
          <t>JÖNKÖPINGS LÄN</t>
        </is>
      </c>
      <c r="E4461" t="inlineStr">
        <is>
          <t>SÄVSJÖ</t>
        </is>
      </c>
      <c r="G4461" t="n">
        <v>1.2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50440-2022</t>
        </is>
      </c>
      <c r="B4462" s="1" t="n">
        <v>44866</v>
      </c>
      <c r="C4462" s="1" t="n">
        <v>45962</v>
      </c>
      <c r="D4462" t="inlineStr">
        <is>
          <t>JÖNKÖPINGS LÄN</t>
        </is>
      </c>
      <c r="E4462" t="inlineStr">
        <is>
          <t>GNOSJÖ</t>
        </is>
      </c>
      <c r="G4462" t="n">
        <v>8.699999999999999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4992-2023</t>
        </is>
      </c>
      <c r="B4463" s="1" t="n">
        <v>44958</v>
      </c>
      <c r="C4463" s="1" t="n">
        <v>45962</v>
      </c>
      <c r="D4463" t="inlineStr">
        <is>
          <t>JÖNKÖPINGS LÄN</t>
        </is>
      </c>
      <c r="E4463" t="inlineStr">
        <is>
          <t>GNOSJÖ</t>
        </is>
      </c>
      <c r="G4463" t="n">
        <v>2.9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3072-2025</t>
        </is>
      </c>
      <c r="B4464" s="1" t="n">
        <v>45678.64009259259</v>
      </c>
      <c r="C4464" s="1" t="n">
        <v>45962</v>
      </c>
      <c r="D4464" t="inlineStr">
        <is>
          <t>JÖNKÖPINGS LÄN</t>
        </is>
      </c>
      <c r="E4464" t="inlineStr">
        <is>
          <t>GISLAVED</t>
        </is>
      </c>
      <c r="G4464" t="n">
        <v>1.6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63624-2023</t>
        </is>
      </c>
      <c r="B4465" s="1" t="n">
        <v>45275</v>
      </c>
      <c r="C4465" s="1" t="n">
        <v>45962</v>
      </c>
      <c r="D4465" t="inlineStr">
        <is>
          <t>JÖNKÖPINGS LÄN</t>
        </is>
      </c>
      <c r="E4465" t="inlineStr">
        <is>
          <t>ANEBY</t>
        </is>
      </c>
      <c r="G4465" t="n">
        <v>1.1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59110-2022</t>
        </is>
      </c>
      <c r="B4466" s="1" t="n">
        <v>44904</v>
      </c>
      <c r="C4466" s="1" t="n">
        <v>45962</v>
      </c>
      <c r="D4466" t="inlineStr">
        <is>
          <t>JÖNKÖPINGS LÄN</t>
        </is>
      </c>
      <c r="E4466" t="inlineStr">
        <is>
          <t>JÖNKÖPING</t>
        </is>
      </c>
      <c r="F4466" t="inlineStr">
        <is>
          <t>Kommuner</t>
        </is>
      </c>
      <c r="G4466" t="n">
        <v>5.1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61619-2020</t>
        </is>
      </c>
      <c r="B4467" s="1" t="n">
        <v>44158</v>
      </c>
      <c r="C4467" s="1" t="n">
        <v>45962</v>
      </c>
      <c r="D4467" t="inlineStr">
        <is>
          <t>JÖNKÖPINGS LÄN</t>
        </is>
      </c>
      <c r="E4467" t="inlineStr">
        <is>
          <t>JÖNKÖPING</t>
        </is>
      </c>
      <c r="G4467" t="n">
        <v>3.1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24714-2024</t>
        </is>
      </c>
      <c r="B4468" s="1" t="n">
        <v>45460.62373842593</v>
      </c>
      <c r="C4468" s="1" t="n">
        <v>45962</v>
      </c>
      <c r="D4468" t="inlineStr">
        <is>
          <t>JÖNKÖPINGS LÄN</t>
        </is>
      </c>
      <c r="E4468" t="inlineStr">
        <is>
          <t>SÄVSJÖ</t>
        </is>
      </c>
      <c r="G4468" t="n">
        <v>0.6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13-2022</t>
        </is>
      </c>
      <c r="B4469" s="1" t="n">
        <v>44563</v>
      </c>
      <c r="C4469" s="1" t="n">
        <v>45962</v>
      </c>
      <c r="D4469" t="inlineStr">
        <is>
          <t>JÖNKÖPINGS LÄN</t>
        </is>
      </c>
      <c r="E4469" t="inlineStr">
        <is>
          <t>GISLAVED</t>
        </is>
      </c>
      <c r="G4469" t="n">
        <v>0.8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52937-2024</t>
        </is>
      </c>
      <c r="B4470" s="1" t="n">
        <v>45610.79056712963</v>
      </c>
      <c r="C4470" s="1" t="n">
        <v>45962</v>
      </c>
      <c r="D4470" t="inlineStr">
        <is>
          <t>JÖNKÖPINGS LÄN</t>
        </is>
      </c>
      <c r="E4470" t="inlineStr">
        <is>
          <t>NÄSSJÖ</t>
        </is>
      </c>
      <c r="G4470" t="n">
        <v>0.9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22071-2023</t>
        </is>
      </c>
      <c r="B4471" s="1" t="n">
        <v>45069.45675925926</v>
      </c>
      <c r="C4471" s="1" t="n">
        <v>45962</v>
      </c>
      <c r="D4471" t="inlineStr">
        <is>
          <t>JÖNKÖPINGS LÄN</t>
        </is>
      </c>
      <c r="E4471" t="inlineStr">
        <is>
          <t>VÄRNAMO</t>
        </is>
      </c>
      <c r="G4471" t="n">
        <v>1.2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22075-2023</t>
        </is>
      </c>
      <c r="B4472" s="1" t="n">
        <v>45069</v>
      </c>
      <c r="C4472" s="1" t="n">
        <v>45962</v>
      </c>
      <c r="D4472" t="inlineStr">
        <is>
          <t>JÖNKÖPINGS LÄN</t>
        </is>
      </c>
      <c r="E4472" t="inlineStr">
        <is>
          <t>VETLANDA</t>
        </is>
      </c>
      <c r="G4472" t="n">
        <v>1.1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47921-2023</t>
        </is>
      </c>
      <c r="B4473" s="1" t="n">
        <v>45204.53039351852</v>
      </c>
      <c r="C4473" s="1" t="n">
        <v>45962</v>
      </c>
      <c r="D4473" t="inlineStr">
        <is>
          <t>JÖNKÖPINGS LÄN</t>
        </is>
      </c>
      <c r="E4473" t="inlineStr">
        <is>
          <t>VÄRNAMO</t>
        </is>
      </c>
      <c r="G4473" t="n">
        <v>3.6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40469-2023</t>
        </is>
      </c>
      <c r="B4474" s="1" t="n">
        <v>45170.35475694444</v>
      </c>
      <c r="C4474" s="1" t="n">
        <v>45962</v>
      </c>
      <c r="D4474" t="inlineStr">
        <is>
          <t>JÖNKÖPINGS LÄN</t>
        </is>
      </c>
      <c r="E4474" t="inlineStr">
        <is>
          <t>VETLANDA</t>
        </is>
      </c>
      <c r="G4474" t="n">
        <v>1.2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30795-2024</t>
        </is>
      </c>
      <c r="B4475" s="1" t="n">
        <v>45497.3596875</v>
      </c>
      <c r="C4475" s="1" t="n">
        <v>45962</v>
      </c>
      <c r="D4475" t="inlineStr">
        <is>
          <t>JÖNKÖPINGS LÄN</t>
        </is>
      </c>
      <c r="E4475" t="inlineStr">
        <is>
          <t>VETLANDA</t>
        </is>
      </c>
      <c r="G4475" t="n">
        <v>1.4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30797-2024</t>
        </is>
      </c>
      <c r="B4476" s="1" t="n">
        <v>45497.36287037037</v>
      </c>
      <c r="C4476" s="1" t="n">
        <v>45962</v>
      </c>
      <c r="D4476" t="inlineStr">
        <is>
          <t>JÖNKÖPINGS LÄN</t>
        </is>
      </c>
      <c r="E4476" t="inlineStr">
        <is>
          <t>VETLANDA</t>
        </is>
      </c>
      <c r="G4476" t="n">
        <v>0.5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22170-2023</t>
        </is>
      </c>
      <c r="B4477" s="1" t="n">
        <v>45069</v>
      </c>
      <c r="C4477" s="1" t="n">
        <v>45962</v>
      </c>
      <c r="D4477" t="inlineStr">
        <is>
          <t>JÖNKÖPINGS LÄN</t>
        </is>
      </c>
      <c r="E4477" t="inlineStr">
        <is>
          <t>NÄSSJÖ</t>
        </is>
      </c>
      <c r="G4477" t="n">
        <v>0.5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31213-2021</t>
        </is>
      </c>
      <c r="B4478" s="1" t="n">
        <v>44368.64017361111</v>
      </c>
      <c r="C4478" s="1" t="n">
        <v>45962</v>
      </c>
      <c r="D4478" t="inlineStr">
        <is>
          <t>JÖNKÖPINGS LÄN</t>
        </is>
      </c>
      <c r="E4478" t="inlineStr">
        <is>
          <t>JÖNKÖPING</t>
        </is>
      </c>
      <c r="G4478" t="n">
        <v>2.2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35446-2022</t>
        </is>
      </c>
      <c r="B4479" s="1" t="n">
        <v>44798.67543981481</v>
      </c>
      <c r="C4479" s="1" t="n">
        <v>45962</v>
      </c>
      <c r="D4479" t="inlineStr">
        <is>
          <t>JÖNKÖPINGS LÄN</t>
        </is>
      </c>
      <c r="E4479" t="inlineStr">
        <is>
          <t>SÄVSJÖ</t>
        </is>
      </c>
      <c r="G4479" t="n">
        <v>0.5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26502-2021</t>
        </is>
      </c>
      <c r="B4480" s="1" t="n">
        <v>44348.44641203704</v>
      </c>
      <c r="C4480" s="1" t="n">
        <v>45962</v>
      </c>
      <c r="D4480" t="inlineStr">
        <is>
          <t>JÖNKÖPINGS LÄN</t>
        </is>
      </c>
      <c r="E4480" t="inlineStr">
        <is>
          <t>HABO</t>
        </is>
      </c>
      <c r="G4480" t="n">
        <v>1.2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62178-2023</t>
        </is>
      </c>
      <c r="B4481" s="1" t="n">
        <v>45267.43935185186</v>
      </c>
      <c r="C4481" s="1" t="n">
        <v>45962</v>
      </c>
      <c r="D4481" t="inlineStr">
        <is>
          <t>JÖNKÖPINGS LÄN</t>
        </is>
      </c>
      <c r="E4481" t="inlineStr">
        <is>
          <t>SÄVSJÖ</t>
        </is>
      </c>
      <c r="G4481" t="n">
        <v>1.8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63920-2021</t>
        </is>
      </c>
      <c r="B4482" s="1" t="n">
        <v>44509.67083333333</v>
      </c>
      <c r="C4482" s="1" t="n">
        <v>45962</v>
      </c>
      <c r="D4482" t="inlineStr">
        <is>
          <t>JÖNKÖPINGS LÄN</t>
        </is>
      </c>
      <c r="E4482" t="inlineStr">
        <is>
          <t>SÄVSJÖ</t>
        </is>
      </c>
      <c r="G4482" t="n">
        <v>4.5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26881-2025</t>
        </is>
      </c>
      <c r="B4483" s="1" t="n">
        <v>45810.83994212963</v>
      </c>
      <c r="C4483" s="1" t="n">
        <v>45962</v>
      </c>
      <c r="D4483" t="inlineStr">
        <is>
          <t>JÖNKÖPINGS LÄN</t>
        </is>
      </c>
      <c r="E4483" t="inlineStr">
        <is>
          <t>HABO</t>
        </is>
      </c>
      <c r="G4483" t="n">
        <v>11.6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61903-2024</t>
        </is>
      </c>
      <c r="B4484" s="1" t="n">
        <v>45653.33739583333</v>
      </c>
      <c r="C4484" s="1" t="n">
        <v>45962</v>
      </c>
      <c r="D4484" t="inlineStr">
        <is>
          <t>JÖNKÖPINGS LÄN</t>
        </is>
      </c>
      <c r="E4484" t="inlineStr">
        <is>
          <t>VAGGERYD</t>
        </is>
      </c>
      <c r="G4484" t="n">
        <v>6.4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1652-2025</t>
        </is>
      </c>
      <c r="B4485" s="1" t="n">
        <v>45670.65815972222</v>
      </c>
      <c r="C4485" s="1" t="n">
        <v>45962</v>
      </c>
      <c r="D4485" t="inlineStr">
        <is>
          <t>JÖNKÖPINGS LÄN</t>
        </is>
      </c>
      <c r="E4485" t="inlineStr">
        <is>
          <t>VÄRNAMO</t>
        </is>
      </c>
      <c r="G4485" t="n">
        <v>12.6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15436-2024</t>
        </is>
      </c>
      <c r="B4486" s="1" t="n">
        <v>45401</v>
      </c>
      <c r="C4486" s="1" t="n">
        <v>45962</v>
      </c>
      <c r="D4486" t="inlineStr">
        <is>
          <t>JÖNKÖPINGS LÄN</t>
        </is>
      </c>
      <c r="E4486" t="inlineStr">
        <is>
          <t>GNOSJÖ</t>
        </is>
      </c>
      <c r="G4486" t="n">
        <v>2.2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53786-2024</t>
        </is>
      </c>
      <c r="B4487" s="1" t="n">
        <v>45615.56674768519</v>
      </c>
      <c r="C4487" s="1" t="n">
        <v>45962</v>
      </c>
      <c r="D4487" t="inlineStr">
        <is>
          <t>JÖNKÖPINGS LÄN</t>
        </is>
      </c>
      <c r="E4487" t="inlineStr">
        <is>
          <t>VETLANDA</t>
        </is>
      </c>
      <c r="G4487" t="n">
        <v>1.5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26874-2025</t>
        </is>
      </c>
      <c r="B4488" s="1" t="n">
        <v>45810</v>
      </c>
      <c r="C4488" s="1" t="n">
        <v>45962</v>
      </c>
      <c r="D4488" t="inlineStr">
        <is>
          <t>JÖNKÖPINGS LÄN</t>
        </is>
      </c>
      <c r="E4488" t="inlineStr">
        <is>
          <t>VAGGERYD</t>
        </is>
      </c>
      <c r="G4488" t="n">
        <v>2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12924-2021</t>
        </is>
      </c>
      <c r="B4489" s="1" t="n">
        <v>44271.52563657407</v>
      </c>
      <c r="C4489" s="1" t="n">
        <v>45962</v>
      </c>
      <c r="D4489" t="inlineStr">
        <is>
          <t>JÖNKÖPINGS LÄN</t>
        </is>
      </c>
      <c r="E4489" t="inlineStr">
        <is>
          <t>GISLAVED</t>
        </is>
      </c>
      <c r="G4489" t="n">
        <v>2.1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42271-2024</t>
        </is>
      </c>
      <c r="B4490" s="1" t="n">
        <v>45562</v>
      </c>
      <c r="C4490" s="1" t="n">
        <v>45962</v>
      </c>
      <c r="D4490" t="inlineStr">
        <is>
          <t>JÖNKÖPINGS LÄN</t>
        </is>
      </c>
      <c r="E4490" t="inlineStr">
        <is>
          <t>GNOSJÖ</t>
        </is>
      </c>
      <c r="F4490" t="inlineStr">
        <is>
          <t>Kyrkan</t>
        </is>
      </c>
      <c r="G4490" t="n">
        <v>7.1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27888-2024</t>
        </is>
      </c>
      <c r="B4491" s="1" t="n">
        <v>45475.84454861111</v>
      </c>
      <c r="C4491" s="1" t="n">
        <v>45962</v>
      </c>
      <c r="D4491" t="inlineStr">
        <is>
          <t>JÖNKÖPINGS LÄN</t>
        </is>
      </c>
      <c r="E4491" t="inlineStr">
        <is>
          <t>VÄRNAMO</t>
        </is>
      </c>
      <c r="G4491" t="n">
        <v>2.1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12936-2021</t>
        </is>
      </c>
      <c r="B4492" s="1" t="n">
        <v>44271</v>
      </c>
      <c r="C4492" s="1" t="n">
        <v>45962</v>
      </c>
      <c r="D4492" t="inlineStr">
        <is>
          <t>JÖNKÖPINGS LÄN</t>
        </is>
      </c>
      <c r="E4492" t="inlineStr">
        <is>
          <t>ANEBY</t>
        </is>
      </c>
      <c r="G4492" t="n">
        <v>1.1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36036-2023</t>
        </is>
      </c>
      <c r="B4493" s="1" t="n">
        <v>45149.39180555556</v>
      </c>
      <c r="C4493" s="1" t="n">
        <v>45962</v>
      </c>
      <c r="D4493" t="inlineStr">
        <is>
          <t>JÖNKÖPINGS LÄN</t>
        </is>
      </c>
      <c r="E4493" t="inlineStr">
        <is>
          <t>HABO</t>
        </is>
      </c>
      <c r="G4493" t="n">
        <v>1.5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27007-2025</t>
        </is>
      </c>
      <c r="B4494" s="1" t="n">
        <v>45811.55803240741</v>
      </c>
      <c r="C4494" s="1" t="n">
        <v>45962</v>
      </c>
      <c r="D4494" t="inlineStr">
        <is>
          <t>JÖNKÖPINGS LÄN</t>
        </is>
      </c>
      <c r="E4494" t="inlineStr">
        <is>
          <t>EKSJÖ</t>
        </is>
      </c>
      <c r="G4494" t="n">
        <v>2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26380-2024</t>
        </is>
      </c>
      <c r="B4495" s="1" t="n">
        <v>45469.41991898148</v>
      </c>
      <c r="C4495" s="1" t="n">
        <v>45962</v>
      </c>
      <c r="D4495" t="inlineStr">
        <is>
          <t>JÖNKÖPINGS LÄN</t>
        </is>
      </c>
      <c r="E4495" t="inlineStr">
        <is>
          <t>SÄVSJÖ</t>
        </is>
      </c>
      <c r="G4495" t="n">
        <v>2.1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26631-2025</t>
        </is>
      </c>
      <c r="B4496" s="1" t="n">
        <v>45810.34775462963</v>
      </c>
      <c r="C4496" s="1" t="n">
        <v>45962</v>
      </c>
      <c r="D4496" t="inlineStr">
        <is>
          <t>JÖNKÖPINGS LÄN</t>
        </is>
      </c>
      <c r="E4496" t="inlineStr">
        <is>
          <t>GISLAVED</t>
        </is>
      </c>
      <c r="G4496" t="n">
        <v>1.3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31412-2024</t>
        </is>
      </c>
      <c r="B4497" s="1" t="n">
        <v>45505</v>
      </c>
      <c r="C4497" s="1" t="n">
        <v>45962</v>
      </c>
      <c r="D4497" t="inlineStr">
        <is>
          <t>JÖNKÖPINGS LÄN</t>
        </is>
      </c>
      <c r="E4497" t="inlineStr">
        <is>
          <t>VETLANDA</t>
        </is>
      </c>
      <c r="G4497" t="n">
        <v>3.8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65131-2020</t>
        </is>
      </c>
      <c r="B4498" s="1" t="n">
        <v>44172</v>
      </c>
      <c r="C4498" s="1" t="n">
        <v>45962</v>
      </c>
      <c r="D4498" t="inlineStr">
        <is>
          <t>JÖNKÖPINGS LÄN</t>
        </is>
      </c>
      <c r="E4498" t="inlineStr">
        <is>
          <t>NÄSSJÖ</t>
        </is>
      </c>
      <c r="G4498" t="n">
        <v>3.4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28563-2022</t>
        </is>
      </c>
      <c r="B4499" s="1" t="n">
        <v>44748</v>
      </c>
      <c r="C4499" s="1" t="n">
        <v>45962</v>
      </c>
      <c r="D4499" t="inlineStr">
        <is>
          <t>JÖNKÖPINGS LÄN</t>
        </is>
      </c>
      <c r="E4499" t="inlineStr">
        <is>
          <t>GISLAVED</t>
        </is>
      </c>
      <c r="G4499" t="n">
        <v>14.1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66454-2020</t>
        </is>
      </c>
      <c r="B4500" s="1" t="n">
        <v>44174</v>
      </c>
      <c r="C4500" s="1" t="n">
        <v>45962</v>
      </c>
      <c r="D4500" t="inlineStr">
        <is>
          <t>JÖNKÖPINGS LÄN</t>
        </is>
      </c>
      <c r="E4500" t="inlineStr">
        <is>
          <t>GNOSJÖ</t>
        </is>
      </c>
      <c r="F4500" t="inlineStr">
        <is>
          <t>Kyrkan</t>
        </is>
      </c>
      <c r="G4500" t="n">
        <v>1.8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2497-2024</t>
        </is>
      </c>
      <c r="B4501" s="1" t="n">
        <v>45313</v>
      </c>
      <c r="C4501" s="1" t="n">
        <v>45962</v>
      </c>
      <c r="D4501" t="inlineStr">
        <is>
          <t>JÖNKÖPINGS LÄN</t>
        </is>
      </c>
      <c r="E4501" t="inlineStr">
        <is>
          <t>MULLSJÖ</t>
        </is>
      </c>
      <c r="G4501" t="n">
        <v>1.1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28810-2022</t>
        </is>
      </c>
      <c r="B4502" s="1" t="n">
        <v>44749</v>
      </c>
      <c r="C4502" s="1" t="n">
        <v>45962</v>
      </c>
      <c r="D4502" t="inlineStr">
        <is>
          <t>JÖNKÖPINGS LÄN</t>
        </is>
      </c>
      <c r="E4502" t="inlineStr">
        <is>
          <t>HABO</t>
        </is>
      </c>
      <c r="G4502" t="n">
        <v>0.7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28817-2022</t>
        </is>
      </c>
      <c r="B4503" s="1" t="n">
        <v>44749</v>
      </c>
      <c r="C4503" s="1" t="n">
        <v>45962</v>
      </c>
      <c r="D4503" t="inlineStr">
        <is>
          <t>JÖNKÖPINGS LÄN</t>
        </is>
      </c>
      <c r="E4503" t="inlineStr">
        <is>
          <t>HABO</t>
        </is>
      </c>
      <c r="G4503" t="n">
        <v>22.4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40897-2024</t>
        </is>
      </c>
      <c r="B4504" s="1" t="n">
        <v>45558.61712962963</v>
      </c>
      <c r="C4504" s="1" t="n">
        <v>45962</v>
      </c>
      <c r="D4504" t="inlineStr">
        <is>
          <t>JÖNKÖPINGS LÄN</t>
        </is>
      </c>
      <c r="E4504" t="inlineStr">
        <is>
          <t>ANEBY</t>
        </is>
      </c>
      <c r="G4504" t="n">
        <v>3.3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28821-2022</t>
        </is>
      </c>
      <c r="B4505" s="1" t="n">
        <v>44749</v>
      </c>
      <c r="C4505" s="1" t="n">
        <v>45962</v>
      </c>
      <c r="D4505" t="inlineStr">
        <is>
          <t>JÖNKÖPINGS LÄN</t>
        </is>
      </c>
      <c r="E4505" t="inlineStr">
        <is>
          <t>HABO</t>
        </is>
      </c>
      <c r="G4505" t="n">
        <v>3.2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51851-2021</t>
        </is>
      </c>
      <c r="B4506" s="1" t="n">
        <v>44462.69760416666</v>
      </c>
      <c r="C4506" s="1" t="n">
        <v>45962</v>
      </c>
      <c r="D4506" t="inlineStr">
        <is>
          <t>JÖNKÖPINGS LÄN</t>
        </is>
      </c>
      <c r="E4506" t="inlineStr">
        <is>
          <t>VETLANDA</t>
        </is>
      </c>
      <c r="G4506" t="n">
        <v>1.9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26306-2023</t>
        </is>
      </c>
      <c r="B4507" s="1" t="n">
        <v>45091.65045138889</v>
      </c>
      <c r="C4507" s="1" t="n">
        <v>45962</v>
      </c>
      <c r="D4507" t="inlineStr">
        <is>
          <t>JÖNKÖPINGS LÄN</t>
        </is>
      </c>
      <c r="E4507" t="inlineStr">
        <is>
          <t>EKSJÖ</t>
        </is>
      </c>
      <c r="G4507" t="n">
        <v>1.8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44416-2023</t>
        </is>
      </c>
      <c r="B4508" s="1" t="n">
        <v>45189</v>
      </c>
      <c r="C4508" s="1" t="n">
        <v>45962</v>
      </c>
      <c r="D4508" t="inlineStr">
        <is>
          <t>JÖNKÖPINGS LÄN</t>
        </is>
      </c>
      <c r="E4508" t="inlineStr">
        <is>
          <t>JÖNKÖPING</t>
        </is>
      </c>
      <c r="G4508" t="n">
        <v>1.1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58632-2023</t>
        </is>
      </c>
      <c r="B4509" s="1" t="n">
        <v>45251.56542824074</v>
      </c>
      <c r="C4509" s="1" t="n">
        <v>45962</v>
      </c>
      <c r="D4509" t="inlineStr">
        <is>
          <t>JÖNKÖPINGS LÄN</t>
        </is>
      </c>
      <c r="E4509" t="inlineStr">
        <is>
          <t>EKSJÖ</t>
        </is>
      </c>
      <c r="G4509" t="n">
        <v>0.5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26873-2025</t>
        </is>
      </c>
      <c r="B4510" s="1" t="n">
        <v>45810</v>
      </c>
      <c r="C4510" s="1" t="n">
        <v>45962</v>
      </c>
      <c r="D4510" t="inlineStr">
        <is>
          <t>JÖNKÖPINGS LÄN</t>
        </is>
      </c>
      <c r="E4510" t="inlineStr">
        <is>
          <t>HABO</t>
        </is>
      </c>
      <c r="G4510" t="n">
        <v>3.8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31888-2023</t>
        </is>
      </c>
      <c r="B4511" s="1" t="n">
        <v>45118.70503472222</v>
      </c>
      <c r="C4511" s="1" t="n">
        <v>45962</v>
      </c>
      <c r="D4511" t="inlineStr">
        <is>
          <t>JÖNKÖPINGS LÄN</t>
        </is>
      </c>
      <c r="E4511" t="inlineStr">
        <is>
          <t>GISLAVED</t>
        </is>
      </c>
      <c r="G4511" t="n">
        <v>2.6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26888-2025</t>
        </is>
      </c>
      <c r="B4512" s="1" t="n">
        <v>45810</v>
      </c>
      <c r="C4512" s="1" t="n">
        <v>45962</v>
      </c>
      <c r="D4512" t="inlineStr">
        <is>
          <t>JÖNKÖPINGS LÄN</t>
        </is>
      </c>
      <c r="E4512" t="inlineStr">
        <is>
          <t>JÖNKÖPING</t>
        </is>
      </c>
      <c r="G4512" t="n">
        <v>4.2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27527-2024</t>
        </is>
      </c>
      <c r="B4513" s="1" t="n">
        <v>45474.56277777778</v>
      </c>
      <c r="C4513" s="1" t="n">
        <v>45962</v>
      </c>
      <c r="D4513" t="inlineStr">
        <is>
          <t>JÖNKÖPINGS LÄN</t>
        </is>
      </c>
      <c r="E4513" t="inlineStr">
        <is>
          <t>VÄRNAMO</t>
        </is>
      </c>
      <c r="G4513" t="n">
        <v>1.6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25103-2023</t>
        </is>
      </c>
      <c r="B4514" s="1" t="n">
        <v>45086</v>
      </c>
      <c r="C4514" s="1" t="n">
        <v>45962</v>
      </c>
      <c r="D4514" t="inlineStr">
        <is>
          <t>JÖNKÖPINGS LÄN</t>
        </is>
      </c>
      <c r="E4514" t="inlineStr">
        <is>
          <t>ANEBY</t>
        </is>
      </c>
      <c r="G4514" t="n">
        <v>1.2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54403-2024</t>
        </is>
      </c>
      <c r="B4515" s="1" t="n">
        <v>45617.47054398148</v>
      </c>
      <c r="C4515" s="1" t="n">
        <v>45962</v>
      </c>
      <c r="D4515" t="inlineStr">
        <is>
          <t>JÖNKÖPINGS LÄN</t>
        </is>
      </c>
      <c r="E4515" t="inlineStr">
        <is>
          <t>ANEBY</t>
        </is>
      </c>
      <c r="G4515" t="n">
        <v>2.1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26770-2025</t>
        </is>
      </c>
      <c r="B4516" s="1" t="n">
        <v>45810.56796296296</v>
      </c>
      <c r="C4516" s="1" t="n">
        <v>45962</v>
      </c>
      <c r="D4516" t="inlineStr">
        <is>
          <t>JÖNKÖPINGS LÄN</t>
        </is>
      </c>
      <c r="E4516" t="inlineStr">
        <is>
          <t>VETLANDA</t>
        </is>
      </c>
      <c r="G4516" t="n">
        <v>4.9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2828-2025</t>
        </is>
      </c>
      <c r="B4517" s="1" t="n">
        <v>45677.62396990741</v>
      </c>
      <c r="C4517" s="1" t="n">
        <v>45962</v>
      </c>
      <c r="D4517" t="inlineStr">
        <is>
          <t>JÖNKÖPINGS LÄN</t>
        </is>
      </c>
      <c r="E4517" t="inlineStr">
        <is>
          <t>EKSJÖ</t>
        </is>
      </c>
      <c r="G4517" t="n">
        <v>5.4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2861-2025</t>
        </is>
      </c>
      <c r="B4518" s="1" t="n">
        <v>45677.67138888889</v>
      </c>
      <c r="C4518" s="1" t="n">
        <v>45962</v>
      </c>
      <c r="D4518" t="inlineStr">
        <is>
          <t>JÖNKÖPINGS LÄN</t>
        </is>
      </c>
      <c r="E4518" t="inlineStr">
        <is>
          <t>HABO</t>
        </is>
      </c>
      <c r="G4518" t="n">
        <v>0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12420-2025</t>
        </is>
      </c>
      <c r="B4519" s="1" t="n">
        <v>45730.45248842592</v>
      </c>
      <c r="C4519" s="1" t="n">
        <v>45962</v>
      </c>
      <c r="D4519" t="inlineStr">
        <is>
          <t>JÖNKÖPINGS LÄN</t>
        </is>
      </c>
      <c r="E4519" t="inlineStr">
        <is>
          <t>MULLSJÖ</t>
        </is>
      </c>
      <c r="G4519" t="n">
        <v>0.8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62002-2023</t>
        </is>
      </c>
      <c r="B4520" s="1" t="n">
        <v>45266.63684027778</v>
      </c>
      <c r="C4520" s="1" t="n">
        <v>45962</v>
      </c>
      <c r="D4520" t="inlineStr">
        <is>
          <t>JÖNKÖPINGS LÄN</t>
        </is>
      </c>
      <c r="E4520" t="inlineStr">
        <is>
          <t>NÄSSJÖ</t>
        </is>
      </c>
      <c r="G4520" t="n">
        <v>1.3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46162-2024</t>
        </is>
      </c>
      <c r="B4521" s="1" t="n">
        <v>45581.47037037037</v>
      </c>
      <c r="C4521" s="1" t="n">
        <v>45962</v>
      </c>
      <c r="D4521" t="inlineStr">
        <is>
          <t>JÖNKÖPINGS LÄN</t>
        </is>
      </c>
      <c r="E4521" t="inlineStr">
        <is>
          <t>GISLAVED</t>
        </is>
      </c>
      <c r="G4521" t="n">
        <v>2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19856-2025</t>
        </is>
      </c>
      <c r="B4522" s="1" t="n">
        <v>45771.5125</v>
      </c>
      <c r="C4522" s="1" t="n">
        <v>45962</v>
      </c>
      <c r="D4522" t="inlineStr">
        <is>
          <t>JÖNKÖPINGS LÄN</t>
        </is>
      </c>
      <c r="E4522" t="inlineStr">
        <is>
          <t>EKSJÖ</t>
        </is>
      </c>
      <c r="G4522" t="n">
        <v>1.1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23156-2023</t>
        </is>
      </c>
      <c r="B4523" s="1" t="n">
        <v>45075</v>
      </c>
      <c r="C4523" s="1" t="n">
        <v>45962</v>
      </c>
      <c r="D4523" t="inlineStr">
        <is>
          <t>JÖNKÖPINGS LÄN</t>
        </is>
      </c>
      <c r="E4523" t="inlineStr">
        <is>
          <t>EKSJÖ</t>
        </is>
      </c>
      <c r="G4523" t="n">
        <v>1.3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38659-2023</t>
        </is>
      </c>
      <c r="B4524" s="1" t="n">
        <v>45162</v>
      </c>
      <c r="C4524" s="1" t="n">
        <v>45962</v>
      </c>
      <c r="D4524" t="inlineStr">
        <is>
          <t>JÖNKÖPINGS LÄN</t>
        </is>
      </c>
      <c r="E4524" t="inlineStr">
        <is>
          <t>EKSJÖ</t>
        </is>
      </c>
      <c r="G4524" t="n">
        <v>1.9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27214-2023</t>
        </is>
      </c>
      <c r="B4525" s="1" t="n">
        <v>45096</v>
      </c>
      <c r="C4525" s="1" t="n">
        <v>45962</v>
      </c>
      <c r="D4525" t="inlineStr">
        <is>
          <t>JÖNKÖPINGS LÄN</t>
        </is>
      </c>
      <c r="E4525" t="inlineStr">
        <is>
          <t>VAGGERYD</t>
        </is>
      </c>
      <c r="G4525" t="n">
        <v>3.4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27215-2023</t>
        </is>
      </c>
      <c r="B4526" s="1" t="n">
        <v>45096</v>
      </c>
      <c r="C4526" s="1" t="n">
        <v>45962</v>
      </c>
      <c r="D4526" t="inlineStr">
        <is>
          <t>JÖNKÖPINGS LÄN</t>
        </is>
      </c>
      <c r="E4526" t="inlineStr">
        <is>
          <t>NÄSSJÖ</t>
        </is>
      </c>
      <c r="G4526" t="n">
        <v>13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19186-2023</t>
        </is>
      </c>
      <c r="B4527" s="1" t="n">
        <v>45046</v>
      </c>
      <c r="C4527" s="1" t="n">
        <v>45962</v>
      </c>
      <c r="D4527" t="inlineStr">
        <is>
          <t>JÖNKÖPINGS LÄN</t>
        </is>
      </c>
      <c r="E4527" t="inlineStr">
        <is>
          <t>NÄSSJÖ</t>
        </is>
      </c>
      <c r="G4527" t="n">
        <v>1.8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63207-2021</t>
        </is>
      </c>
      <c r="B4528" s="1" t="n">
        <v>44507.82581018518</v>
      </c>
      <c r="C4528" s="1" t="n">
        <v>45962</v>
      </c>
      <c r="D4528" t="inlineStr">
        <is>
          <t>JÖNKÖPINGS LÄN</t>
        </is>
      </c>
      <c r="E4528" t="inlineStr">
        <is>
          <t>JÖNKÖPING</t>
        </is>
      </c>
      <c r="G4528" t="n">
        <v>0.7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26855-2025</t>
        </is>
      </c>
      <c r="B4529" s="1" t="n">
        <v>45810</v>
      </c>
      <c r="C4529" s="1" t="n">
        <v>45962</v>
      </c>
      <c r="D4529" t="inlineStr">
        <is>
          <t>JÖNKÖPINGS LÄN</t>
        </is>
      </c>
      <c r="E4529" t="inlineStr">
        <is>
          <t>TRANÅS</t>
        </is>
      </c>
      <c r="F4529" t="inlineStr">
        <is>
          <t>Kommuner</t>
        </is>
      </c>
      <c r="G4529" t="n">
        <v>1.3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36183-2024</t>
        </is>
      </c>
      <c r="B4530" s="1" t="n">
        <v>45534.41693287037</v>
      </c>
      <c r="C4530" s="1" t="n">
        <v>45962</v>
      </c>
      <c r="D4530" t="inlineStr">
        <is>
          <t>JÖNKÖPINGS LÄN</t>
        </is>
      </c>
      <c r="E4530" t="inlineStr">
        <is>
          <t>SÄVSJÖ</t>
        </is>
      </c>
      <c r="G4530" t="n">
        <v>2.6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19135-2025</t>
        </is>
      </c>
      <c r="B4531" s="1" t="n">
        <v>45764</v>
      </c>
      <c r="C4531" s="1" t="n">
        <v>45962</v>
      </c>
      <c r="D4531" t="inlineStr">
        <is>
          <t>JÖNKÖPINGS LÄN</t>
        </is>
      </c>
      <c r="E4531" t="inlineStr">
        <is>
          <t>EKSJÖ</t>
        </is>
      </c>
      <c r="G4531" t="n">
        <v>0.5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40532-2021</t>
        </is>
      </c>
      <c r="B4532" s="1" t="n">
        <v>44420.37696759259</v>
      </c>
      <c r="C4532" s="1" t="n">
        <v>45962</v>
      </c>
      <c r="D4532" t="inlineStr">
        <is>
          <t>JÖNKÖPINGS LÄN</t>
        </is>
      </c>
      <c r="E4532" t="inlineStr">
        <is>
          <t>VAGGERYD</t>
        </is>
      </c>
      <c r="G4532" t="n">
        <v>6.2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32142-2023</t>
        </is>
      </c>
      <c r="B4533" s="1" t="n">
        <v>45119</v>
      </c>
      <c r="C4533" s="1" t="n">
        <v>45962</v>
      </c>
      <c r="D4533" t="inlineStr">
        <is>
          <t>JÖNKÖPINGS LÄN</t>
        </is>
      </c>
      <c r="E4533" t="inlineStr">
        <is>
          <t>VETLANDA</t>
        </is>
      </c>
      <c r="G4533" t="n">
        <v>1.2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32143-2023</t>
        </is>
      </c>
      <c r="B4534" s="1" t="n">
        <v>45119.67211805555</v>
      </c>
      <c r="C4534" s="1" t="n">
        <v>45962</v>
      </c>
      <c r="D4534" t="inlineStr">
        <is>
          <t>JÖNKÖPINGS LÄN</t>
        </is>
      </c>
      <c r="E4534" t="inlineStr">
        <is>
          <t>VETLANDA</t>
        </is>
      </c>
      <c r="G4534" t="n">
        <v>2.1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15502-2024</t>
        </is>
      </c>
      <c r="B4535" s="1" t="n">
        <v>45401.54920138889</v>
      </c>
      <c r="C4535" s="1" t="n">
        <v>45962</v>
      </c>
      <c r="D4535" t="inlineStr">
        <is>
          <t>JÖNKÖPINGS LÄN</t>
        </is>
      </c>
      <c r="E4535" t="inlineStr">
        <is>
          <t>VETLANDA</t>
        </is>
      </c>
      <c r="G4535" t="n">
        <v>1.1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2930-2021</t>
        </is>
      </c>
      <c r="B4536" s="1" t="n">
        <v>44215</v>
      </c>
      <c r="C4536" s="1" t="n">
        <v>45962</v>
      </c>
      <c r="D4536" t="inlineStr">
        <is>
          <t>JÖNKÖPINGS LÄN</t>
        </is>
      </c>
      <c r="E4536" t="inlineStr">
        <is>
          <t>VETLANDA</t>
        </is>
      </c>
      <c r="G4536" t="n">
        <v>2.5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26613-2025</t>
        </is>
      </c>
      <c r="B4537" s="1" t="n">
        <v>45810</v>
      </c>
      <c r="C4537" s="1" t="n">
        <v>45962</v>
      </c>
      <c r="D4537" t="inlineStr">
        <is>
          <t>JÖNKÖPINGS LÄN</t>
        </is>
      </c>
      <c r="E4537" t="inlineStr">
        <is>
          <t>VAGGERYD</t>
        </is>
      </c>
      <c r="G4537" t="n">
        <v>2.5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52146-2024</t>
        </is>
      </c>
      <c r="B4538" s="1" t="n">
        <v>45608</v>
      </c>
      <c r="C4538" s="1" t="n">
        <v>45962</v>
      </c>
      <c r="D4538" t="inlineStr">
        <is>
          <t>JÖNKÖPINGS LÄN</t>
        </is>
      </c>
      <c r="E4538" t="inlineStr">
        <is>
          <t>VÄRNAMO</t>
        </is>
      </c>
      <c r="G4538" t="n">
        <v>1.5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51027-2023</t>
        </is>
      </c>
      <c r="B4539" s="1" t="n">
        <v>45218.6069212963</v>
      </c>
      <c r="C4539" s="1" t="n">
        <v>45962</v>
      </c>
      <c r="D4539" t="inlineStr">
        <is>
          <t>JÖNKÖPINGS LÄN</t>
        </is>
      </c>
      <c r="E4539" t="inlineStr">
        <is>
          <t>HABO</t>
        </is>
      </c>
      <c r="G4539" t="n">
        <v>3.5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27333-2025</t>
        </is>
      </c>
      <c r="B4540" s="1" t="n">
        <v>45812.61347222222</v>
      </c>
      <c r="C4540" s="1" t="n">
        <v>45962</v>
      </c>
      <c r="D4540" t="inlineStr">
        <is>
          <t>JÖNKÖPINGS LÄN</t>
        </is>
      </c>
      <c r="E4540" t="inlineStr">
        <is>
          <t>GISLAVED</t>
        </is>
      </c>
      <c r="G4540" t="n">
        <v>1.5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27372-2025</t>
        </is>
      </c>
      <c r="B4541" s="1" t="n">
        <v>45812.65081018519</v>
      </c>
      <c r="C4541" s="1" t="n">
        <v>45962</v>
      </c>
      <c r="D4541" t="inlineStr">
        <is>
          <t>JÖNKÖPINGS LÄN</t>
        </is>
      </c>
      <c r="E4541" t="inlineStr">
        <is>
          <t>GISLAVED</t>
        </is>
      </c>
      <c r="G4541" t="n">
        <v>3.7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27398-2025</t>
        </is>
      </c>
      <c r="B4542" s="1" t="n">
        <v>45812.69486111111</v>
      </c>
      <c r="C4542" s="1" t="n">
        <v>45962</v>
      </c>
      <c r="D4542" t="inlineStr">
        <is>
          <t>JÖNKÖPINGS LÄN</t>
        </is>
      </c>
      <c r="E4542" t="inlineStr">
        <is>
          <t>VAGGERYD</t>
        </is>
      </c>
      <c r="F4542" t="inlineStr">
        <is>
          <t>Sveaskog</t>
        </is>
      </c>
      <c r="G4542" t="n">
        <v>9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63690-2023</t>
        </is>
      </c>
      <c r="B4543" s="1" t="n">
        <v>45275.67641203704</v>
      </c>
      <c r="C4543" s="1" t="n">
        <v>45962</v>
      </c>
      <c r="D4543" t="inlineStr">
        <is>
          <t>JÖNKÖPINGS LÄN</t>
        </is>
      </c>
      <c r="E4543" t="inlineStr">
        <is>
          <t>VAGGERYD</t>
        </is>
      </c>
      <c r="G4543" t="n">
        <v>2.3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20498-2022</t>
        </is>
      </c>
      <c r="B4544" s="1" t="n">
        <v>44699.73524305555</v>
      </c>
      <c r="C4544" s="1" t="n">
        <v>45962</v>
      </c>
      <c r="D4544" t="inlineStr">
        <is>
          <t>JÖNKÖPINGS LÄN</t>
        </is>
      </c>
      <c r="E4544" t="inlineStr">
        <is>
          <t>NÄSSJÖ</t>
        </is>
      </c>
      <c r="G4544" t="n">
        <v>11.3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27205-2025</t>
        </is>
      </c>
      <c r="B4545" s="1" t="n">
        <v>45812.40204861111</v>
      </c>
      <c r="C4545" s="1" t="n">
        <v>45962</v>
      </c>
      <c r="D4545" t="inlineStr">
        <is>
          <t>JÖNKÖPINGS LÄN</t>
        </is>
      </c>
      <c r="E4545" t="inlineStr">
        <is>
          <t>ANEBY</t>
        </is>
      </c>
      <c r="G4545" t="n">
        <v>0.7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29480-2024</t>
        </is>
      </c>
      <c r="B4546" s="1" t="n">
        <v>45484.32416666667</v>
      </c>
      <c r="C4546" s="1" t="n">
        <v>45962</v>
      </c>
      <c r="D4546" t="inlineStr">
        <is>
          <t>JÖNKÖPINGS LÄN</t>
        </is>
      </c>
      <c r="E4546" t="inlineStr">
        <is>
          <t>VETLANDA</t>
        </is>
      </c>
      <c r="G4546" t="n">
        <v>0.8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7167-2025</t>
        </is>
      </c>
      <c r="B4547" s="1" t="n">
        <v>45702.40304398148</v>
      </c>
      <c r="C4547" s="1" t="n">
        <v>45962</v>
      </c>
      <c r="D4547" t="inlineStr">
        <is>
          <t>JÖNKÖPINGS LÄN</t>
        </is>
      </c>
      <c r="E4547" t="inlineStr">
        <is>
          <t>GISLAVED</t>
        </is>
      </c>
      <c r="F4547" t="inlineStr">
        <is>
          <t>Sveaskog</t>
        </is>
      </c>
      <c r="G4547" t="n">
        <v>1.1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9257-2024</t>
        </is>
      </c>
      <c r="B4548" s="1" t="n">
        <v>45358</v>
      </c>
      <c r="C4548" s="1" t="n">
        <v>45962</v>
      </c>
      <c r="D4548" t="inlineStr">
        <is>
          <t>JÖNKÖPINGS LÄN</t>
        </is>
      </c>
      <c r="E4548" t="inlineStr">
        <is>
          <t>JÖNKÖPING</t>
        </is>
      </c>
      <c r="G4548" t="n">
        <v>7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9268-2024</t>
        </is>
      </c>
      <c r="B4549" s="1" t="n">
        <v>45358.61696759259</v>
      </c>
      <c r="C4549" s="1" t="n">
        <v>45962</v>
      </c>
      <c r="D4549" t="inlineStr">
        <is>
          <t>JÖNKÖPINGS LÄN</t>
        </is>
      </c>
      <c r="E4549" t="inlineStr">
        <is>
          <t>JÖNKÖPING</t>
        </is>
      </c>
      <c r="G4549" t="n">
        <v>8.4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48289-2024</t>
        </is>
      </c>
      <c r="B4550" s="1" t="n">
        <v>45590.45354166667</v>
      </c>
      <c r="C4550" s="1" t="n">
        <v>45962</v>
      </c>
      <c r="D4550" t="inlineStr">
        <is>
          <t>JÖNKÖPINGS LÄN</t>
        </is>
      </c>
      <c r="E4550" t="inlineStr">
        <is>
          <t>VÄRNAMO</t>
        </is>
      </c>
      <c r="G4550" t="n">
        <v>0.6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52605-2022</t>
        </is>
      </c>
      <c r="B4551" s="1" t="n">
        <v>44874.65327546297</v>
      </c>
      <c r="C4551" s="1" t="n">
        <v>45962</v>
      </c>
      <c r="D4551" t="inlineStr">
        <is>
          <t>JÖNKÖPINGS LÄN</t>
        </is>
      </c>
      <c r="E4551" t="inlineStr">
        <is>
          <t>NÄSSJÖ</t>
        </is>
      </c>
      <c r="G4551" t="n">
        <v>2.4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63412-2023</t>
        </is>
      </c>
      <c r="B4552" s="1" t="n">
        <v>45274.53392361111</v>
      </c>
      <c r="C4552" s="1" t="n">
        <v>45962</v>
      </c>
      <c r="D4552" t="inlineStr">
        <is>
          <t>JÖNKÖPINGS LÄN</t>
        </is>
      </c>
      <c r="E4552" t="inlineStr">
        <is>
          <t>VAGGERYD</t>
        </is>
      </c>
      <c r="G4552" t="n">
        <v>2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44106-2022</t>
        </is>
      </c>
      <c r="B4553" s="1" t="n">
        <v>44839</v>
      </c>
      <c r="C4553" s="1" t="n">
        <v>45962</v>
      </c>
      <c r="D4553" t="inlineStr">
        <is>
          <t>JÖNKÖPINGS LÄN</t>
        </is>
      </c>
      <c r="E4553" t="inlineStr">
        <is>
          <t>JÖNKÖPING</t>
        </is>
      </c>
      <c r="F4553" t="inlineStr">
        <is>
          <t>Sveaskog</t>
        </is>
      </c>
      <c r="G4553" t="n">
        <v>4.8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27213-2025</t>
        </is>
      </c>
      <c r="B4554" s="1" t="n">
        <v>45812.41163194444</v>
      </c>
      <c r="C4554" s="1" t="n">
        <v>45962</v>
      </c>
      <c r="D4554" t="inlineStr">
        <is>
          <t>JÖNKÖPINGS LÄN</t>
        </is>
      </c>
      <c r="E4554" t="inlineStr">
        <is>
          <t>SÄVSJÖ</t>
        </is>
      </c>
      <c r="G4554" t="n">
        <v>1.4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15776-2023</t>
        </is>
      </c>
      <c r="B4555" s="1" t="n">
        <v>45021</v>
      </c>
      <c r="C4555" s="1" t="n">
        <v>45962</v>
      </c>
      <c r="D4555" t="inlineStr">
        <is>
          <t>JÖNKÖPINGS LÄN</t>
        </is>
      </c>
      <c r="E4555" t="inlineStr">
        <is>
          <t>GNOSJÖ</t>
        </is>
      </c>
      <c r="G4555" t="n">
        <v>2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584-2021</t>
        </is>
      </c>
      <c r="B4556" s="1" t="n">
        <v>44201</v>
      </c>
      <c r="C4556" s="1" t="n">
        <v>45962</v>
      </c>
      <c r="D4556" t="inlineStr">
        <is>
          <t>JÖNKÖPINGS LÄN</t>
        </is>
      </c>
      <c r="E4556" t="inlineStr">
        <is>
          <t>VÄRNAMO</t>
        </is>
      </c>
      <c r="G4556" t="n">
        <v>1.3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48064-2021</t>
        </is>
      </c>
      <c r="B4557" s="1" t="n">
        <v>44449</v>
      </c>
      <c r="C4557" s="1" t="n">
        <v>45962</v>
      </c>
      <c r="D4557" t="inlineStr">
        <is>
          <t>JÖNKÖPINGS LÄN</t>
        </is>
      </c>
      <c r="E4557" t="inlineStr">
        <is>
          <t>JÖNKÖPING</t>
        </is>
      </c>
      <c r="G4557" t="n">
        <v>1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62276-2023</t>
        </is>
      </c>
      <c r="B4558" s="1" t="n">
        <v>45267</v>
      </c>
      <c r="C4558" s="1" t="n">
        <v>45962</v>
      </c>
      <c r="D4558" t="inlineStr">
        <is>
          <t>JÖNKÖPINGS LÄN</t>
        </is>
      </c>
      <c r="E4558" t="inlineStr">
        <is>
          <t>VÄRNAMO</t>
        </is>
      </c>
      <c r="G4558" t="n">
        <v>6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3956-2023</t>
        </is>
      </c>
      <c r="B4559" s="1" t="n">
        <v>44952</v>
      </c>
      <c r="C4559" s="1" t="n">
        <v>45962</v>
      </c>
      <c r="D4559" t="inlineStr">
        <is>
          <t>JÖNKÖPINGS LÄN</t>
        </is>
      </c>
      <c r="E4559" t="inlineStr">
        <is>
          <t>VETLANDA</t>
        </is>
      </c>
      <c r="G4559" t="n">
        <v>1.2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53636-2024</t>
        </is>
      </c>
      <c r="B4560" s="1" t="n">
        <v>45614.85831018518</v>
      </c>
      <c r="C4560" s="1" t="n">
        <v>45962</v>
      </c>
      <c r="D4560" t="inlineStr">
        <is>
          <t>JÖNKÖPINGS LÄN</t>
        </is>
      </c>
      <c r="E4560" t="inlineStr">
        <is>
          <t>NÄSSJÖ</t>
        </is>
      </c>
      <c r="G4560" t="n">
        <v>1.9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26427-2023</t>
        </is>
      </c>
      <c r="B4561" s="1" t="n">
        <v>45092.39466435185</v>
      </c>
      <c r="C4561" s="1" t="n">
        <v>45962</v>
      </c>
      <c r="D4561" t="inlineStr">
        <is>
          <t>JÖNKÖPINGS LÄN</t>
        </is>
      </c>
      <c r="E4561" t="inlineStr">
        <is>
          <t>JÖNKÖPING</t>
        </is>
      </c>
      <c r="G4561" t="n">
        <v>4.2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23993-2023</t>
        </is>
      </c>
      <c r="B4562" s="1" t="n">
        <v>45078</v>
      </c>
      <c r="C4562" s="1" t="n">
        <v>45962</v>
      </c>
      <c r="D4562" t="inlineStr">
        <is>
          <t>JÖNKÖPINGS LÄN</t>
        </is>
      </c>
      <c r="E4562" t="inlineStr">
        <is>
          <t>TRANÅS</t>
        </is>
      </c>
      <c r="G4562" t="n">
        <v>4.7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30704-2023</t>
        </is>
      </c>
      <c r="B4563" s="1" t="n">
        <v>45112.59065972222</v>
      </c>
      <c r="C4563" s="1" t="n">
        <v>45962</v>
      </c>
      <c r="D4563" t="inlineStr">
        <is>
          <t>JÖNKÖPINGS LÄN</t>
        </is>
      </c>
      <c r="E4563" t="inlineStr">
        <is>
          <t>VETLANDA</t>
        </is>
      </c>
      <c r="G4563" t="n">
        <v>0.9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27123-2025</t>
        </is>
      </c>
      <c r="B4564" s="1" t="n">
        <v>45811.78976851852</v>
      </c>
      <c r="C4564" s="1" t="n">
        <v>45962</v>
      </c>
      <c r="D4564" t="inlineStr">
        <is>
          <t>JÖNKÖPINGS LÄN</t>
        </is>
      </c>
      <c r="E4564" t="inlineStr">
        <is>
          <t>GISLAVED</t>
        </is>
      </c>
      <c r="G4564" t="n">
        <v>2.1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8172-2023</t>
        </is>
      </c>
      <c r="B4565" s="1" t="n">
        <v>44974.48900462963</v>
      </c>
      <c r="C4565" s="1" t="n">
        <v>45962</v>
      </c>
      <c r="D4565" t="inlineStr">
        <is>
          <t>JÖNKÖPINGS LÄN</t>
        </is>
      </c>
      <c r="E4565" t="inlineStr">
        <is>
          <t>EKSJÖ</t>
        </is>
      </c>
      <c r="F4565" t="inlineStr">
        <is>
          <t>Sveaskog</t>
        </is>
      </c>
      <c r="G4565" t="n">
        <v>0.8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6196-2023</t>
        </is>
      </c>
      <c r="B4566" s="1" t="n">
        <v>44964.73979166667</v>
      </c>
      <c r="C4566" s="1" t="n">
        <v>45962</v>
      </c>
      <c r="D4566" t="inlineStr">
        <is>
          <t>JÖNKÖPINGS LÄN</t>
        </is>
      </c>
      <c r="E4566" t="inlineStr">
        <is>
          <t>MULLSJÖ</t>
        </is>
      </c>
      <c r="G4566" t="n">
        <v>1.6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47532-2023</t>
        </is>
      </c>
      <c r="B4567" s="1" t="n">
        <v>45203.35952546296</v>
      </c>
      <c r="C4567" s="1" t="n">
        <v>45962</v>
      </c>
      <c r="D4567" t="inlineStr">
        <is>
          <t>JÖNKÖPINGS LÄN</t>
        </is>
      </c>
      <c r="E4567" t="inlineStr">
        <is>
          <t>HABO</t>
        </is>
      </c>
      <c r="G4567" t="n">
        <v>2.5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11213-2024</t>
        </is>
      </c>
      <c r="B4568" s="1" t="n">
        <v>45371.57876157408</v>
      </c>
      <c r="C4568" s="1" t="n">
        <v>45962</v>
      </c>
      <c r="D4568" t="inlineStr">
        <is>
          <t>JÖNKÖPINGS LÄN</t>
        </is>
      </c>
      <c r="E4568" t="inlineStr">
        <is>
          <t>VÄRNAMO</t>
        </is>
      </c>
      <c r="F4568" t="inlineStr">
        <is>
          <t>Sveaskog</t>
        </is>
      </c>
      <c r="G4568" t="n">
        <v>0.7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27228-2025</t>
        </is>
      </c>
      <c r="B4569" s="1" t="n">
        <v>45812.43444444444</v>
      </c>
      <c r="C4569" s="1" t="n">
        <v>45962</v>
      </c>
      <c r="D4569" t="inlineStr">
        <is>
          <t>JÖNKÖPINGS LÄN</t>
        </is>
      </c>
      <c r="E4569" t="inlineStr">
        <is>
          <t>SÄVSJÖ</t>
        </is>
      </c>
      <c r="G4569" t="n">
        <v>1.2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56599-2022</t>
        </is>
      </c>
      <c r="B4570" s="1" t="n">
        <v>44893</v>
      </c>
      <c r="C4570" s="1" t="n">
        <v>45962</v>
      </c>
      <c r="D4570" t="inlineStr">
        <is>
          <t>JÖNKÖPINGS LÄN</t>
        </is>
      </c>
      <c r="E4570" t="inlineStr">
        <is>
          <t>JÖNKÖPING</t>
        </is>
      </c>
      <c r="G4570" t="n">
        <v>4.6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11723-2023</t>
        </is>
      </c>
      <c r="B4571" s="1" t="n">
        <v>44994.55994212963</v>
      </c>
      <c r="C4571" s="1" t="n">
        <v>45962</v>
      </c>
      <c r="D4571" t="inlineStr">
        <is>
          <t>JÖNKÖPINGS LÄN</t>
        </is>
      </c>
      <c r="E4571" t="inlineStr">
        <is>
          <t>VÄRNAMO</t>
        </is>
      </c>
      <c r="G4571" t="n">
        <v>0.9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37751-2024</t>
        </is>
      </c>
      <c r="B4572" s="1" t="n">
        <v>45541</v>
      </c>
      <c r="C4572" s="1" t="n">
        <v>45962</v>
      </c>
      <c r="D4572" t="inlineStr">
        <is>
          <t>JÖNKÖPINGS LÄN</t>
        </is>
      </c>
      <c r="E4572" t="inlineStr">
        <is>
          <t>ANEBY</t>
        </is>
      </c>
      <c r="G4572" t="n">
        <v>2.8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52607-2024</t>
        </is>
      </c>
      <c r="B4573" s="1" t="n">
        <v>45609</v>
      </c>
      <c r="C4573" s="1" t="n">
        <v>45962</v>
      </c>
      <c r="D4573" t="inlineStr">
        <is>
          <t>JÖNKÖPINGS LÄN</t>
        </is>
      </c>
      <c r="E4573" t="inlineStr">
        <is>
          <t>VAGGERYD</t>
        </is>
      </c>
      <c r="G4573" t="n">
        <v>0.5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27598-2025</t>
        </is>
      </c>
      <c r="B4574" s="1" t="n">
        <v>45813.5249537037</v>
      </c>
      <c r="C4574" s="1" t="n">
        <v>45962</v>
      </c>
      <c r="D4574" t="inlineStr">
        <is>
          <t>JÖNKÖPINGS LÄN</t>
        </is>
      </c>
      <c r="E4574" t="inlineStr">
        <is>
          <t>GISLAVED</t>
        </is>
      </c>
      <c r="G4574" t="n">
        <v>1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29684-2023</t>
        </is>
      </c>
      <c r="B4575" s="1" t="n">
        <v>45107.37986111111</v>
      </c>
      <c r="C4575" s="1" t="n">
        <v>45962</v>
      </c>
      <c r="D4575" t="inlineStr">
        <is>
          <t>JÖNKÖPINGS LÄN</t>
        </is>
      </c>
      <c r="E4575" t="inlineStr">
        <is>
          <t>VETLANDA</t>
        </is>
      </c>
      <c r="G4575" t="n">
        <v>1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27327-2025</t>
        </is>
      </c>
      <c r="B4576" s="1" t="n">
        <v>45812.60753472222</v>
      </c>
      <c r="C4576" s="1" t="n">
        <v>45962</v>
      </c>
      <c r="D4576" t="inlineStr">
        <is>
          <t>JÖNKÖPINGS LÄN</t>
        </is>
      </c>
      <c r="E4576" t="inlineStr">
        <is>
          <t>HABO</t>
        </is>
      </c>
      <c r="G4576" t="n">
        <v>7.1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44002-2023</t>
        </is>
      </c>
      <c r="B4577" s="1" t="n">
        <v>45188</v>
      </c>
      <c r="C4577" s="1" t="n">
        <v>45962</v>
      </c>
      <c r="D4577" t="inlineStr">
        <is>
          <t>JÖNKÖPINGS LÄN</t>
        </is>
      </c>
      <c r="E4577" t="inlineStr">
        <is>
          <t>VAGGERYD</t>
        </is>
      </c>
      <c r="G4577" t="n">
        <v>0.9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27396-2025</t>
        </is>
      </c>
      <c r="B4578" s="1" t="n">
        <v>45812.68910879629</v>
      </c>
      <c r="C4578" s="1" t="n">
        <v>45962</v>
      </c>
      <c r="D4578" t="inlineStr">
        <is>
          <t>JÖNKÖPINGS LÄN</t>
        </is>
      </c>
      <c r="E4578" t="inlineStr">
        <is>
          <t>VAGGERYD</t>
        </is>
      </c>
      <c r="F4578" t="inlineStr">
        <is>
          <t>Sveaskog</t>
        </is>
      </c>
      <c r="G4578" t="n">
        <v>0.9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27415-2025</t>
        </is>
      </c>
      <c r="B4579" s="1" t="n">
        <v>45812.85927083333</v>
      </c>
      <c r="C4579" s="1" t="n">
        <v>45962</v>
      </c>
      <c r="D4579" t="inlineStr">
        <is>
          <t>JÖNKÖPINGS LÄN</t>
        </is>
      </c>
      <c r="E4579" t="inlineStr">
        <is>
          <t>VÄRNAMO</t>
        </is>
      </c>
      <c r="G4579" t="n">
        <v>3.6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14743-2022</t>
        </is>
      </c>
      <c r="B4580" s="1" t="n">
        <v>44656.37567129629</v>
      </c>
      <c r="C4580" s="1" t="n">
        <v>45962</v>
      </c>
      <c r="D4580" t="inlineStr">
        <is>
          <t>JÖNKÖPINGS LÄN</t>
        </is>
      </c>
      <c r="E4580" t="inlineStr">
        <is>
          <t>MULLSJÖ</t>
        </is>
      </c>
      <c r="G4580" t="n">
        <v>1.9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14748-2022</t>
        </is>
      </c>
      <c r="B4581" s="1" t="n">
        <v>44656</v>
      </c>
      <c r="C4581" s="1" t="n">
        <v>45962</v>
      </c>
      <c r="D4581" t="inlineStr">
        <is>
          <t>JÖNKÖPINGS LÄN</t>
        </is>
      </c>
      <c r="E4581" t="inlineStr">
        <is>
          <t>MULLSJÖ</t>
        </is>
      </c>
      <c r="G4581" t="n">
        <v>2.6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28361-2022</t>
        </is>
      </c>
      <c r="B4582" s="1" t="n">
        <v>44747.48467592592</v>
      </c>
      <c r="C4582" s="1" t="n">
        <v>45962</v>
      </c>
      <c r="D4582" t="inlineStr">
        <is>
          <t>JÖNKÖPINGS LÄN</t>
        </is>
      </c>
      <c r="E4582" t="inlineStr">
        <is>
          <t>VETLANDA</t>
        </is>
      </c>
      <c r="G4582" t="n">
        <v>1.9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58862-2020</t>
        </is>
      </c>
      <c r="B4583" s="1" t="n">
        <v>44146</v>
      </c>
      <c r="C4583" s="1" t="n">
        <v>45962</v>
      </c>
      <c r="D4583" t="inlineStr">
        <is>
          <t>JÖNKÖPINGS LÄN</t>
        </is>
      </c>
      <c r="E4583" t="inlineStr">
        <is>
          <t>GISLAVED</t>
        </is>
      </c>
      <c r="G4583" t="n">
        <v>3.9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15049-2023</t>
        </is>
      </c>
      <c r="B4584" s="1" t="n">
        <v>45015.67048611111</v>
      </c>
      <c r="C4584" s="1" t="n">
        <v>45962</v>
      </c>
      <c r="D4584" t="inlineStr">
        <is>
          <t>JÖNKÖPINGS LÄN</t>
        </is>
      </c>
      <c r="E4584" t="inlineStr">
        <is>
          <t>VETLANDA</t>
        </is>
      </c>
      <c r="G4584" t="n">
        <v>0.9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20157-2024</t>
        </is>
      </c>
      <c r="B4585" s="1" t="n">
        <v>45434.58377314815</v>
      </c>
      <c r="C4585" s="1" t="n">
        <v>45962</v>
      </c>
      <c r="D4585" t="inlineStr">
        <is>
          <t>JÖNKÖPINGS LÄN</t>
        </is>
      </c>
      <c r="E4585" t="inlineStr">
        <is>
          <t>JÖNKÖPING</t>
        </is>
      </c>
      <c r="G4585" t="n">
        <v>1.7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19580-2025</t>
        </is>
      </c>
      <c r="B4586" s="1" t="n">
        <v>45770</v>
      </c>
      <c r="C4586" s="1" t="n">
        <v>45962</v>
      </c>
      <c r="D4586" t="inlineStr">
        <is>
          <t>JÖNKÖPINGS LÄN</t>
        </is>
      </c>
      <c r="E4586" t="inlineStr">
        <is>
          <t>GISLAVED</t>
        </is>
      </c>
      <c r="G4586" t="n">
        <v>5.8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27136-2025</t>
        </is>
      </c>
      <c r="B4587" s="1" t="n">
        <v>45811.92189814815</v>
      </c>
      <c r="C4587" s="1" t="n">
        <v>45962</v>
      </c>
      <c r="D4587" t="inlineStr">
        <is>
          <t>JÖNKÖPINGS LÄN</t>
        </is>
      </c>
      <c r="E4587" t="inlineStr">
        <is>
          <t>GISLAVED</t>
        </is>
      </c>
      <c r="G4587" t="n">
        <v>0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2310-2024</t>
        </is>
      </c>
      <c r="B4588" s="1" t="n">
        <v>45310</v>
      </c>
      <c r="C4588" s="1" t="n">
        <v>45962</v>
      </c>
      <c r="D4588" t="inlineStr">
        <is>
          <t>JÖNKÖPINGS LÄN</t>
        </is>
      </c>
      <c r="E4588" t="inlineStr">
        <is>
          <t>VETLANDA</t>
        </is>
      </c>
      <c r="G4588" t="n">
        <v>1.8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34395-2022</t>
        </is>
      </c>
      <c r="B4589" s="1" t="n">
        <v>44792.50780092592</v>
      </c>
      <c r="C4589" s="1" t="n">
        <v>45962</v>
      </c>
      <c r="D4589" t="inlineStr">
        <is>
          <t>JÖNKÖPINGS LÄN</t>
        </is>
      </c>
      <c r="E4589" t="inlineStr">
        <is>
          <t>VETLANDA</t>
        </is>
      </c>
      <c r="G4589" t="n">
        <v>0.5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21693-2022</t>
        </is>
      </c>
      <c r="B4590" s="1" t="n">
        <v>44707.74184027778</v>
      </c>
      <c r="C4590" s="1" t="n">
        <v>45962</v>
      </c>
      <c r="D4590" t="inlineStr">
        <is>
          <t>JÖNKÖPINGS LÄN</t>
        </is>
      </c>
      <c r="E4590" t="inlineStr">
        <is>
          <t>MULLSJÖ</t>
        </is>
      </c>
      <c r="G4590" t="n">
        <v>0.4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6208-2023</t>
        </is>
      </c>
      <c r="B4591" s="1" t="n">
        <v>44964.8028587963</v>
      </c>
      <c r="C4591" s="1" t="n">
        <v>45962</v>
      </c>
      <c r="D4591" t="inlineStr">
        <is>
          <t>JÖNKÖPINGS LÄN</t>
        </is>
      </c>
      <c r="E4591" t="inlineStr">
        <is>
          <t>MULLSJÖ</t>
        </is>
      </c>
      <c r="G4591" t="n">
        <v>0.6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57707-2024</t>
        </is>
      </c>
      <c r="B4592" s="1" t="n">
        <v>45630.67711805556</v>
      </c>
      <c r="C4592" s="1" t="n">
        <v>45962</v>
      </c>
      <c r="D4592" t="inlineStr">
        <is>
          <t>JÖNKÖPINGS LÄN</t>
        </is>
      </c>
      <c r="E4592" t="inlineStr">
        <is>
          <t>VAGGERYD</t>
        </is>
      </c>
      <c r="G4592" t="n">
        <v>3.5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58378-2024</t>
        </is>
      </c>
      <c r="B4593" s="1" t="n">
        <v>45632.81232638889</v>
      </c>
      <c r="C4593" s="1" t="n">
        <v>45962</v>
      </c>
      <c r="D4593" t="inlineStr">
        <is>
          <t>JÖNKÖPINGS LÄN</t>
        </is>
      </c>
      <c r="E4593" t="inlineStr">
        <is>
          <t>MULLSJÖ</t>
        </is>
      </c>
      <c r="G4593" t="n">
        <v>1.1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39370-2023</t>
        </is>
      </c>
      <c r="B4594" s="1" t="n">
        <v>45162</v>
      </c>
      <c r="C4594" s="1" t="n">
        <v>45962</v>
      </c>
      <c r="D4594" t="inlineStr">
        <is>
          <t>JÖNKÖPINGS LÄN</t>
        </is>
      </c>
      <c r="E4594" t="inlineStr">
        <is>
          <t>VAGGERYD</t>
        </is>
      </c>
      <c r="G4594" t="n">
        <v>2.3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38699-2023</t>
        </is>
      </c>
      <c r="B4595" s="1" t="n">
        <v>45163.30577546296</v>
      </c>
      <c r="C4595" s="1" t="n">
        <v>45962</v>
      </c>
      <c r="D4595" t="inlineStr">
        <is>
          <t>JÖNKÖPINGS LÄN</t>
        </is>
      </c>
      <c r="E4595" t="inlineStr">
        <is>
          <t>SÄVSJÖ</t>
        </is>
      </c>
      <c r="G4595" t="n">
        <v>1.5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34802-2024</t>
        </is>
      </c>
      <c r="B4596" s="1" t="n">
        <v>45526.68496527777</v>
      </c>
      <c r="C4596" s="1" t="n">
        <v>45962</v>
      </c>
      <c r="D4596" t="inlineStr">
        <is>
          <t>JÖNKÖPINGS LÄN</t>
        </is>
      </c>
      <c r="E4596" t="inlineStr">
        <is>
          <t>VETLANDA</t>
        </is>
      </c>
      <c r="G4596" t="n">
        <v>0.5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27414-2025</t>
        </is>
      </c>
      <c r="B4597" s="1" t="n">
        <v>45812.84578703704</v>
      </c>
      <c r="C4597" s="1" t="n">
        <v>45962</v>
      </c>
      <c r="D4597" t="inlineStr">
        <is>
          <t>JÖNKÖPINGS LÄN</t>
        </is>
      </c>
      <c r="E4597" t="inlineStr">
        <is>
          <t>MULLSJÖ</t>
        </is>
      </c>
      <c r="G4597" t="n">
        <v>5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8222-2024</t>
        </is>
      </c>
      <c r="B4598" s="1" t="n">
        <v>45351.87196759259</v>
      </c>
      <c r="C4598" s="1" t="n">
        <v>45962</v>
      </c>
      <c r="D4598" t="inlineStr">
        <is>
          <t>JÖNKÖPINGS LÄN</t>
        </is>
      </c>
      <c r="E4598" t="inlineStr">
        <is>
          <t>VETLANDA</t>
        </is>
      </c>
      <c r="G4598" t="n">
        <v>0.7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6197-2022</t>
        </is>
      </c>
      <c r="B4599" s="1" t="n">
        <v>44600</v>
      </c>
      <c r="C4599" s="1" t="n">
        <v>45962</v>
      </c>
      <c r="D4599" t="inlineStr">
        <is>
          <t>JÖNKÖPINGS LÄN</t>
        </is>
      </c>
      <c r="E4599" t="inlineStr">
        <is>
          <t>VETLANDA</t>
        </is>
      </c>
      <c r="G4599" t="n">
        <v>1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31690-2022</t>
        </is>
      </c>
      <c r="B4600" s="1" t="n">
        <v>44776.39636574074</v>
      </c>
      <c r="C4600" s="1" t="n">
        <v>45962</v>
      </c>
      <c r="D4600" t="inlineStr">
        <is>
          <t>JÖNKÖPINGS LÄN</t>
        </is>
      </c>
      <c r="E4600" t="inlineStr">
        <is>
          <t>GISLAVED</t>
        </is>
      </c>
      <c r="G4600" t="n">
        <v>1.1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304-2024</t>
        </is>
      </c>
      <c r="B4601" s="1" t="n">
        <v>45294</v>
      </c>
      <c r="C4601" s="1" t="n">
        <v>45962</v>
      </c>
      <c r="D4601" t="inlineStr">
        <is>
          <t>JÖNKÖPINGS LÄN</t>
        </is>
      </c>
      <c r="E4601" t="inlineStr">
        <is>
          <t>JÖNKÖPING</t>
        </is>
      </c>
      <c r="F4601" t="inlineStr">
        <is>
          <t>Kyrkan</t>
        </is>
      </c>
      <c r="G4601" t="n">
        <v>1.1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27625-2025</t>
        </is>
      </c>
      <c r="B4602" s="1" t="n">
        <v>45813.55363425926</v>
      </c>
      <c r="C4602" s="1" t="n">
        <v>45962</v>
      </c>
      <c r="D4602" t="inlineStr">
        <is>
          <t>JÖNKÖPINGS LÄN</t>
        </is>
      </c>
      <c r="E4602" t="inlineStr">
        <is>
          <t>GISLAVED</t>
        </is>
      </c>
      <c r="G4602" t="n">
        <v>0.6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27626-2025</t>
        </is>
      </c>
      <c r="B4603" s="1" t="n">
        <v>45813.55480324074</v>
      </c>
      <c r="C4603" s="1" t="n">
        <v>45962</v>
      </c>
      <c r="D4603" t="inlineStr">
        <is>
          <t>JÖNKÖPINGS LÄN</t>
        </is>
      </c>
      <c r="E4603" t="inlineStr">
        <is>
          <t>GISLAVED</t>
        </is>
      </c>
      <c r="G4603" t="n">
        <v>0.8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27669-2025</t>
        </is>
      </c>
      <c r="B4604" s="1" t="n">
        <v>45813.62425925926</v>
      </c>
      <c r="C4604" s="1" t="n">
        <v>45962</v>
      </c>
      <c r="D4604" t="inlineStr">
        <is>
          <t>JÖNKÖPINGS LÄN</t>
        </is>
      </c>
      <c r="E4604" t="inlineStr">
        <is>
          <t>HABO</t>
        </is>
      </c>
      <c r="G4604" t="n">
        <v>7.2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57755-2023</t>
        </is>
      </c>
      <c r="B4605" s="1" t="n">
        <v>45246.79193287037</v>
      </c>
      <c r="C4605" s="1" t="n">
        <v>45962</v>
      </c>
      <c r="D4605" t="inlineStr">
        <is>
          <t>JÖNKÖPINGS LÄN</t>
        </is>
      </c>
      <c r="E4605" t="inlineStr">
        <is>
          <t>HABO</t>
        </is>
      </c>
      <c r="G4605" t="n">
        <v>2.9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57758-2023</t>
        </is>
      </c>
      <c r="B4606" s="1" t="n">
        <v>45246</v>
      </c>
      <c r="C4606" s="1" t="n">
        <v>45962</v>
      </c>
      <c r="D4606" t="inlineStr">
        <is>
          <t>JÖNKÖPINGS LÄN</t>
        </is>
      </c>
      <c r="E4606" t="inlineStr">
        <is>
          <t>NÄSSJÖ</t>
        </is>
      </c>
      <c r="G4606" t="n">
        <v>1.8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27413-2025</t>
        </is>
      </c>
      <c r="B4607" s="1" t="n">
        <v>45812.84489583333</v>
      </c>
      <c r="C4607" s="1" t="n">
        <v>45962</v>
      </c>
      <c r="D4607" t="inlineStr">
        <is>
          <t>JÖNKÖPINGS LÄN</t>
        </is>
      </c>
      <c r="E4607" t="inlineStr">
        <is>
          <t>MULLSJÖ</t>
        </is>
      </c>
      <c r="G4607" t="n">
        <v>1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39353-2022</t>
        </is>
      </c>
      <c r="B4608" s="1" t="n">
        <v>44817</v>
      </c>
      <c r="C4608" s="1" t="n">
        <v>45962</v>
      </c>
      <c r="D4608" t="inlineStr">
        <is>
          <t>JÖNKÖPINGS LÄN</t>
        </is>
      </c>
      <c r="E4608" t="inlineStr">
        <is>
          <t>MULLSJÖ</t>
        </is>
      </c>
      <c r="G4608" t="n">
        <v>2.9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11446-2023</t>
        </is>
      </c>
      <c r="B4609" s="1" t="n">
        <v>44991</v>
      </c>
      <c r="C4609" s="1" t="n">
        <v>45962</v>
      </c>
      <c r="D4609" t="inlineStr">
        <is>
          <t>JÖNKÖPINGS LÄN</t>
        </is>
      </c>
      <c r="E4609" t="inlineStr">
        <is>
          <t>EKSJÖ</t>
        </is>
      </c>
      <c r="G4609" t="n">
        <v>1.3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6930-2024</t>
        </is>
      </c>
      <c r="B4610" s="1" t="n">
        <v>45343</v>
      </c>
      <c r="C4610" s="1" t="n">
        <v>45962</v>
      </c>
      <c r="D4610" t="inlineStr">
        <is>
          <t>JÖNKÖPINGS LÄN</t>
        </is>
      </c>
      <c r="E4610" t="inlineStr">
        <is>
          <t>ANEBY</t>
        </is>
      </c>
      <c r="G4610" t="n">
        <v>1.3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49438-2024</t>
        </is>
      </c>
      <c r="B4611" s="1" t="n">
        <v>45595.87185185185</v>
      </c>
      <c r="C4611" s="1" t="n">
        <v>45962</v>
      </c>
      <c r="D4611" t="inlineStr">
        <is>
          <t>JÖNKÖPINGS LÄN</t>
        </is>
      </c>
      <c r="E4611" t="inlineStr">
        <is>
          <t>NÄSSJÖ</t>
        </is>
      </c>
      <c r="G4611" t="n">
        <v>1.2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1902-2025</t>
        </is>
      </c>
      <c r="B4612" s="1" t="n">
        <v>45671</v>
      </c>
      <c r="C4612" s="1" t="n">
        <v>45962</v>
      </c>
      <c r="D4612" t="inlineStr">
        <is>
          <t>JÖNKÖPINGS LÄN</t>
        </is>
      </c>
      <c r="E4612" t="inlineStr">
        <is>
          <t>SÄVSJÖ</t>
        </is>
      </c>
      <c r="G4612" t="n">
        <v>1.4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27322-2025</t>
        </is>
      </c>
      <c r="B4613" s="1" t="n">
        <v>45812.59789351852</v>
      </c>
      <c r="C4613" s="1" t="n">
        <v>45962</v>
      </c>
      <c r="D4613" t="inlineStr">
        <is>
          <t>JÖNKÖPINGS LÄN</t>
        </is>
      </c>
      <c r="E4613" t="inlineStr">
        <is>
          <t>VETLANDA</t>
        </is>
      </c>
      <c r="G4613" t="n">
        <v>0.7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40459-2023</t>
        </is>
      </c>
      <c r="B4614" s="1" t="n">
        <v>45170.33331018518</v>
      </c>
      <c r="C4614" s="1" t="n">
        <v>45962</v>
      </c>
      <c r="D4614" t="inlineStr">
        <is>
          <t>JÖNKÖPINGS LÄN</t>
        </is>
      </c>
      <c r="E4614" t="inlineStr">
        <is>
          <t>VETLANDA</t>
        </is>
      </c>
      <c r="G4614" t="n">
        <v>1.5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10018-2024</t>
        </is>
      </c>
      <c r="B4615" s="1" t="n">
        <v>45363.91521990741</v>
      </c>
      <c r="C4615" s="1" t="n">
        <v>45962</v>
      </c>
      <c r="D4615" t="inlineStr">
        <is>
          <t>JÖNKÖPINGS LÄN</t>
        </is>
      </c>
      <c r="E4615" t="inlineStr">
        <is>
          <t>JÖNKÖPING</t>
        </is>
      </c>
      <c r="G4615" t="n">
        <v>2.7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12453-2025</t>
        </is>
      </c>
      <c r="B4616" s="1" t="n">
        <v>45730.51604166667</v>
      </c>
      <c r="C4616" s="1" t="n">
        <v>45962</v>
      </c>
      <c r="D4616" t="inlineStr">
        <is>
          <t>JÖNKÖPINGS LÄN</t>
        </is>
      </c>
      <c r="E4616" t="inlineStr">
        <is>
          <t>GISLAVED</t>
        </is>
      </c>
      <c r="G4616" t="n">
        <v>0.6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12491-2025</t>
        </is>
      </c>
      <c r="B4617" s="1" t="n">
        <v>45730.59303240741</v>
      </c>
      <c r="C4617" s="1" t="n">
        <v>45962</v>
      </c>
      <c r="D4617" t="inlineStr">
        <is>
          <t>JÖNKÖPINGS LÄN</t>
        </is>
      </c>
      <c r="E4617" t="inlineStr">
        <is>
          <t>GISLAVED</t>
        </is>
      </c>
      <c r="G4617" t="n">
        <v>1.7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25250-2023</t>
        </is>
      </c>
      <c r="B4618" s="1" t="n">
        <v>45079</v>
      </c>
      <c r="C4618" s="1" t="n">
        <v>45962</v>
      </c>
      <c r="D4618" t="inlineStr">
        <is>
          <t>JÖNKÖPINGS LÄN</t>
        </is>
      </c>
      <c r="E4618" t="inlineStr">
        <is>
          <t>JÖNKÖPING</t>
        </is>
      </c>
      <c r="G4618" t="n">
        <v>1.7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24905-2022</t>
        </is>
      </c>
      <c r="B4619" s="1" t="n">
        <v>44728.60741898148</v>
      </c>
      <c r="C4619" s="1" t="n">
        <v>45962</v>
      </c>
      <c r="D4619" t="inlineStr">
        <is>
          <t>JÖNKÖPINGS LÄN</t>
        </is>
      </c>
      <c r="E4619" t="inlineStr">
        <is>
          <t>VETLANDA</t>
        </is>
      </c>
      <c r="G4619" t="n">
        <v>0.8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36547-2023</t>
        </is>
      </c>
      <c r="B4620" s="1" t="n">
        <v>45152</v>
      </c>
      <c r="C4620" s="1" t="n">
        <v>45962</v>
      </c>
      <c r="D4620" t="inlineStr">
        <is>
          <t>JÖNKÖPINGS LÄN</t>
        </is>
      </c>
      <c r="E4620" t="inlineStr">
        <is>
          <t>VAGGERYD</t>
        </is>
      </c>
      <c r="G4620" t="n">
        <v>2.2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36555-2023</t>
        </is>
      </c>
      <c r="B4621" s="1" t="n">
        <v>45152</v>
      </c>
      <c r="C4621" s="1" t="n">
        <v>45962</v>
      </c>
      <c r="D4621" t="inlineStr">
        <is>
          <t>JÖNKÖPINGS LÄN</t>
        </is>
      </c>
      <c r="E4621" t="inlineStr">
        <is>
          <t>VAGGERYD</t>
        </is>
      </c>
      <c r="G4621" t="n">
        <v>2.1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60557-2024</t>
        </is>
      </c>
      <c r="B4622" s="1" t="n">
        <v>45643.89232638889</v>
      </c>
      <c r="C4622" s="1" t="n">
        <v>45962</v>
      </c>
      <c r="D4622" t="inlineStr">
        <is>
          <t>JÖNKÖPINGS LÄN</t>
        </is>
      </c>
      <c r="E4622" t="inlineStr">
        <is>
          <t>JÖNKÖPING</t>
        </is>
      </c>
      <c r="G4622" t="n">
        <v>2.1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57025-2022</t>
        </is>
      </c>
      <c r="B4623" s="1" t="n">
        <v>44895</v>
      </c>
      <c r="C4623" s="1" t="n">
        <v>45962</v>
      </c>
      <c r="D4623" t="inlineStr">
        <is>
          <t>JÖNKÖPINGS LÄN</t>
        </is>
      </c>
      <c r="E4623" t="inlineStr">
        <is>
          <t>MULLSJÖ</t>
        </is>
      </c>
      <c r="G4623" t="n">
        <v>1.9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27790-2025</t>
        </is>
      </c>
      <c r="B4624" s="1" t="n">
        <v>45816.70986111111</v>
      </c>
      <c r="C4624" s="1" t="n">
        <v>45962</v>
      </c>
      <c r="D4624" t="inlineStr">
        <is>
          <t>JÖNKÖPINGS LÄN</t>
        </is>
      </c>
      <c r="E4624" t="inlineStr">
        <is>
          <t>VETLANDA</t>
        </is>
      </c>
      <c r="G4624" t="n">
        <v>2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58673-2024</t>
        </is>
      </c>
      <c r="B4625" s="1" t="n">
        <v>45635.61019675926</v>
      </c>
      <c r="C4625" s="1" t="n">
        <v>45962</v>
      </c>
      <c r="D4625" t="inlineStr">
        <is>
          <t>JÖNKÖPINGS LÄN</t>
        </is>
      </c>
      <c r="E4625" t="inlineStr">
        <is>
          <t>HABO</t>
        </is>
      </c>
      <c r="G4625" t="n">
        <v>0.4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59433-2024</t>
        </is>
      </c>
      <c r="B4626" s="1" t="n">
        <v>45638.42907407408</v>
      </c>
      <c r="C4626" s="1" t="n">
        <v>45962</v>
      </c>
      <c r="D4626" t="inlineStr">
        <is>
          <t>JÖNKÖPINGS LÄN</t>
        </is>
      </c>
      <c r="E4626" t="inlineStr">
        <is>
          <t>HABO</t>
        </is>
      </c>
      <c r="G4626" t="n">
        <v>10.4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13254-2025</t>
        </is>
      </c>
      <c r="B4627" s="1" t="n">
        <v>45735.50659722222</v>
      </c>
      <c r="C4627" s="1" t="n">
        <v>45962</v>
      </c>
      <c r="D4627" t="inlineStr">
        <is>
          <t>JÖNKÖPINGS LÄN</t>
        </is>
      </c>
      <c r="E4627" t="inlineStr">
        <is>
          <t>GISLAVED</t>
        </is>
      </c>
      <c r="G4627" t="n">
        <v>2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53102-2023</t>
        </is>
      </c>
      <c r="B4628" s="1" t="n">
        <v>45228.56903935185</v>
      </c>
      <c r="C4628" s="1" t="n">
        <v>45962</v>
      </c>
      <c r="D4628" t="inlineStr">
        <is>
          <t>JÖNKÖPINGS LÄN</t>
        </is>
      </c>
      <c r="E4628" t="inlineStr">
        <is>
          <t>SÄVSJÖ</t>
        </is>
      </c>
      <c r="G4628" t="n">
        <v>5.3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40098-2021</t>
        </is>
      </c>
      <c r="B4629" s="1" t="n">
        <v>44418.58430555555</v>
      </c>
      <c r="C4629" s="1" t="n">
        <v>45962</v>
      </c>
      <c r="D4629" t="inlineStr">
        <is>
          <t>JÖNKÖPINGS LÄN</t>
        </is>
      </c>
      <c r="E4629" t="inlineStr">
        <is>
          <t>TRANÅS</t>
        </is>
      </c>
      <c r="G4629" t="n">
        <v>2.7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51835-2024</t>
        </is>
      </c>
      <c r="B4630" s="1" t="n">
        <v>45607.50800925926</v>
      </c>
      <c r="C4630" s="1" t="n">
        <v>45962</v>
      </c>
      <c r="D4630" t="inlineStr">
        <is>
          <t>JÖNKÖPINGS LÄN</t>
        </is>
      </c>
      <c r="E4630" t="inlineStr">
        <is>
          <t>GISLAVED</t>
        </is>
      </c>
      <c r="G4630" t="n">
        <v>0.5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2650-2024</t>
        </is>
      </c>
      <c r="B4631" s="1" t="n">
        <v>45314</v>
      </c>
      <c r="C4631" s="1" t="n">
        <v>45962</v>
      </c>
      <c r="D4631" t="inlineStr">
        <is>
          <t>JÖNKÖPINGS LÄN</t>
        </is>
      </c>
      <c r="E4631" t="inlineStr">
        <is>
          <t>JÖNKÖPING</t>
        </is>
      </c>
      <c r="G4631" t="n">
        <v>0.6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27249-2023</t>
        </is>
      </c>
      <c r="B4632" s="1" t="n">
        <v>45096.61005787037</v>
      </c>
      <c r="C4632" s="1" t="n">
        <v>45962</v>
      </c>
      <c r="D4632" t="inlineStr">
        <is>
          <t>JÖNKÖPINGS LÄN</t>
        </is>
      </c>
      <c r="E4632" t="inlineStr">
        <is>
          <t>GISLAVED</t>
        </is>
      </c>
      <c r="G4632" t="n">
        <v>1.2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27826-2025</t>
        </is>
      </c>
      <c r="B4633" s="1" t="n">
        <v>45817.35298611111</v>
      </c>
      <c r="C4633" s="1" t="n">
        <v>45962</v>
      </c>
      <c r="D4633" t="inlineStr">
        <is>
          <t>JÖNKÖPINGS LÄN</t>
        </is>
      </c>
      <c r="E4633" t="inlineStr">
        <is>
          <t>VAGGERYD</t>
        </is>
      </c>
      <c r="G4633" t="n">
        <v>3.9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1730-2025</t>
        </is>
      </c>
      <c r="B4634" s="1" t="n">
        <v>45671.36034722222</v>
      </c>
      <c r="C4634" s="1" t="n">
        <v>45962</v>
      </c>
      <c r="D4634" t="inlineStr">
        <is>
          <t>JÖNKÖPINGS LÄN</t>
        </is>
      </c>
      <c r="E4634" t="inlineStr">
        <is>
          <t>NÄSSJÖ</t>
        </is>
      </c>
      <c r="G4634" t="n">
        <v>3.7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27732-2025</t>
        </is>
      </c>
      <c r="B4635" s="1" t="n">
        <v>45814.71005787037</v>
      </c>
      <c r="C4635" s="1" t="n">
        <v>45962</v>
      </c>
      <c r="D4635" t="inlineStr">
        <is>
          <t>JÖNKÖPINGS LÄN</t>
        </is>
      </c>
      <c r="E4635" t="inlineStr">
        <is>
          <t>HABO</t>
        </is>
      </c>
      <c r="G4635" t="n">
        <v>3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2623-2025</t>
        </is>
      </c>
      <c r="B4636" s="1" t="n">
        <v>45675.64688657408</v>
      </c>
      <c r="C4636" s="1" t="n">
        <v>45962</v>
      </c>
      <c r="D4636" t="inlineStr">
        <is>
          <t>JÖNKÖPINGS LÄN</t>
        </is>
      </c>
      <c r="E4636" t="inlineStr">
        <is>
          <t>GISLAVED</t>
        </is>
      </c>
      <c r="F4636" t="inlineStr">
        <is>
          <t>Kommuner</t>
        </is>
      </c>
      <c r="G4636" t="n">
        <v>0.7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58915-2024</t>
        </is>
      </c>
      <c r="B4637" s="1" t="n">
        <v>45636.48611111111</v>
      </c>
      <c r="C4637" s="1" t="n">
        <v>45962</v>
      </c>
      <c r="D4637" t="inlineStr">
        <is>
          <t>JÖNKÖPINGS LÄN</t>
        </is>
      </c>
      <c r="E4637" t="inlineStr">
        <is>
          <t>VAGGERYD</t>
        </is>
      </c>
      <c r="F4637" t="inlineStr">
        <is>
          <t>Sveaskog</t>
        </is>
      </c>
      <c r="G4637" t="n">
        <v>1.9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23789-2024</t>
        </is>
      </c>
      <c r="B4638" s="1" t="n">
        <v>45455.42549768519</v>
      </c>
      <c r="C4638" s="1" t="n">
        <v>45962</v>
      </c>
      <c r="D4638" t="inlineStr">
        <is>
          <t>JÖNKÖPINGS LÄN</t>
        </is>
      </c>
      <c r="E4638" t="inlineStr">
        <is>
          <t>MULLSJÖ</t>
        </is>
      </c>
      <c r="G4638" t="n">
        <v>3.3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39730-2023</t>
        </is>
      </c>
      <c r="B4639" s="1" t="n">
        <v>45167.64136574074</v>
      </c>
      <c r="C4639" s="1" t="n">
        <v>45962</v>
      </c>
      <c r="D4639" t="inlineStr">
        <is>
          <t>JÖNKÖPINGS LÄN</t>
        </is>
      </c>
      <c r="E4639" t="inlineStr">
        <is>
          <t>SÄVSJÖ</t>
        </is>
      </c>
      <c r="G4639" t="n">
        <v>0.7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28938-2021</t>
        </is>
      </c>
      <c r="B4640" s="1" t="n">
        <v>44357</v>
      </c>
      <c r="C4640" s="1" t="n">
        <v>45962</v>
      </c>
      <c r="D4640" t="inlineStr">
        <is>
          <t>JÖNKÖPINGS LÄN</t>
        </is>
      </c>
      <c r="E4640" t="inlineStr">
        <is>
          <t>ANEBY</t>
        </is>
      </c>
      <c r="G4640" t="n">
        <v>3.5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27815-2025</t>
        </is>
      </c>
      <c r="B4641" s="1" t="n">
        <v>45817.32929398148</v>
      </c>
      <c r="C4641" s="1" t="n">
        <v>45962</v>
      </c>
      <c r="D4641" t="inlineStr">
        <is>
          <t>JÖNKÖPINGS LÄN</t>
        </is>
      </c>
      <c r="E4641" t="inlineStr">
        <is>
          <t>VAGGERYD</t>
        </is>
      </c>
      <c r="G4641" t="n">
        <v>1.2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67418-2021</t>
        </is>
      </c>
      <c r="B4642" s="1" t="n">
        <v>44524</v>
      </c>
      <c r="C4642" s="1" t="n">
        <v>45962</v>
      </c>
      <c r="D4642" t="inlineStr">
        <is>
          <t>JÖNKÖPINGS LÄN</t>
        </is>
      </c>
      <c r="E4642" t="inlineStr">
        <is>
          <t>TRANÅS</t>
        </is>
      </c>
      <c r="G4642" t="n">
        <v>0.5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43510-2024</t>
        </is>
      </c>
      <c r="B4643" s="1" t="n">
        <v>45569.31168981481</v>
      </c>
      <c r="C4643" s="1" t="n">
        <v>45962</v>
      </c>
      <c r="D4643" t="inlineStr">
        <is>
          <t>JÖNKÖPINGS LÄN</t>
        </is>
      </c>
      <c r="E4643" t="inlineStr">
        <is>
          <t>VETLANDA</t>
        </is>
      </c>
      <c r="G4643" t="n">
        <v>0.9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60302-2022</t>
        </is>
      </c>
      <c r="B4644" s="1" t="n">
        <v>44910.56928240741</v>
      </c>
      <c r="C4644" s="1" t="n">
        <v>45962</v>
      </c>
      <c r="D4644" t="inlineStr">
        <is>
          <t>JÖNKÖPINGS LÄN</t>
        </is>
      </c>
      <c r="E4644" t="inlineStr">
        <is>
          <t>VAGGERYD</t>
        </is>
      </c>
      <c r="F4644" t="inlineStr">
        <is>
          <t>Sveaskog</t>
        </is>
      </c>
      <c r="G4644" t="n">
        <v>0.8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7509-2023</t>
        </is>
      </c>
      <c r="B4645" s="1" t="n">
        <v>44971</v>
      </c>
      <c r="C4645" s="1" t="n">
        <v>45962</v>
      </c>
      <c r="D4645" t="inlineStr">
        <is>
          <t>JÖNKÖPINGS LÄN</t>
        </is>
      </c>
      <c r="E4645" t="inlineStr">
        <is>
          <t>GISLAVED</t>
        </is>
      </c>
      <c r="G4645" t="n">
        <v>2.5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7510-2023</t>
        </is>
      </c>
      <c r="B4646" s="1" t="n">
        <v>44971</v>
      </c>
      <c r="C4646" s="1" t="n">
        <v>45962</v>
      </c>
      <c r="D4646" t="inlineStr">
        <is>
          <t>JÖNKÖPINGS LÄN</t>
        </is>
      </c>
      <c r="E4646" t="inlineStr">
        <is>
          <t>GISLAVED</t>
        </is>
      </c>
      <c r="G4646" t="n">
        <v>1.5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27955-2025</t>
        </is>
      </c>
      <c r="B4647" s="1" t="n">
        <v>45817.53369212963</v>
      </c>
      <c r="C4647" s="1" t="n">
        <v>45962</v>
      </c>
      <c r="D4647" t="inlineStr">
        <is>
          <t>JÖNKÖPINGS LÄN</t>
        </is>
      </c>
      <c r="E4647" t="inlineStr">
        <is>
          <t>GNOSJÖ</t>
        </is>
      </c>
      <c r="G4647" t="n">
        <v>2.9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30350-2023</t>
        </is>
      </c>
      <c r="B4648" s="1" t="n">
        <v>45111.39873842592</v>
      </c>
      <c r="C4648" s="1" t="n">
        <v>45962</v>
      </c>
      <c r="D4648" t="inlineStr">
        <is>
          <t>JÖNKÖPINGS LÄN</t>
        </is>
      </c>
      <c r="E4648" t="inlineStr">
        <is>
          <t>HABO</t>
        </is>
      </c>
      <c r="G4648" t="n">
        <v>2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57331-2024</t>
        </is>
      </c>
      <c r="B4649" s="1" t="n">
        <v>45629.63018518518</v>
      </c>
      <c r="C4649" s="1" t="n">
        <v>45962</v>
      </c>
      <c r="D4649" t="inlineStr">
        <is>
          <t>JÖNKÖPINGS LÄN</t>
        </is>
      </c>
      <c r="E4649" t="inlineStr">
        <is>
          <t>VAGGERYD</t>
        </is>
      </c>
      <c r="G4649" t="n">
        <v>5.8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43654-2023</t>
        </is>
      </c>
      <c r="B4650" s="1" t="n">
        <v>45187</v>
      </c>
      <c r="C4650" s="1" t="n">
        <v>45962</v>
      </c>
      <c r="D4650" t="inlineStr">
        <is>
          <t>JÖNKÖPINGS LÄN</t>
        </is>
      </c>
      <c r="E4650" t="inlineStr">
        <is>
          <t>VAGGERYD</t>
        </is>
      </c>
      <c r="F4650" t="inlineStr">
        <is>
          <t>Sveaskog</t>
        </is>
      </c>
      <c r="G4650" t="n">
        <v>0.2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43676-2023</t>
        </is>
      </c>
      <c r="B4651" s="1" t="n">
        <v>45187</v>
      </c>
      <c r="C4651" s="1" t="n">
        <v>45962</v>
      </c>
      <c r="D4651" t="inlineStr">
        <is>
          <t>JÖNKÖPINGS LÄN</t>
        </is>
      </c>
      <c r="E4651" t="inlineStr">
        <is>
          <t>VAGGERYD</t>
        </is>
      </c>
      <c r="G4651" t="n">
        <v>1.1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32891-2023</t>
        </is>
      </c>
      <c r="B4652" s="1" t="n">
        <v>45124</v>
      </c>
      <c r="C4652" s="1" t="n">
        <v>45962</v>
      </c>
      <c r="D4652" t="inlineStr">
        <is>
          <t>JÖNKÖPINGS LÄN</t>
        </is>
      </c>
      <c r="E4652" t="inlineStr">
        <is>
          <t>ANEBY</t>
        </is>
      </c>
      <c r="G4652" t="n">
        <v>2.7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9977-2022</t>
        </is>
      </c>
      <c r="B4653" s="1" t="n">
        <v>44621</v>
      </c>
      <c r="C4653" s="1" t="n">
        <v>45962</v>
      </c>
      <c r="D4653" t="inlineStr">
        <is>
          <t>JÖNKÖPINGS LÄN</t>
        </is>
      </c>
      <c r="E4653" t="inlineStr">
        <is>
          <t>TRANÅS</t>
        </is>
      </c>
      <c r="G4653" t="n">
        <v>4.7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21312-2023</t>
        </is>
      </c>
      <c r="B4654" s="1" t="n">
        <v>45062</v>
      </c>
      <c r="C4654" s="1" t="n">
        <v>45962</v>
      </c>
      <c r="D4654" t="inlineStr">
        <is>
          <t>JÖNKÖPINGS LÄN</t>
        </is>
      </c>
      <c r="E4654" t="inlineStr">
        <is>
          <t>GISLAVED</t>
        </is>
      </c>
      <c r="G4654" t="n">
        <v>1.7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22090-2021</t>
        </is>
      </c>
      <c r="B4655" s="1" t="n">
        <v>44323</v>
      </c>
      <c r="C4655" s="1" t="n">
        <v>45962</v>
      </c>
      <c r="D4655" t="inlineStr">
        <is>
          <t>JÖNKÖPINGS LÄN</t>
        </is>
      </c>
      <c r="E4655" t="inlineStr">
        <is>
          <t>EKSJÖ</t>
        </is>
      </c>
      <c r="G4655" t="n">
        <v>0.9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31793-2024</t>
        </is>
      </c>
      <c r="B4656" s="1" t="n">
        <v>45509.55278935185</v>
      </c>
      <c r="C4656" s="1" t="n">
        <v>45962</v>
      </c>
      <c r="D4656" t="inlineStr">
        <is>
          <t>JÖNKÖPINGS LÄN</t>
        </is>
      </c>
      <c r="E4656" t="inlineStr">
        <is>
          <t>VÄRNAMO</t>
        </is>
      </c>
      <c r="G4656" t="n">
        <v>2.7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27800-2025</t>
        </is>
      </c>
      <c r="B4657" s="1" t="n">
        <v>45817.02725694444</v>
      </c>
      <c r="C4657" s="1" t="n">
        <v>45962</v>
      </c>
      <c r="D4657" t="inlineStr">
        <is>
          <t>JÖNKÖPINGS LÄN</t>
        </is>
      </c>
      <c r="E4657" t="inlineStr">
        <is>
          <t>GISLAVED</t>
        </is>
      </c>
      <c r="G4657" t="n">
        <v>4.1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27892-2025</t>
        </is>
      </c>
      <c r="B4658" s="1" t="n">
        <v>45817.46300925926</v>
      </c>
      <c r="C4658" s="1" t="n">
        <v>45962</v>
      </c>
      <c r="D4658" t="inlineStr">
        <is>
          <t>JÖNKÖPINGS LÄN</t>
        </is>
      </c>
      <c r="E4658" t="inlineStr">
        <is>
          <t>GISLAVED</t>
        </is>
      </c>
      <c r="G4658" t="n">
        <v>2.9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22232-2021</t>
        </is>
      </c>
      <c r="B4659" s="1" t="n">
        <v>44326.38244212963</v>
      </c>
      <c r="C4659" s="1" t="n">
        <v>45962</v>
      </c>
      <c r="D4659" t="inlineStr">
        <is>
          <t>JÖNKÖPINGS LÄN</t>
        </is>
      </c>
      <c r="E4659" t="inlineStr">
        <is>
          <t>ANEBY</t>
        </is>
      </c>
      <c r="G4659" t="n">
        <v>0.9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40858-2024</t>
        </is>
      </c>
      <c r="B4660" s="1" t="n">
        <v>45558.58697916667</v>
      </c>
      <c r="C4660" s="1" t="n">
        <v>45962</v>
      </c>
      <c r="D4660" t="inlineStr">
        <is>
          <t>JÖNKÖPINGS LÄN</t>
        </is>
      </c>
      <c r="E4660" t="inlineStr">
        <is>
          <t>VAGGERYD</t>
        </is>
      </c>
      <c r="F4660" t="inlineStr">
        <is>
          <t>Sveaskog</t>
        </is>
      </c>
      <c r="G4660" t="n">
        <v>1.4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42053-2024</t>
        </is>
      </c>
      <c r="B4661" s="1" t="n">
        <v>45561.87885416667</v>
      </c>
      <c r="C4661" s="1" t="n">
        <v>45962</v>
      </c>
      <c r="D4661" t="inlineStr">
        <is>
          <t>JÖNKÖPINGS LÄN</t>
        </is>
      </c>
      <c r="E4661" t="inlineStr">
        <is>
          <t>JÖNKÖPING</t>
        </is>
      </c>
      <c r="G4661" t="n">
        <v>2.2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13107-2023</t>
        </is>
      </c>
      <c r="B4662" s="1" t="n">
        <v>45002</v>
      </c>
      <c r="C4662" s="1" t="n">
        <v>45962</v>
      </c>
      <c r="D4662" t="inlineStr">
        <is>
          <t>JÖNKÖPINGS LÄN</t>
        </is>
      </c>
      <c r="E4662" t="inlineStr">
        <is>
          <t>VAGGERYD</t>
        </is>
      </c>
      <c r="G4662" t="n">
        <v>3.3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2591-2022</t>
        </is>
      </c>
      <c r="B4663" s="1" t="n">
        <v>44580</v>
      </c>
      <c r="C4663" s="1" t="n">
        <v>45962</v>
      </c>
      <c r="D4663" t="inlineStr">
        <is>
          <t>JÖNKÖPINGS LÄN</t>
        </is>
      </c>
      <c r="E4663" t="inlineStr">
        <is>
          <t>EKSJÖ</t>
        </is>
      </c>
      <c r="G4663" t="n">
        <v>2.4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57678-2021</t>
        </is>
      </c>
      <c r="B4664" s="1" t="n">
        <v>44484.45483796296</v>
      </c>
      <c r="C4664" s="1" t="n">
        <v>45962</v>
      </c>
      <c r="D4664" t="inlineStr">
        <is>
          <t>JÖNKÖPINGS LÄN</t>
        </is>
      </c>
      <c r="E4664" t="inlineStr">
        <is>
          <t>NÄSSJÖ</t>
        </is>
      </c>
      <c r="G4664" t="n">
        <v>1.5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1489-2023</t>
        </is>
      </c>
      <c r="B4665" s="1" t="n">
        <v>44935</v>
      </c>
      <c r="C4665" s="1" t="n">
        <v>45962</v>
      </c>
      <c r="D4665" t="inlineStr">
        <is>
          <t>JÖNKÖPINGS LÄN</t>
        </is>
      </c>
      <c r="E4665" t="inlineStr">
        <is>
          <t>VAGGERYD</t>
        </is>
      </c>
      <c r="G4665" t="n">
        <v>0.6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1493-2023</t>
        </is>
      </c>
      <c r="B4666" s="1" t="n">
        <v>44935</v>
      </c>
      <c r="C4666" s="1" t="n">
        <v>45962</v>
      </c>
      <c r="D4666" t="inlineStr">
        <is>
          <t>JÖNKÖPINGS LÄN</t>
        </is>
      </c>
      <c r="E4666" t="inlineStr">
        <is>
          <t>VAGGERYD</t>
        </is>
      </c>
      <c r="G4666" t="n">
        <v>0.9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47725-2023</t>
        </is>
      </c>
      <c r="B4667" s="1" t="n">
        <v>45198</v>
      </c>
      <c r="C4667" s="1" t="n">
        <v>45962</v>
      </c>
      <c r="D4667" t="inlineStr">
        <is>
          <t>JÖNKÖPINGS LÄN</t>
        </is>
      </c>
      <c r="E4667" t="inlineStr">
        <is>
          <t>GISLAVED</t>
        </is>
      </c>
      <c r="F4667" t="inlineStr">
        <is>
          <t>Kyrkan</t>
        </is>
      </c>
      <c r="G4667" t="n">
        <v>2.1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57719-2021</t>
        </is>
      </c>
      <c r="B4668" s="1" t="n">
        <v>44484.49586805556</v>
      </c>
      <c r="C4668" s="1" t="n">
        <v>45962</v>
      </c>
      <c r="D4668" t="inlineStr">
        <is>
          <t>JÖNKÖPINGS LÄN</t>
        </is>
      </c>
      <c r="E4668" t="inlineStr">
        <is>
          <t>JÖNKÖPING</t>
        </is>
      </c>
      <c r="G4668" t="n">
        <v>1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632-2023</t>
        </is>
      </c>
      <c r="B4669" s="1" t="n">
        <v>44930</v>
      </c>
      <c r="C4669" s="1" t="n">
        <v>45962</v>
      </c>
      <c r="D4669" t="inlineStr">
        <is>
          <t>JÖNKÖPINGS LÄN</t>
        </is>
      </c>
      <c r="E4669" t="inlineStr">
        <is>
          <t>VETLANDA</t>
        </is>
      </c>
      <c r="G4669" t="n">
        <v>1.2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51901-2022</t>
        </is>
      </c>
      <c r="B4670" s="1" t="n">
        <v>44872.615</v>
      </c>
      <c r="C4670" s="1" t="n">
        <v>45962</v>
      </c>
      <c r="D4670" t="inlineStr">
        <is>
          <t>JÖNKÖPINGS LÄN</t>
        </is>
      </c>
      <c r="E4670" t="inlineStr">
        <is>
          <t>GNOSJÖ</t>
        </is>
      </c>
      <c r="G4670" t="n">
        <v>7.3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57993-2023</t>
        </is>
      </c>
      <c r="B4671" s="1" t="n">
        <v>45247</v>
      </c>
      <c r="C4671" s="1" t="n">
        <v>45962</v>
      </c>
      <c r="D4671" t="inlineStr">
        <is>
          <t>JÖNKÖPINGS LÄN</t>
        </is>
      </c>
      <c r="E4671" t="inlineStr">
        <is>
          <t>VAGGERYD</t>
        </is>
      </c>
      <c r="G4671" t="n">
        <v>3.4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27422-2023</t>
        </is>
      </c>
      <c r="B4672" s="1" t="n">
        <v>45097</v>
      </c>
      <c r="C4672" s="1" t="n">
        <v>45962</v>
      </c>
      <c r="D4672" t="inlineStr">
        <is>
          <t>JÖNKÖPINGS LÄN</t>
        </is>
      </c>
      <c r="E4672" t="inlineStr">
        <is>
          <t>EKSJÖ</t>
        </is>
      </c>
      <c r="G4672" t="n">
        <v>2.4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27427-2023</t>
        </is>
      </c>
      <c r="B4673" s="1" t="n">
        <v>45097</v>
      </c>
      <c r="C4673" s="1" t="n">
        <v>45962</v>
      </c>
      <c r="D4673" t="inlineStr">
        <is>
          <t>JÖNKÖPINGS LÄN</t>
        </is>
      </c>
      <c r="E4673" t="inlineStr">
        <is>
          <t>VAGGERYD</t>
        </is>
      </c>
      <c r="G4673" t="n">
        <v>0.8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24710-2023</t>
        </is>
      </c>
      <c r="B4674" s="1" t="n">
        <v>45084</v>
      </c>
      <c r="C4674" s="1" t="n">
        <v>45962</v>
      </c>
      <c r="D4674" t="inlineStr">
        <is>
          <t>JÖNKÖPINGS LÄN</t>
        </is>
      </c>
      <c r="E4674" t="inlineStr">
        <is>
          <t>GISLAVED</t>
        </is>
      </c>
      <c r="F4674" t="inlineStr">
        <is>
          <t>Sveaskog</t>
        </is>
      </c>
      <c r="G4674" t="n">
        <v>2.4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27430-2023</t>
        </is>
      </c>
      <c r="B4675" s="1" t="n">
        <v>45097</v>
      </c>
      <c r="C4675" s="1" t="n">
        <v>45962</v>
      </c>
      <c r="D4675" t="inlineStr">
        <is>
          <t>JÖNKÖPINGS LÄN</t>
        </is>
      </c>
      <c r="E4675" t="inlineStr">
        <is>
          <t>VETLANDA</t>
        </is>
      </c>
      <c r="G4675" t="n">
        <v>4.7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36328-2023</t>
        </is>
      </c>
      <c r="B4676" s="1" t="n">
        <v>45149</v>
      </c>
      <c r="C4676" s="1" t="n">
        <v>45962</v>
      </c>
      <c r="D4676" t="inlineStr">
        <is>
          <t>JÖNKÖPINGS LÄN</t>
        </is>
      </c>
      <c r="E4676" t="inlineStr">
        <is>
          <t>VAGGERYD</t>
        </is>
      </c>
      <c r="G4676" t="n">
        <v>0.4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1473-2024</t>
        </is>
      </c>
      <c r="B4677" s="1" t="n">
        <v>45304.76762731482</v>
      </c>
      <c r="C4677" s="1" t="n">
        <v>45962</v>
      </c>
      <c r="D4677" t="inlineStr">
        <is>
          <t>JÖNKÖPINGS LÄN</t>
        </is>
      </c>
      <c r="E4677" t="inlineStr">
        <is>
          <t>ANEBY</t>
        </is>
      </c>
      <c r="G4677" t="n">
        <v>1.8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1489-2024</t>
        </is>
      </c>
      <c r="B4678" s="1" t="n">
        <v>45305</v>
      </c>
      <c r="C4678" s="1" t="n">
        <v>45962</v>
      </c>
      <c r="D4678" t="inlineStr">
        <is>
          <t>JÖNKÖPINGS LÄN</t>
        </is>
      </c>
      <c r="E4678" t="inlineStr">
        <is>
          <t>MULLSJÖ</t>
        </is>
      </c>
      <c r="G4678" t="n">
        <v>3.1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35967-2023</t>
        </is>
      </c>
      <c r="B4679" s="1" t="n">
        <v>45148</v>
      </c>
      <c r="C4679" s="1" t="n">
        <v>45962</v>
      </c>
      <c r="D4679" t="inlineStr">
        <is>
          <t>JÖNKÖPINGS LÄN</t>
        </is>
      </c>
      <c r="E4679" t="inlineStr">
        <is>
          <t>NÄSSJÖ</t>
        </is>
      </c>
      <c r="G4679" t="n">
        <v>0.9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61532-2023</t>
        </is>
      </c>
      <c r="B4680" s="1" t="n">
        <v>45265</v>
      </c>
      <c r="C4680" s="1" t="n">
        <v>45962</v>
      </c>
      <c r="D4680" t="inlineStr">
        <is>
          <t>JÖNKÖPINGS LÄN</t>
        </is>
      </c>
      <c r="E4680" t="inlineStr">
        <is>
          <t>GNOSJÖ</t>
        </is>
      </c>
      <c r="F4680" t="inlineStr">
        <is>
          <t>Sveaskog</t>
        </is>
      </c>
      <c r="G4680" t="n">
        <v>1.7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38333-2023</t>
        </is>
      </c>
      <c r="B4681" s="1" t="n">
        <v>45161.82835648148</v>
      </c>
      <c r="C4681" s="1" t="n">
        <v>45962</v>
      </c>
      <c r="D4681" t="inlineStr">
        <is>
          <t>JÖNKÖPINGS LÄN</t>
        </is>
      </c>
      <c r="E4681" t="inlineStr">
        <is>
          <t>SÄVSJÖ</t>
        </is>
      </c>
      <c r="G4681" t="n">
        <v>0.8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24356-2021</t>
        </is>
      </c>
      <c r="B4682" s="1" t="n">
        <v>44337.42444444444</v>
      </c>
      <c r="C4682" s="1" t="n">
        <v>45962</v>
      </c>
      <c r="D4682" t="inlineStr">
        <is>
          <t>JÖNKÖPINGS LÄN</t>
        </is>
      </c>
      <c r="E4682" t="inlineStr">
        <is>
          <t>GNOSJÖ</t>
        </is>
      </c>
      <c r="G4682" t="n">
        <v>0.7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24709-2024</t>
        </is>
      </c>
      <c r="B4683" s="1" t="n">
        <v>45460.62232638889</v>
      </c>
      <c r="C4683" s="1" t="n">
        <v>45962</v>
      </c>
      <c r="D4683" t="inlineStr">
        <is>
          <t>JÖNKÖPINGS LÄN</t>
        </is>
      </c>
      <c r="E4683" t="inlineStr">
        <is>
          <t>SÄVSJÖ</t>
        </is>
      </c>
      <c r="G4683" t="n">
        <v>1.4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12654-2024</t>
        </is>
      </c>
      <c r="B4684" s="1" t="n">
        <v>45379</v>
      </c>
      <c r="C4684" s="1" t="n">
        <v>45962</v>
      </c>
      <c r="D4684" t="inlineStr">
        <is>
          <t>JÖNKÖPINGS LÄN</t>
        </is>
      </c>
      <c r="E4684" t="inlineStr">
        <is>
          <t>TRANÅS</t>
        </is>
      </c>
      <c r="G4684" t="n">
        <v>2.2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45891-2021</t>
        </is>
      </c>
      <c r="B4685" s="1" t="n">
        <v>44441.59430555555</v>
      </c>
      <c r="C4685" s="1" t="n">
        <v>45962</v>
      </c>
      <c r="D4685" t="inlineStr">
        <is>
          <t>JÖNKÖPINGS LÄN</t>
        </is>
      </c>
      <c r="E4685" t="inlineStr">
        <is>
          <t>GISLAVED</t>
        </is>
      </c>
      <c r="G4685" t="n">
        <v>0.6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4814-2023</t>
        </is>
      </c>
      <c r="B4686" s="1" t="n">
        <v>44957</v>
      </c>
      <c r="C4686" s="1" t="n">
        <v>45962</v>
      </c>
      <c r="D4686" t="inlineStr">
        <is>
          <t>JÖNKÖPINGS LÄN</t>
        </is>
      </c>
      <c r="E4686" t="inlineStr">
        <is>
          <t>SÄVSJÖ</t>
        </is>
      </c>
      <c r="G4686" t="n">
        <v>1.5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13993-2025</t>
        </is>
      </c>
      <c r="B4687" s="1" t="n">
        <v>45739</v>
      </c>
      <c r="C4687" s="1" t="n">
        <v>45962</v>
      </c>
      <c r="D4687" t="inlineStr">
        <is>
          <t>JÖNKÖPINGS LÄN</t>
        </is>
      </c>
      <c r="E4687" t="inlineStr">
        <is>
          <t>VETLANDA</t>
        </is>
      </c>
      <c r="G4687" t="n">
        <v>1.9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51087-2024</t>
        </is>
      </c>
      <c r="B4688" s="1" t="n">
        <v>45603.46451388889</v>
      </c>
      <c r="C4688" s="1" t="n">
        <v>45962</v>
      </c>
      <c r="D4688" t="inlineStr">
        <is>
          <t>JÖNKÖPINGS LÄN</t>
        </is>
      </c>
      <c r="E4688" t="inlineStr">
        <is>
          <t>GISLAVED</t>
        </is>
      </c>
      <c r="G4688" t="n">
        <v>4.8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51099-2024</t>
        </is>
      </c>
      <c r="B4689" s="1" t="n">
        <v>45603.47803240741</v>
      </c>
      <c r="C4689" s="1" t="n">
        <v>45962</v>
      </c>
      <c r="D4689" t="inlineStr">
        <is>
          <t>JÖNKÖPINGS LÄN</t>
        </is>
      </c>
      <c r="E4689" t="inlineStr">
        <is>
          <t>GISLAVED</t>
        </is>
      </c>
      <c r="G4689" t="n">
        <v>1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557-2025</t>
        </is>
      </c>
      <c r="B4690" s="1" t="n">
        <v>45660</v>
      </c>
      <c r="C4690" s="1" t="n">
        <v>45962</v>
      </c>
      <c r="D4690" t="inlineStr">
        <is>
          <t>JÖNKÖPINGS LÄN</t>
        </is>
      </c>
      <c r="E4690" t="inlineStr">
        <is>
          <t>SÄVSJÖ</t>
        </is>
      </c>
      <c r="G4690" t="n">
        <v>2.9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4426-2025</t>
        </is>
      </c>
      <c r="B4691" s="1" t="n">
        <v>45686.48527777778</v>
      </c>
      <c r="C4691" s="1" t="n">
        <v>45962</v>
      </c>
      <c r="D4691" t="inlineStr">
        <is>
          <t>JÖNKÖPINGS LÄN</t>
        </is>
      </c>
      <c r="E4691" t="inlineStr">
        <is>
          <t>EKSJÖ</t>
        </is>
      </c>
      <c r="F4691" t="inlineStr">
        <is>
          <t>Övriga Aktiebolag</t>
        </is>
      </c>
      <c r="G4691" t="n">
        <v>3.5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7940-2023</t>
        </is>
      </c>
      <c r="B4692" s="1" t="n">
        <v>44973.65998842593</v>
      </c>
      <c r="C4692" s="1" t="n">
        <v>45962</v>
      </c>
      <c r="D4692" t="inlineStr">
        <is>
          <t>JÖNKÖPINGS LÄN</t>
        </is>
      </c>
      <c r="E4692" t="inlineStr">
        <is>
          <t>TRANÅS</t>
        </is>
      </c>
      <c r="F4692" t="inlineStr">
        <is>
          <t>Kommuner</t>
        </is>
      </c>
      <c r="G4692" t="n">
        <v>2.1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28199-2025</t>
        </is>
      </c>
      <c r="B4693" s="1" t="n">
        <v>45818.43297453703</v>
      </c>
      <c r="C4693" s="1" t="n">
        <v>45962</v>
      </c>
      <c r="D4693" t="inlineStr">
        <is>
          <t>JÖNKÖPINGS LÄN</t>
        </is>
      </c>
      <c r="E4693" t="inlineStr">
        <is>
          <t>VETLANDA</t>
        </is>
      </c>
      <c r="G4693" t="n">
        <v>0.8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16796-2023</t>
        </is>
      </c>
      <c r="B4694" s="1" t="n">
        <v>45033</v>
      </c>
      <c r="C4694" s="1" t="n">
        <v>45962</v>
      </c>
      <c r="D4694" t="inlineStr">
        <is>
          <t>JÖNKÖPINGS LÄN</t>
        </is>
      </c>
      <c r="E4694" t="inlineStr">
        <is>
          <t>VETLANDA</t>
        </is>
      </c>
      <c r="G4694" t="n">
        <v>4.6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28277-2025</t>
        </is>
      </c>
      <c r="B4695" s="1" t="n">
        <v>45818.58399305555</v>
      </c>
      <c r="C4695" s="1" t="n">
        <v>45962</v>
      </c>
      <c r="D4695" t="inlineStr">
        <is>
          <t>JÖNKÖPINGS LÄN</t>
        </is>
      </c>
      <c r="E4695" t="inlineStr">
        <is>
          <t>NÄSSJÖ</t>
        </is>
      </c>
      <c r="G4695" t="n">
        <v>5.8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26202-2023</t>
        </is>
      </c>
      <c r="B4696" s="1" t="n">
        <v>45091.54733796296</v>
      </c>
      <c r="C4696" s="1" t="n">
        <v>45962</v>
      </c>
      <c r="D4696" t="inlineStr">
        <is>
          <t>JÖNKÖPINGS LÄN</t>
        </is>
      </c>
      <c r="E4696" t="inlineStr">
        <is>
          <t>HABO</t>
        </is>
      </c>
      <c r="G4696" t="n">
        <v>0.2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52812-2023</t>
        </is>
      </c>
      <c r="B4697" s="1" t="n">
        <v>45226.3731712963</v>
      </c>
      <c r="C4697" s="1" t="n">
        <v>45962</v>
      </c>
      <c r="D4697" t="inlineStr">
        <is>
          <t>JÖNKÖPINGS LÄN</t>
        </is>
      </c>
      <c r="E4697" t="inlineStr">
        <is>
          <t>JÖNKÖPING</t>
        </is>
      </c>
      <c r="G4697" t="n">
        <v>0.6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11931-2023</t>
        </is>
      </c>
      <c r="B4698" s="1" t="n">
        <v>44995.49431712963</v>
      </c>
      <c r="C4698" s="1" t="n">
        <v>45962</v>
      </c>
      <c r="D4698" t="inlineStr">
        <is>
          <t>JÖNKÖPINGS LÄN</t>
        </is>
      </c>
      <c r="E4698" t="inlineStr">
        <is>
          <t>SÄVSJÖ</t>
        </is>
      </c>
      <c r="G4698" t="n">
        <v>2.7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17237-2023</t>
        </is>
      </c>
      <c r="B4699" s="1" t="n">
        <v>45035</v>
      </c>
      <c r="C4699" s="1" t="n">
        <v>45962</v>
      </c>
      <c r="D4699" t="inlineStr">
        <is>
          <t>JÖNKÖPINGS LÄN</t>
        </is>
      </c>
      <c r="E4699" t="inlineStr">
        <is>
          <t>JÖNKÖPING</t>
        </is>
      </c>
      <c r="G4699" t="n">
        <v>1.7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28590-2025</t>
        </is>
      </c>
      <c r="B4700" s="1" t="n">
        <v>45819.58771990741</v>
      </c>
      <c r="C4700" s="1" t="n">
        <v>45962</v>
      </c>
      <c r="D4700" t="inlineStr">
        <is>
          <t>JÖNKÖPINGS LÄN</t>
        </is>
      </c>
      <c r="E4700" t="inlineStr">
        <is>
          <t>VETLANDA</t>
        </is>
      </c>
      <c r="G4700" t="n">
        <v>0.4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58291-2022</t>
        </is>
      </c>
      <c r="B4701" s="1" t="n">
        <v>44901</v>
      </c>
      <c r="C4701" s="1" t="n">
        <v>45962</v>
      </c>
      <c r="D4701" t="inlineStr">
        <is>
          <t>JÖNKÖPINGS LÄN</t>
        </is>
      </c>
      <c r="E4701" t="inlineStr">
        <is>
          <t>NÄSSJÖ</t>
        </is>
      </c>
      <c r="G4701" t="n">
        <v>2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4505-2022</t>
        </is>
      </c>
      <c r="B4702" s="1" t="n">
        <v>44589.74348379629</v>
      </c>
      <c r="C4702" s="1" t="n">
        <v>45962</v>
      </c>
      <c r="D4702" t="inlineStr">
        <is>
          <t>JÖNKÖPINGS LÄN</t>
        </is>
      </c>
      <c r="E4702" t="inlineStr">
        <is>
          <t>JÖNKÖPING</t>
        </is>
      </c>
      <c r="G4702" t="n">
        <v>1.7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4061-2025</t>
        </is>
      </c>
      <c r="B4703" s="1" t="n">
        <v>45684.62931712963</v>
      </c>
      <c r="C4703" s="1" t="n">
        <v>45962</v>
      </c>
      <c r="D4703" t="inlineStr">
        <is>
          <t>JÖNKÖPINGS LÄN</t>
        </is>
      </c>
      <c r="E4703" t="inlineStr">
        <is>
          <t>VETLANDA</t>
        </is>
      </c>
      <c r="F4703" t="inlineStr">
        <is>
          <t>Sveaskog</t>
        </is>
      </c>
      <c r="G4703" t="n">
        <v>0.8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57170-2021</t>
        </is>
      </c>
      <c r="B4704" s="1" t="n">
        <v>44482.86331018519</v>
      </c>
      <c r="C4704" s="1" t="n">
        <v>45962</v>
      </c>
      <c r="D4704" t="inlineStr">
        <is>
          <t>JÖNKÖPINGS LÄN</t>
        </is>
      </c>
      <c r="E4704" t="inlineStr">
        <is>
          <t>ANEBY</t>
        </is>
      </c>
      <c r="G4704" t="n">
        <v>3.2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28201-2025</t>
        </is>
      </c>
      <c r="B4705" s="1" t="n">
        <v>45818.44327546296</v>
      </c>
      <c r="C4705" s="1" t="n">
        <v>45962</v>
      </c>
      <c r="D4705" t="inlineStr">
        <is>
          <t>JÖNKÖPINGS LÄN</t>
        </is>
      </c>
      <c r="E4705" t="inlineStr">
        <is>
          <t>VAGGERYD</t>
        </is>
      </c>
      <c r="G4705" t="n">
        <v>1.7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5143-2024</t>
        </is>
      </c>
      <c r="B4706" s="1" t="n">
        <v>45330</v>
      </c>
      <c r="C4706" s="1" t="n">
        <v>45962</v>
      </c>
      <c r="D4706" t="inlineStr">
        <is>
          <t>JÖNKÖPINGS LÄN</t>
        </is>
      </c>
      <c r="E4706" t="inlineStr">
        <is>
          <t>VETLANDA</t>
        </is>
      </c>
      <c r="G4706" t="n">
        <v>0.5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28543-2025</t>
        </is>
      </c>
      <c r="B4707" s="1" t="n">
        <v>45819.52043981481</v>
      </c>
      <c r="C4707" s="1" t="n">
        <v>45962</v>
      </c>
      <c r="D4707" t="inlineStr">
        <is>
          <t>JÖNKÖPINGS LÄN</t>
        </is>
      </c>
      <c r="E4707" t="inlineStr">
        <is>
          <t>ANEBY</t>
        </is>
      </c>
      <c r="G4707" t="n">
        <v>0.5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50299-2023</t>
        </is>
      </c>
      <c r="B4708" s="1" t="n">
        <v>45216.48376157408</v>
      </c>
      <c r="C4708" s="1" t="n">
        <v>45962</v>
      </c>
      <c r="D4708" t="inlineStr">
        <is>
          <t>JÖNKÖPINGS LÄN</t>
        </is>
      </c>
      <c r="E4708" t="inlineStr">
        <is>
          <t>EKSJÖ</t>
        </is>
      </c>
      <c r="G4708" t="n">
        <v>0.4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3520-2023</t>
        </is>
      </c>
      <c r="B4709" s="1" t="n">
        <v>44950</v>
      </c>
      <c r="C4709" s="1" t="n">
        <v>45962</v>
      </c>
      <c r="D4709" t="inlineStr">
        <is>
          <t>JÖNKÖPINGS LÄN</t>
        </is>
      </c>
      <c r="E4709" t="inlineStr">
        <is>
          <t>JÖNKÖPING</t>
        </is>
      </c>
      <c r="G4709" t="n">
        <v>1.8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3548-2023</t>
        </is>
      </c>
      <c r="B4710" s="1" t="n">
        <v>44946</v>
      </c>
      <c r="C4710" s="1" t="n">
        <v>45962</v>
      </c>
      <c r="D4710" t="inlineStr">
        <is>
          <t>JÖNKÖPINGS LÄN</t>
        </is>
      </c>
      <c r="E4710" t="inlineStr">
        <is>
          <t>VETLANDA</t>
        </is>
      </c>
      <c r="G4710" t="n">
        <v>0.4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12606-2025</t>
        </is>
      </c>
      <c r="B4711" s="1" t="n">
        <v>45733.31362268519</v>
      </c>
      <c r="C4711" s="1" t="n">
        <v>45962</v>
      </c>
      <c r="D4711" t="inlineStr">
        <is>
          <t>JÖNKÖPINGS LÄN</t>
        </is>
      </c>
      <c r="E4711" t="inlineStr">
        <is>
          <t>HABO</t>
        </is>
      </c>
      <c r="G4711" t="n">
        <v>1.7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1273-2025</t>
        </is>
      </c>
      <c r="B4712" s="1" t="n">
        <v>45667.48127314815</v>
      </c>
      <c r="C4712" s="1" t="n">
        <v>45962</v>
      </c>
      <c r="D4712" t="inlineStr">
        <is>
          <t>JÖNKÖPINGS LÄN</t>
        </is>
      </c>
      <c r="E4712" t="inlineStr">
        <is>
          <t>VÄRNAMO</t>
        </is>
      </c>
      <c r="G4712" t="n">
        <v>1.2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61725-2024</t>
        </is>
      </c>
      <c r="B4713" s="1" t="n">
        <v>45649</v>
      </c>
      <c r="C4713" s="1" t="n">
        <v>45962</v>
      </c>
      <c r="D4713" t="inlineStr">
        <is>
          <t>JÖNKÖPINGS LÄN</t>
        </is>
      </c>
      <c r="E4713" t="inlineStr">
        <is>
          <t>VÄRNAMO</t>
        </is>
      </c>
      <c r="G4713" t="n">
        <v>2.1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49666-2023</t>
        </is>
      </c>
      <c r="B4714" s="1" t="n">
        <v>45212</v>
      </c>
      <c r="C4714" s="1" t="n">
        <v>45962</v>
      </c>
      <c r="D4714" t="inlineStr">
        <is>
          <t>JÖNKÖPINGS LÄN</t>
        </is>
      </c>
      <c r="E4714" t="inlineStr">
        <is>
          <t>NÄSSJÖ</t>
        </is>
      </c>
      <c r="G4714" t="n">
        <v>0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28229-2025</t>
        </is>
      </c>
      <c r="B4715" s="1" t="n">
        <v>45818.48561342592</v>
      </c>
      <c r="C4715" s="1" t="n">
        <v>45962</v>
      </c>
      <c r="D4715" t="inlineStr">
        <is>
          <t>JÖNKÖPINGS LÄN</t>
        </is>
      </c>
      <c r="E4715" t="inlineStr">
        <is>
          <t>VETLANDA</t>
        </is>
      </c>
      <c r="G4715" t="n">
        <v>1.1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28233-2025</t>
        </is>
      </c>
      <c r="B4716" s="1" t="n">
        <v>45818.49046296296</v>
      </c>
      <c r="C4716" s="1" t="n">
        <v>45962</v>
      </c>
      <c r="D4716" t="inlineStr">
        <is>
          <t>JÖNKÖPINGS LÄN</t>
        </is>
      </c>
      <c r="E4716" t="inlineStr">
        <is>
          <t>VETLANDA</t>
        </is>
      </c>
      <c r="G4716" t="n">
        <v>2.6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8594-2025</t>
        </is>
      </c>
      <c r="B4717" s="1" t="n">
        <v>45709.7199537037</v>
      </c>
      <c r="C4717" s="1" t="n">
        <v>45962</v>
      </c>
      <c r="D4717" t="inlineStr">
        <is>
          <t>JÖNKÖPINGS LÄN</t>
        </is>
      </c>
      <c r="E4717" t="inlineStr">
        <is>
          <t>GISLAVED</t>
        </is>
      </c>
      <c r="G4717" t="n">
        <v>0.8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51016-2024</t>
        </is>
      </c>
      <c r="B4718" s="1" t="n">
        <v>45603.40053240741</v>
      </c>
      <c r="C4718" s="1" t="n">
        <v>45962</v>
      </c>
      <c r="D4718" t="inlineStr">
        <is>
          <t>JÖNKÖPINGS LÄN</t>
        </is>
      </c>
      <c r="E4718" t="inlineStr">
        <is>
          <t>HABO</t>
        </is>
      </c>
      <c r="G4718" t="n">
        <v>2.6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2199-2022</t>
        </is>
      </c>
      <c r="B4719" s="1" t="n">
        <v>44578.50461805556</v>
      </c>
      <c r="C4719" s="1" t="n">
        <v>45962</v>
      </c>
      <c r="D4719" t="inlineStr">
        <is>
          <t>JÖNKÖPINGS LÄN</t>
        </is>
      </c>
      <c r="E4719" t="inlineStr">
        <is>
          <t>ANEBY</t>
        </is>
      </c>
      <c r="G4719" t="n">
        <v>1.3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28441-2025</t>
        </is>
      </c>
      <c r="B4720" s="1" t="n">
        <v>45819.39496527778</v>
      </c>
      <c r="C4720" s="1" t="n">
        <v>45962</v>
      </c>
      <c r="D4720" t="inlineStr">
        <is>
          <t>JÖNKÖPINGS LÄN</t>
        </is>
      </c>
      <c r="E4720" t="inlineStr">
        <is>
          <t>EKSJÖ</t>
        </is>
      </c>
      <c r="G4720" t="n">
        <v>0.5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2205-2022</t>
        </is>
      </c>
      <c r="B4721" s="1" t="n">
        <v>44578.52657407407</v>
      </c>
      <c r="C4721" s="1" t="n">
        <v>45962</v>
      </c>
      <c r="D4721" t="inlineStr">
        <is>
          <t>JÖNKÖPINGS LÄN</t>
        </is>
      </c>
      <c r="E4721" t="inlineStr">
        <is>
          <t>JÖNKÖPING</t>
        </is>
      </c>
      <c r="G4721" t="n">
        <v>1.1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7316-2024</t>
        </is>
      </c>
      <c r="B4722" s="1" t="n">
        <v>45345.36196759259</v>
      </c>
      <c r="C4722" s="1" t="n">
        <v>45962</v>
      </c>
      <c r="D4722" t="inlineStr">
        <is>
          <t>JÖNKÖPINGS LÄN</t>
        </is>
      </c>
      <c r="E4722" t="inlineStr">
        <is>
          <t>GNOSJÖ</t>
        </is>
      </c>
      <c r="G4722" t="n">
        <v>1.1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56062-2023</t>
        </is>
      </c>
      <c r="B4723" s="1" t="n">
        <v>45240</v>
      </c>
      <c r="C4723" s="1" t="n">
        <v>45962</v>
      </c>
      <c r="D4723" t="inlineStr">
        <is>
          <t>JÖNKÖPINGS LÄN</t>
        </is>
      </c>
      <c r="E4723" t="inlineStr">
        <is>
          <t>JÖNKÖPING</t>
        </is>
      </c>
      <c r="G4723" t="n">
        <v>13.6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28318-2025</t>
        </is>
      </c>
      <c r="B4724" s="1" t="n">
        <v>45818</v>
      </c>
      <c r="C4724" s="1" t="n">
        <v>45962</v>
      </c>
      <c r="D4724" t="inlineStr">
        <is>
          <t>JÖNKÖPINGS LÄN</t>
        </is>
      </c>
      <c r="E4724" t="inlineStr">
        <is>
          <t>GISLAVED</t>
        </is>
      </c>
      <c r="G4724" t="n">
        <v>1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58171-2020</t>
        </is>
      </c>
      <c r="B4725" s="1" t="n">
        <v>44144</v>
      </c>
      <c r="C4725" s="1" t="n">
        <v>45962</v>
      </c>
      <c r="D4725" t="inlineStr">
        <is>
          <t>JÖNKÖPINGS LÄN</t>
        </is>
      </c>
      <c r="E4725" t="inlineStr">
        <is>
          <t>EKSJÖ</t>
        </is>
      </c>
      <c r="G4725" t="n">
        <v>1.2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44034-2024</t>
        </is>
      </c>
      <c r="B4726" s="1" t="n">
        <v>45572</v>
      </c>
      <c r="C4726" s="1" t="n">
        <v>45962</v>
      </c>
      <c r="D4726" t="inlineStr">
        <is>
          <t>JÖNKÖPINGS LÄN</t>
        </is>
      </c>
      <c r="E4726" t="inlineStr">
        <is>
          <t>VETLANDA</t>
        </is>
      </c>
      <c r="G4726" t="n">
        <v>1.5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28540-2025</t>
        </is>
      </c>
      <c r="B4727" s="1" t="n">
        <v>45819.51636574074</v>
      </c>
      <c r="C4727" s="1" t="n">
        <v>45962</v>
      </c>
      <c r="D4727" t="inlineStr">
        <is>
          <t>JÖNKÖPINGS LÄN</t>
        </is>
      </c>
      <c r="E4727" t="inlineStr">
        <is>
          <t>ANEBY</t>
        </is>
      </c>
      <c r="G4727" t="n">
        <v>1.1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28541-2025</t>
        </is>
      </c>
      <c r="B4728" s="1" t="n">
        <v>45819.51873842593</v>
      </c>
      <c r="C4728" s="1" t="n">
        <v>45962</v>
      </c>
      <c r="D4728" t="inlineStr">
        <is>
          <t>JÖNKÖPINGS LÄN</t>
        </is>
      </c>
      <c r="E4728" t="inlineStr">
        <is>
          <t>ANEBY</t>
        </is>
      </c>
      <c r="G4728" t="n">
        <v>0.8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28276-2025</t>
        </is>
      </c>
      <c r="B4729" s="1" t="n">
        <v>45818.58122685185</v>
      </c>
      <c r="C4729" s="1" t="n">
        <v>45962</v>
      </c>
      <c r="D4729" t="inlineStr">
        <is>
          <t>JÖNKÖPINGS LÄN</t>
        </is>
      </c>
      <c r="E4729" t="inlineStr">
        <is>
          <t>EKSJÖ</t>
        </is>
      </c>
      <c r="F4729" t="inlineStr">
        <is>
          <t>Övriga Aktiebolag</t>
        </is>
      </c>
      <c r="G4729" t="n">
        <v>6.7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40474-2023</t>
        </is>
      </c>
      <c r="B4730" s="1" t="n">
        <v>45170</v>
      </c>
      <c r="C4730" s="1" t="n">
        <v>45962</v>
      </c>
      <c r="D4730" t="inlineStr">
        <is>
          <t>JÖNKÖPINGS LÄN</t>
        </is>
      </c>
      <c r="E4730" t="inlineStr">
        <is>
          <t>VETLANDA</t>
        </is>
      </c>
      <c r="G4730" t="n">
        <v>1.3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28279-2025</t>
        </is>
      </c>
      <c r="B4731" s="1" t="n">
        <v>45818.58465277778</v>
      </c>
      <c r="C4731" s="1" t="n">
        <v>45962</v>
      </c>
      <c r="D4731" t="inlineStr">
        <is>
          <t>JÖNKÖPINGS LÄN</t>
        </is>
      </c>
      <c r="E4731" t="inlineStr">
        <is>
          <t>NÄSSJÖ</t>
        </is>
      </c>
      <c r="G4731" t="n">
        <v>5.7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43055-2023</t>
        </is>
      </c>
      <c r="B4732" s="1" t="n">
        <v>45182.71399305556</v>
      </c>
      <c r="C4732" s="1" t="n">
        <v>45962</v>
      </c>
      <c r="D4732" t="inlineStr">
        <is>
          <t>JÖNKÖPINGS LÄN</t>
        </is>
      </c>
      <c r="E4732" t="inlineStr">
        <is>
          <t>GISLAVED</t>
        </is>
      </c>
      <c r="G4732" t="n">
        <v>0.6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35773-2023</t>
        </is>
      </c>
      <c r="B4733" s="1" t="n">
        <v>45148</v>
      </c>
      <c r="C4733" s="1" t="n">
        <v>45962</v>
      </c>
      <c r="D4733" t="inlineStr">
        <is>
          <t>JÖNKÖPINGS LÄN</t>
        </is>
      </c>
      <c r="E4733" t="inlineStr">
        <is>
          <t>ANEBY</t>
        </is>
      </c>
      <c r="G4733" t="n">
        <v>0.1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46013-2022</t>
        </is>
      </c>
      <c r="B4734" s="1" t="n">
        <v>44846.89910879629</v>
      </c>
      <c r="C4734" s="1" t="n">
        <v>45962</v>
      </c>
      <c r="D4734" t="inlineStr">
        <is>
          <t>JÖNKÖPINGS LÄN</t>
        </is>
      </c>
      <c r="E4734" t="inlineStr">
        <is>
          <t>EKSJÖ</t>
        </is>
      </c>
      <c r="G4734" t="n">
        <v>4.8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46014-2022</t>
        </is>
      </c>
      <c r="B4735" s="1" t="n">
        <v>44846.90166666666</v>
      </c>
      <c r="C4735" s="1" t="n">
        <v>45962</v>
      </c>
      <c r="D4735" t="inlineStr">
        <is>
          <t>JÖNKÖPINGS LÄN</t>
        </is>
      </c>
      <c r="E4735" t="inlineStr">
        <is>
          <t>EKSJÖ</t>
        </is>
      </c>
      <c r="G4735" t="n">
        <v>1.9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63955-2020</t>
        </is>
      </c>
      <c r="B4736" s="1" t="n">
        <v>44167</v>
      </c>
      <c r="C4736" s="1" t="n">
        <v>45962</v>
      </c>
      <c r="D4736" t="inlineStr">
        <is>
          <t>JÖNKÖPINGS LÄN</t>
        </is>
      </c>
      <c r="E4736" t="inlineStr">
        <is>
          <t>EKSJÖ</t>
        </is>
      </c>
      <c r="G4736" t="n">
        <v>3.6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56735-2021</t>
        </is>
      </c>
      <c r="B4737" s="1" t="n">
        <v>44481</v>
      </c>
      <c r="C4737" s="1" t="n">
        <v>45962</v>
      </c>
      <c r="D4737" t="inlineStr">
        <is>
          <t>JÖNKÖPINGS LÄN</t>
        </is>
      </c>
      <c r="E4737" t="inlineStr">
        <is>
          <t>ANEBY</t>
        </is>
      </c>
      <c r="G4737" t="n">
        <v>3.2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29810-2023</t>
        </is>
      </c>
      <c r="B4738" s="1" t="n">
        <v>45107.55028935185</v>
      </c>
      <c r="C4738" s="1" t="n">
        <v>45962</v>
      </c>
      <c r="D4738" t="inlineStr">
        <is>
          <t>JÖNKÖPINGS LÄN</t>
        </is>
      </c>
      <c r="E4738" t="inlineStr">
        <is>
          <t>VETLANDA</t>
        </is>
      </c>
      <c r="G4738" t="n">
        <v>3.5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16876-2024</t>
        </is>
      </c>
      <c r="B4739" s="1" t="n">
        <v>45411</v>
      </c>
      <c r="C4739" s="1" t="n">
        <v>45962</v>
      </c>
      <c r="D4739" t="inlineStr">
        <is>
          <t>JÖNKÖPINGS LÄN</t>
        </is>
      </c>
      <c r="E4739" t="inlineStr">
        <is>
          <t>EKSJÖ</t>
        </is>
      </c>
      <c r="G4739" t="n">
        <v>1.8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45423-2023</t>
        </is>
      </c>
      <c r="B4740" s="1" t="n">
        <v>45194</v>
      </c>
      <c r="C4740" s="1" t="n">
        <v>45962</v>
      </c>
      <c r="D4740" t="inlineStr">
        <is>
          <t>JÖNKÖPINGS LÄN</t>
        </is>
      </c>
      <c r="E4740" t="inlineStr">
        <is>
          <t>VAGGERYD</t>
        </is>
      </c>
      <c r="G4740" t="n">
        <v>3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28110-2025</t>
        </is>
      </c>
      <c r="B4741" s="1" t="n">
        <v>45817.87415509259</v>
      </c>
      <c r="C4741" s="1" t="n">
        <v>45962</v>
      </c>
      <c r="D4741" t="inlineStr">
        <is>
          <t>JÖNKÖPINGS LÄN</t>
        </is>
      </c>
      <c r="E4741" t="inlineStr">
        <is>
          <t>VETLANDA</t>
        </is>
      </c>
      <c r="G4741" t="n">
        <v>1.3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23540-2025</t>
        </is>
      </c>
      <c r="B4742" s="1" t="n">
        <v>45792.55229166667</v>
      </c>
      <c r="C4742" s="1" t="n">
        <v>45962</v>
      </c>
      <c r="D4742" t="inlineStr">
        <is>
          <t>JÖNKÖPINGS LÄN</t>
        </is>
      </c>
      <c r="E4742" t="inlineStr">
        <is>
          <t>VETLANDA</t>
        </is>
      </c>
      <c r="G4742" t="n">
        <v>6.2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10720-2022</t>
        </is>
      </c>
      <c r="B4743" s="1" t="n">
        <v>44626</v>
      </c>
      <c r="C4743" s="1" t="n">
        <v>45962</v>
      </c>
      <c r="D4743" t="inlineStr">
        <is>
          <t>JÖNKÖPINGS LÄN</t>
        </is>
      </c>
      <c r="E4743" t="inlineStr">
        <is>
          <t>JÖNKÖPING</t>
        </is>
      </c>
      <c r="G4743" t="n">
        <v>1.2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1053-2025</t>
        </is>
      </c>
      <c r="B4744" s="1" t="n">
        <v>45666.56546296296</v>
      </c>
      <c r="C4744" s="1" t="n">
        <v>45962</v>
      </c>
      <c r="D4744" t="inlineStr">
        <is>
          <t>JÖNKÖPINGS LÄN</t>
        </is>
      </c>
      <c r="E4744" t="inlineStr">
        <is>
          <t>GISLAVED</t>
        </is>
      </c>
      <c r="G4744" t="n">
        <v>1.6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28631-2025</t>
        </is>
      </c>
      <c r="B4745" s="1" t="n">
        <v>45819.62290509259</v>
      </c>
      <c r="C4745" s="1" t="n">
        <v>45962</v>
      </c>
      <c r="D4745" t="inlineStr">
        <is>
          <t>JÖNKÖPINGS LÄN</t>
        </is>
      </c>
      <c r="E4745" t="inlineStr">
        <is>
          <t>VETLANDA</t>
        </is>
      </c>
      <c r="G4745" t="n">
        <v>1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62264-2022</t>
        </is>
      </c>
      <c r="B4746" s="1" t="n">
        <v>44923.29418981481</v>
      </c>
      <c r="C4746" s="1" t="n">
        <v>45962</v>
      </c>
      <c r="D4746" t="inlineStr">
        <is>
          <t>JÖNKÖPINGS LÄN</t>
        </is>
      </c>
      <c r="E4746" t="inlineStr">
        <is>
          <t>GISLAVED</t>
        </is>
      </c>
      <c r="G4746" t="n">
        <v>1.2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1203-2025</t>
        </is>
      </c>
      <c r="B4747" s="1" t="n">
        <v>45667.39393518519</v>
      </c>
      <c r="C4747" s="1" t="n">
        <v>45962</v>
      </c>
      <c r="D4747" t="inlineStr">
        <is>
          <t>JÖNKÖPINGS LÄN</t>
        </is>
      </c>
      <c r="E4747" t="inlineStr">
        <is>
          <t>EKSJÖ</t>
        </is>
      </c>
      <c r="G4747" t="n">
        <v>0.7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1207-2025</t>
        </is>
      </c>
      <c r="B4748" s="1" t="n">
        <v>45667.39702546296</v>
      </c>
      <c r="C4748" s="1" t="n">
        <v>45962</v>
      </c>
      <c r="D4748" t="inlineStr">
        <is>
          <t>JÖNKÖPINGS LÄN</t>
        </is>
      </c>
      <c r="E4748" t="inlineStr">
        <is>
          <t>EKSJÖ</t>
        </is>
      </c>
      <c r="G4748" t="n">
        <v>1.7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28634-2025</t>
        </is>
      </c>
      <c r="B4749" s="1" t="n">
        <v>45819.63070601852</v>
      </c>
      <c r="C4749" s="1" t="n">
        <v>45962</v>
      </c>
      <c r="D4749" t="inlineStr">
        <is>
          <t>JÖNKÖPINGS LÄN</t>
        </is>
      </c>
      <c r="E4749" t="inlineStr">
        <is>
          <t>VETLANDA</t>
        </is>
      </c>
      <c r="G4749" t="n">
        <v>0.6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52385-2022</t>
        </is>
      </c>
      <c r="B4750" s="1" t="n">
        <v>44869</v>
      </c>
      <c r="C4750" s="1" t="n">
        <v>45962</v>
      </c>
      <c r="D4750" t="inlineStr">
        <is>
          <t>JÖNKÖPINGS LÄN</t>
        </is>
      </c>
      <c r="E4750" t="inlineStr">
        <is>
          <t>MULLSJÖ</t>
        </is>
      </c>
      <c r="G4750" t="n">
        <v>10.9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2293-2025</t>
        </is>
      </c>
      <c r="B4751" s="1" t="n">
        <v>45673.59221064814</v>
      </c>
      <c r="C4751" s="1" t="n">
        <v>45962</v>
      </c>
      <c r="D4751" t="inlineStr">
        <is>
          <t>JÖNKÖPINGS LÄN</t>
        </is>
      </c>
      <c r="E4751" t="inlineStr">
        <is>
          <t>MULLSJÖ</t>
        </is>
      </c>
      <c r="G4751" t="n">
        <v>1.8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2294-2025</t>
        </is>
      </c>
      <c r="B4752" s="1" t="n">
        <v>45673.59290509259</v>
      </c>
      <c r="C4752" s="1" t="n">
        <v>45962</v>
      </c>
      <c r="D4752" t="inlineStr">
        <is>
          <t>JÖNKÖPINGS LÄN</t>
        </is>
      </c>
      <c r="E4752" t="inlineStr">
        <is>
          <t>MULLSJÖ</t>
        </is>
      </c>
      <c r="G4752" t="n">
        <v>2.5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31746-2024</t>
        </is>
      </c>
      <c r="B4753" s="1" t="n">
        <v>45509.41997685185</v>
      </c>
      <c r="C4753" s="1" t="n">
        <v>45962</v>
      </c>
      <c r="D4753" t="inlineStr">
        <is>
          <t>JÖNKÖPINGS LÄN</t>
        </is>
      </c>
      <c r="E4753" t="inlineStr">
        <is>
          <t>VÄRNAMO</t>
        </is>
      </c>
      <c r="G4753" t="n">
        <v>8.1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47569-2024</t>
        </is>
      </c>
      <c r="B4754" s="1" t="n">
        <v>45587</v>
      </c>
      <c r="C4754" s="1" t="n">
        <v>45962</v>
      </c>
      <c r="D4754" t="inlineStr">
        <is>
          <t>JÖNKÖPINGS LÄN</t>
        </is>
      </c>
      <c r="E4754" t="inlineStr">
        <is>
          <t>JÖNKÖPING</t>
        </is>
      </c>
      <c r="G4754" t="n">
        <v>0.6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28534-2025</t>
        </is>
      </c>
      <c r="B4755" s="1" t="n">
        <v>45819.50528935185</v>
      </c>
      <c r="C4755" s="1" t="n">
        <v>45962</v>
      </c>
      <c r="D4755" t="inlineStr">
        <is>
          <t>JÖNKÖPINGS LÄN</t>
        </is>
      </c>
      <c r="E4755" t="inlineStr">
        <is>
          <t>VETLANDA</t>
        </is>
      </c>
      <c r="G4755" t="n">
        <v>0.6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28553-2025</t>
        </is>
      </c>
      <c r="B4756" s="1" t="n">
        <v>45819.53688657407</v>
      </c>
      <c r="C4756" s="1" t="n">
        <v>45962</v>
      </c>
      <c r="D4756" t="inlineStr">
        <is>
          <t>JÖNKÖPINGS LÄN</t>
        </is>
      </c>
      <c r="E4756" t="inlineStr">
        <is>
          <t>JÖNKÖPING</t>
        </is>
      </c>
      <c r="G4756" t="n">
        <v>0.9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7950-2023</t>
        </is>
      </c>
      <c r="B4757" s="1" t="n">
        <v>44973.67125</v>
      </c>
      <c r="C4757" s="1" t="n">
        <v>45962</v>
      </c>
      <c r="D4757" t="inlineStr">
        <is>
          <t>JÖNKÖPINGS LÄN</t>
        </is>
      </c>
      <c r="E4757" t="inlineStr">
        <is>
          <t>TRANÅS</t>
        </is>
      </c>
      <c r="F4757" t="inlineStr">
        <is>
          <t>Kommuner</t>
        </is>
      </c>
      <c r="G4757" t="n">
        <v>0.6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28556-2025</t>
        </is>
      </c>
      <c r="B4758" s="1" t="n">
        <v>45819.53980324074</v>
      </c>
      <c r="C4758" s="1" t="n">
        <v>45962</v>
      </c>
      <c r="D4758" t="inlineStr">
        <is>
          <t>JÖNKÖPINGS LÄN</t>
        </is>
      </c>
      <c r="E4758" t="inlineStr">
        <is>
          <t>JÖNKÖPING</t>
        </is>
      </c>
      <c r="G4758" t="n">
        <v>2.7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28557-2025</t>
        </is>
      </c>
      <c r="B4759" s="1" t="n">
        <v>45819.5429050926</v>
      </c>
      <c r="C4759" s="1" t="n">
        <v>45962</v>
      </c>
      <c r="D4759" t="inlineStr">
        <is>
          <t>JÖNKÖPINGS LÄN</t>
        </is>
      </c>
      <c r="E4759" t="inlineStr">
        <is>
          <t>JÖNKÖPING</t>
        </is>
      </c>
      <c r="G4759" t="n">
        <v>4.2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6635-2024</t>
        </is>
      </c>
      <c r="B4760" s="1" t="n">
        <v>45341.64803240741</v>
      </c>
      <c r="C4760" s="1" t="n">
        <v>45962</v>
      </c>
      <c r="D4760" t="inlineStr">
        <is>
          <t>JÖNKÖPINGS LÄN</t>
        </is>
      </c>
      <c r="E4760" t="inlineStr">
        <is>
          <t>VETLANDA</t>
        </is>
      </c>
      <c r="G4760" t="n">
        <v>3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28685-2025</t>
        </is>
      </c>
      <c r="B4761" s="1" t="n">
        <v>45819.71221064815</v>
      </c>
      <c r="C4761" s="1" t="n">
        <v>45962</v>
      </c>
      <c r="D4761" t="inlineStr">
        <is>
          <t>JÖNKÖPINGS LÄN</t>
        </is>
      </c>
      <c r="E4761" t="inlineStr">
        <is>
          <t>GISLAVED</t>
        </is>
      </c>
      <c r="G4761" t="n">
        <v>2.7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36619-2022</t>
        </is>
      </c>
      <c r="B4762" s="1" t="n">
        <v>44804</v>
      </c>
      <c r="C4762" s="1" t="n">
        <v>45962</v>
      </c>
      <c r="D4762" t="inlineStr">
        <is>
          <t>JÖNKÖPINGS LÄN</t>
        </is>
      </c>
      <c r="E4762" t="inlineStr">
        <is>
          <t>JÖNKÖPING</t>
        </is>
      </c>
      <c r="G4762" t="n">
        <v>0.9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28179-2025</t>
        </is>
      </c>
      <c r="B4763" s="1" t="n">
        <v>45818.39450231481</v>
      </c>
      <c r="C4763" s="1" t="n">
        <v>45962</v>
      </c>
      <c r="D4763" t="inlineStr">
        <is>
          <t>JÖNKÖPINGS LÄN</t>
        </is>
      </c>
      <c r="E4763" t="inlineStr">
        <is>
          <t>GISLAVED</t>
        </is>
      </c>
      <c r="F4763" t="inlineStr">
        <is>
          <t>Kommuner</t>
        </is>
      </c>
      <c r="G4763" t="n">
        <v>1.8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28271-2025</t>
        </is>
      </c>
      <c r="B4764" s="1" t="n">
        <v>45818.57579861111</v>
      </c>
      <c r="C4764" s="1" t="n">
        <v>45962</v>
      </c>
      <c r="D4764" t="inlineStr">
        <is>
          <t>JÖNKÖPINGS LÄN</t>
        </is>
      </c>
      <c r="E4764" t="inlineStr">
        <is>
          <t>NÄSSJÖ</t>
        </is>
      </c>
      <c r="G4764" t="n">
        <v>5.6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44585-2024</t>
        </is>
      </c>
      <c r="B4765" s="1" t="n">
        <v>45574.4961574074</v>
      </c>
      <c r="C4765" s="1" t="n">
        <v>45962</v>
      </c>
      <c r="D4765" t="inlineStr">
        <is>
          <t>JÖNKÖPINGS LÄN</t>
        </is>
      </c>
      <c r="E4765" t="inlineStr">
        <is>
          <t>EKSJÖ</t>
        </is>
      </c>
      <c r="F4765" t="inlineStr">
        <is>
          <t>Sveaskog</t>
        </is>
      </c>
      <c r="G4765" t="n">
        <v>1.5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47643-2023</t>
        </is>
      </c>
      <c r="B4766" s="1" t="n">
        <v>45203.54998842593</v>
      </c>
      <c r="C4766" s="1" t="n">
        <v>45962</v>
      </c>
      <c r="D4766" t="inlineStr">
        <is>
          <t>JÖNKÖPINGS LÄN</t>
        </is>
      </c>
      <c r="E4766" t="inlineStr">
        <is>
          <t>VÄRNAMO</t>
        </is>
      </c>
      <c r="G4766" t="n">
        <v>0.9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28465-2025</t>
        </is>
      </c>
      <c r="B4767" s="1" t="n">
        <v>45819.4267824074</v>
      </c>
      <c r="C4767" s="1" t="n">
        <v>45962</v>
      </c>
      <c r="D4767" t="inlineStr">
        <is>
          <t>JÖNKÖPINGS LÄN</t>
        </is>
      </c>
      <c r="E4767" t="inlineStr">
        <is>
          <t>EKSJÖ</t>
        </is>
      </c>
      <c r="G4767" t="n">
        <v>1.4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28523-2025</t>
        </is>
      </c>
      <c r="B4768" s="1" t="n">
        <v>45819.49122685185</v>
      </c>
      <c r="C4768" s="1" t="n">
        <v>45962</v>
      </c>
      <c r="D4768" t="inlineStr">
        <is>
          <t>JÖNKÖPINGS LÄN</t>
        </is>
      </c>
      <c r="E4768" t="inlineStr">
        <is>
          <t>VÄRNAMO</t>
        </is>
      </c>
      <c r="G4768" t="n">
        <v>3.4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26210-2024</t>
        </is>
      </c>
      <c r="B4769" s="1" t="n">
        <v>45468.5937962963</v>
      </c>
      <c r="C4769" s="1" t="n">
        <v>45962</v>
      </c>
      <c r="D4769" t="inlineStr">
        <is>
          <t>JÖNKÖPINGS LÄN</t>
        </is>
      </c>
      <c r="E4769" t="inlineStr">
        <is>
          <t>GNOSJÖ</t>
        </is>
      </c>
      <c r="G4769" t="n">
        <v>1.3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26222-2024</t>
        </is>
      </c>
      <c r="B4770" s="1" t="n">
        <v>45468.603125</v>
      </c>
      <c r="C4770" s="1" t="n">
        <v>45962</v>
      </c>
      <c r="D4770" t="inlineStr">
        <is>
          <t>JÖNKÖPINGS LÄN</t>
        </is>
      </c>
      <c r="E4770" t="inlineStr">
        <is>
          <t>EKSJÖ</t>
        </is>
      </c>
      <c r="G4770" t="n">
        <v>7.5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28094-2025</t>
        </is>
      </c>
      <c r="B4771" s="1" t="n">
        <v>45817.79064814815</v>
      </c>
      <c r="C4771" s="1" t="n">
        <v>45962</v>
      </c>
      <c r="D4771" t="inlineStr">
        <is>
          <t>JÖNKÖPINGS LÄN</t>
        </is>
      </c>
      <c r="E4771" t="inlineStr">
        <is>
          <t>VETLANDA</t>
        </is>
      </c>
      <c r="G4771" t="n">
        <v>1.9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26236-2024</t>
        </is>
      </c>
      <c r="B4772" s="1" t="n">
        <v>45468.62662037037</v>
      </c>
      <c r="C4772" s="1" t="n">
        <v>45962</v>
      </c>
      <c r="D4772" t="inlineStr">
        <is>
          <t>JÖNKÖPINGS LÄN</t>
        </is>
      </c>
      <c r="E4772" t="inlineStr">
        <is>
          <t>ANEBY</t>
        </is>
      </c>
      <c r="G4772" t="n">
        <v>2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1915-2025</t>
        </is>
      </c>
      <c r="B4773" s="1" t="n">
        <v>45671.66295138889</v>
      </c>
      <c r="C4773" s="1" t="n">
        <v>45962</v>
      </c>
      <c r="D4773" t="inlineStr">
        <is>
          <t>JÖNKÖPINGS LÄN</t>
        </is>
      </c>
      <c r="E4773" t="inlineStr">
        <is>
          <t>HABO</t>
        </is>
      </c>
      <c r="G4773" t="n">
        <v>2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16244-2025</t>
        </is>
      </c>
      <c r="B4774" s="1" t="n">
        <v>45749</v>
      </c>
      <c r="C4774" s="1" t="n">
        <v>45962</v>
      </c>
      <c r="D4774" t="inlineStr">
        <is>
          <t>JÖNKÖPINGS LÄN</t>
        </is>
      </c>
      <c r="E4774" t="inlineStr">
        <is>
          <t>GNOSJÖ</t>
        </is>
      </c>
      <c r="F4774" t="inlineStr">
        <is>
          <t>Kyrkan</t>
        </is>
      </c>
      <c r="G4774" t="n">
        <v>2.3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1916-2025</t>
        </is>
      </c>
      <c r="B4775" s="1" t="n">
        <v>45671</v>
      </c>
      <c r="C4775" s="1" t="n">
        <v>45962</v>
      </c>
      <c r="D4775" t="inlineStr">
        <is>
          <t>JÖNKÖPINGS LÄN</t>
        </is>
      </c>
      <c r="E4775" t="inlineStr">
        <is>
          <t>SÄVSJÖ</t>
        </is>
      </c>
      <c r="G4775" t="n">
        <v>1.1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56145-2022</t>
        </is>
      </c>
      <c r="B4776" s="1" t="n">
        <v>44889</v>
      </c>
      <c r="C4776" s="1" t="n">
        <v>45962</v>
      </c>
      <c r="D4776" t="inlineStr">
        <is>
          <t>JÖNKÖPINGS LÄN</t>
        </is>
      </c>
      <c r="E4776" t="inlineStr">
        <is>
          <t>MULLSJÖ</t>
        </is>
      </c>
      <c r="G4776" t="n">
        <v>14.1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28235-2025</t>
        </is>
      </c>
      <c r="B4777" s="1" t="n">
        <v>45818.49392361111</v>
      </c>
      <c r="C4777" s="1" t="n">
        <v>45962</v>
      </c>
      <c r="D4777" t="inlineStr">
        <is>
          <t>JÖNKÖPINGS LÄN</t>
        </is>
      </c>
      <c r="E4777" t="inlineStr">
        <is>
          <t>VETLANDA</t>
        </is>
      </c>
      <c r="G4777" t="n">
        <v>1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46127-2024</t>
        </is>
      </c>
      <c r="B4778" s="1" t="n">
        <v>45581.42474537037</v>
      </c>
      <c r="C4778" s="1" t="n">
        <v>45962</v>
      </c>
      <c r="D4778" t="inlineStr">
        <is>
          <t>JÖNKÖPINGS LÄN</t>
        </is>
      </c>
      <c r="E4778" t="inlineStr">
        <is>
          <t>TRANÅS</t>
        </is>
      </c>
      <c r="G4778" t="n">
        <v>1.1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28126-2023</t>
        </is>
      </c>
      <c r="B4779" s="1" t="n">
        <v>45099</v>
      </c>
      <c r="C4779" s="1" t="n">
        <v>45962</v>
      </c>
      <c r="D4779" t="inlineStr">
        <is>
          <t>JÖNKÖPINGS LÄN</t>
        </is>
      </c>
      <c r="E4779" t="inlineStr">
        <is>
          <t>VETLANDA</t>
        </is>
      </c>
      <c r="G4779" t="n">
        <v>0.8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33220-2023</t>
        </is>
      </c>
      <c r="B4780" s="1" t="n">
        <v>45127.46615740741</v>
      </c>
      <c r="C4780" s="1" t="n">
        <v>45962</v>
      </c>
      <c r="D4780" t="inlineStr">
        <is>
          <t>JÖNKÖPINGS LÄN</t>
        </is>
      </c>
      <c r="E4780" t="inlineStr">
        <is>
          <t>SÄVSJÖ</t>
        </is>
      </c>
      <c r="G4780" t="n">
        <v>1.5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28131-2023</t>
        </is>
      </c>
      <c r="B4781" s="1" t="n">
        <v>45099</v>
      </c>
      <c r="C4781" s="1" t="n">
        <v>45962</v>
      </c>
      <c r="D4781" t="inlineStr">
        <is>
          <t>JÖNKÖPINGS LÄN</t>
        </is>
      </c>
      <c r="E4781" t="inlineStr">
        <is>
          <t>HABO</t>
        </is>
      </c>
      <c r="G4781" t="n">
        <v>1.7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28139-2023</t>
        </is>
      </c>
      <c r="B4782" s="1" t="n">
        <v>45099.48325231481</v>
      </c>
      <c r="C4782" s="1" t="n">
        <v>45962</v>
      </c>
      <c r="D4782" t="inlineStr">
        <is>
          <t>JÖNKÖPINGS LÄN</t>
        </is>
      </c>
      <c r="E4782" t="inlineStr">
        <is>
          <t>TRANÅS</t>
        </is>
      </c>
      <c r="G4782" t="n">
        <v>0.5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28140-2023</t>
        </is>
      </c>
      <c r="B4783" s="1" t="n">
        <v>45099</v>
      </c>
      <c r="C4783" s="1" t="n">
        <v>45962</v>
      </c>
      <c r="D4783" t="inlineStr">
        <is>
          <t>JÖNKÖPINGS LÄN</t>
        </is>
      </c>
      <c r="E4783" t="inlineStr">
        <is>
          <t>HABO</t>
        </is>
      </c>
      <c r="G4783" t="n">
        <v>3.4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28526-2025</t>
        </is>
      </c>
      <c r="B4784" s="1" t="n">
        <v>45819.49506944444</v>
      </c>
      <c r="C4784" s="1" t="n">
        <v>45962</v>
      </c>
      <c r="D4784" t="inlineStr">
        <is>
          <t>JÖNKÖPINGS LÄN</t>
        </is>
      </c>
      <c r="E4784" t="inlineStr">
        <is>
          <t>VETLANDA</t>
        </is>
      </c>
      <c r="G4784" t="n">
        <v>0.6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7625-2024</t>
        </is>
      </c>
      <c r="B4785" s="1" t="n">
        <v>45348.60625</v>
      </c>
      <c r="C4785" s="1" t="n">
        <v>45962</v>
      </c>
      <c r="D4785" t="inlineStr">
        <is>
          <t>JÖNKÖPINGS LÄN</t>
        </is>
      </c>
      <c r="E4785" t="inlineStr">
        <is>
          <t>VETLANDA</t>
        </is>
      </c>
      <c r="G4785" t="n">
        <v>0.4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15832-2025</t>
        </is>
      </c>
      <c r="B4786" s="1" t="n">
        <v>45748.85103009259</v>
      </c>
      <c r="C4786" s="1" t="n">
        <v>45962</v>
      </c>
      <c r="D4786" t="inlineStr">
        <is>
          <t>JÖNKÖPINGS LÄN</t>
        </is>
      </c>
      <c r="E4786" t="inlineStr">
        <is>
          <t>GISLAVED</t>
        </is>
      </c>
      <c r="G4786" t="n">
        <v>2.9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16595-2025</t>
        </is>
      </c>
      <c r="B4787" s="1" t="n">
        <v>45753.41890046297</v>
      </c>
      <c r="C4787" s="1" t="n">
        <v>45962</v>
      </c>
      <c r="D4787" t="inlineStr">
        <is>
          <t>JÖNKÖPINGS LÄN</t>
        </is>
      </c>
      <c r="E4787" t="inlineStr">
        <is>
          <t>GISLAVED</t>
        </is>
      </c>
      <c r="G4787" t="n">
        <v>2.4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44677-2022</t>
        </is>
      </c>
      <c r="B4788" s="1" t="n">
        <v>44840</v>
      </c>
      <c r="C4788" s="1" t="n">
        <v>45962</v>
      </c>
      <c r="D4788" t="inlineStr">
        <is>
          <t>JÖNKÖPINGS LÄN</t>
        </is>
      </c>
      <c r="E4788" t="inlineStr">
        <is>
          <t>VÄRNAMO</t>
        </is>
      </c>
      <c r="G4788" t="n">
        <v>1.2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26774-2024</t>
        </is>
      </c>
      <c r="B4789" s="1" t="n">
        <v>45469</v>
      </c>
      <c r="C4789" s="1" t="n">
        <v>45962</v>
      </c>
      <c r="D4789" t="inlineStr">
        <is>
          <t>JÖNKÖPINGS LÄN</t>
        </is>
      </c>
      <c r="E4789" t="inlineStr">
        <is>
          <t>HABO</t>
        </is>
      </c>
      <c r="G4789" t="n">
        <v>0.6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9541-2024</t>
        </is>
      </c>
      <c r="B4790" s="1" t="n">
        <v>45359</v>
      </c>
      <c r="C4790" s="1" t="n">
        <v>45962</v>
      </c>
      <c r="D4790" t="inlineStr">
        <is>
          <t>JÖNKÖPINGS LÄN</t>
        </is>
      </c>
      <c r="E4790" t="inlineStr">
        <is>
          <t>ANEBY</t>
        </is>
      </c>
      <c r="G4790" t="n">
        <v>5.5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34498-2024</t>
        </is>
      </c>
      <c r="B4791" s="1" t="n">
        <v>45525.63314814815</v>
      </c>
      <c r="C4791" s="1" t="n">
        <v>45962</v>
      </c>
      <c r="D4791" t="inlineStr">
        <is>
          <t>JÖNKÖPINGS LÄN</t>
        </is>
      </c>
      <c r="E4791" t="inlineStr">
        <is>
          <t>VETLANDA</t>
        </is>
      </c>
      <c r="G4791" t="n">
        <v>6.4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10701-2025</t>
        </is>
      </c>
      <c r="B4792" s="1" t="n">
        <v>45722.31850694444</v>
      </c>
      <c r="C4792" s="1" t="n">
        <v>45962</v>
      </c>
      <c r="D4792" t="inlineStr">
        <is>
          <t>JÖNKÖPINGS LÄN</t>
        </is>
      </c>
      <c r="E4792" t="inlineStr">
        <is>
          <t>VÄRNAMO</t>
        </is>
      </c>
      <c r="G4792" t="n">
        <v>1.7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61580-2024</t>
        </is>
      </c>
      <c r="B4793" s="1" t="n">
        <v>45646</v>
      </c>
      <c r="C4793" s="1" t="n">
        <v>45962</v>
      </c>
      <c r="D4793" t="inlineStr">
        <is>
          <t>JÖNKÖPINGS LÄN</t>
        </is>
      </c>
      <c r="E4793" t="inlineStr">
        <is>
          <t>HABO</t>
        </is>
      </c>
      <c r="G4793" t="n">
        <v>2.1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13906-2023</t>
        </is>
      </c>
      <c r="B4794" s="1" t="n">
        <v>45008.34104166667</v>
      </c>
      <c r="C4794" s="1" t="n">
        <v>45962</v>
      </c>
      <c r="D4794" t="inlineStr">
        <is>
          <t>JÖNKÖPINGS LÄN</t>
        </is>
      </c>
      <c r="E4794" t="inlineStr">
        <is>
          <t>EKSJÖ</t>
        </is>
      </c>
      <c r="G4794" t="n">
        <v>0.8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18729-2023</t>
        </is>
      </c>
      <c r="B4795" s="1" t="n">
        <v>45043.67869212963</v>
      </c>
      <c r="C4795" s="1" t="n">
        <v>45962</v>
      </c>
      <c r="D4795" t="inlineStr">
        <is>
          <t>JÖNKÖPINGS LÄN</t>
        </is>
      </c>
      <c r="E4795" t="inlineStr">
        <is>
          <t>JÖNKÖPING</t>
        </is>
      </c>
      <c r="G4795" t="n">
        <v>0.7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57567-2023</t>
        </is>
      </c>
      <c r="B4796" s="1" t="n">
        <v>45246.50074074074</v>
      </c>
      <c r="C4796" s="1" t="n">
        <v>45962</v>
      </c>
      <c r="D4796" t="inlineStr">
        <is>
          <t>JÖNKÖPINGS LÄN</t>
        </is>
      </c>
      <c r="E4796" t="inlineStr">
        <is>
          <t>JÖNKÖPING</t>
        </is>
      </c>
      <c r="F4796" t="inlineStr">
        <is>
          <t>Kyrkan</t>
        </is>
      </c>
      <c r="G4796" t="n">
        <v>7.6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21250-2023</t>
        </is>
      </c>
      <c r="B4797" s="1" t="n">
        <v>45058</v>
      </c>
      <c r="C4797" s="1" t="n">
        <v>45962</v>
      </c>
      <c r="D4797" t="inlineStr">
        <is>
          <t>JÖNKÖPINGS LÄN</t>
        </is>
      </c>
      <c r="E4797" t="inlineStr">
        <is>
          <t>JÖNKÖPING</t>
        </is>
      </c>
      <c r="G4797" t="n">
        <v>0.7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47293-2023</t>
        </is>
      </c>
      <c r="B4798" s="1" t="n">
        <v>45202.47221064815</v>
      </c>
      <c r="C4798" s="1" t="n">
        <v>45962</v>
      </c>
      <c r="D4798" t="inlineStr">
        <is>
          <t>JÖNKÖPINGS LÄN</t>
        </is>
      </c>
      <c r="E4798" t="inlineStr">
        <is>
          <t>ANEBY</t>
        </is>
      </c>
      <c r="F4798" t="inlineStr">
        <is>
          <t>Sveaskog</t>
        </is>
      </c>
      <c r="G4798" t="n">
        <v>2.9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28810-2025</t>
        </is>
      </c>
      <c r="B4799" s="1" t="n">
        <v>45820.52103009259</v>
      </c>
      <c r="C4799" s="1" t="n">
        <v>45962</v>
      </c>
      <c r="D4799" t="inlineStr">
        <is>
          <t>JÖNKÖPINGS LÄN</t>
        </is>
      </c>
      <c r="E4799" t="inlineStr">
        <is>
          <t>GISLAVED</t>
        </is>
      </c>
      <c r="G4799" t="n">
        <v>1.3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28890-2025</t>
        </is>
      </c>
      <c r="B4800" s="1" t="n">
        <v>45820</v>
      </c>
      <c r="C4800" s="1" t="n">
        <v>45962</v>
      </c>
      <c r="D4800" t="inlineStr">
        <is>
          <t>JÖNKÖPINGS LÄN</t>
        </is>
      </c>
      <c r="E4800" t="inlineStr">
        <is>
          <t>VÄRNAMO</t>
        </is>
      </c>
      <c r="F4800" t="inlineStr">
        <is>
          <t>Kyrkan</t>
        </is>
      </c>
      <c r="G4800" t="n">
        <v>4.9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57656-2024</t>
        </is>
      </c>
      <c r="B4801" s="1" t="n">
        <v>45630.59774305556</v>
      </c>
      <c r="C4801" s="1" t="n">
        <v>45962</v>
      </c>
      <c r="D4801" t="inlineStr">
        <is>
          <t>JÖNKÖPINGS LÄN</t>
        </is>
      </c>
      <c r="E4801" t="inlineStr">
        <is>
          <t>GISLAVED</t>
        </is>
      </c>
      <c r="G4801" t="n">
        <v>1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61256-2024</t>
        </is>
      </c>
      <c r="B4802" s="1" t="n">
        <v>45645.70953703704</v>
      </c>
      <c r="C4802" s="1" t="n">
        <v>45962</v>
      </c>
      <c r="D4802" t="inlineStr">
        <is>
          <t>JÖNKÖPINGS LÄN</t>
        </is>
      </c>
      <c r="E4802" t="inlineStr">
        <is>
          <t>VETLANDA</t>
        </is>
      </c>
      <c r="G4802" t="n">
        <v>0.6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57712-2024</t>
        </is>
      </c>
      <c r="B4803" s="1" t="n">
        <v>45630.69020833333</v>
      </c>
      <c r="C4803" s="1" t="n">
        <v>45962</v>
      </c>
      <c r="D4803" t="inlineStr">
        <is>
          <t>JÖNKÖPINGS LÄN</t>
        </is>
      </c>
      <c r="E4803" t="inlineStr">
        <is>
          <t>VAGGERYD</t>
        </is>
      </c>
      <c r="G4803" t="n">
        <v>1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28747-2025</t>
        </is>
      </c>
      <c r="B4804" s="1" t="n">
        <v>45820.39466435185</v>
      </c>
      <c r="C4804" s="1" t="n">
        <v>45962</v>
      </c>
      <c r="D4804" t="inlineStr">
        <is>
          <t>JÖNKÖPINGS LÄN</t>
        </is>
      </c>
      <c r="E4804" t="inlineStr">
        <is>
          <t>VETLANDA</t>
        </is>
      </c>
      <c r="F4804" t="inlineStr">
        <is>
          <t>Övriga Aktiebolag</t>
        </is>
      </c>
      <c r="G4804" t="n">
        <v>0.5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15819-2022</t>
        </is>
      </c>
      <c r="B4805" s="1" t="n">
        <v>44664</v>
      </c>
      <c r="C4805" s="1" t="n">
        <v>45962</v>
      </c>
      <c r="D4805" t="inlineStr">
        <is>
          <t>JÖNKÖPINGS LÄN</t>
        </is>
      </c>
      <c r="E4805" t="inlineStr">
        <is>
          <t>NÄSSJÖ</t>
        </is>
      </c>
      <c r="G4805" t="n">
        <v>1.6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50552-2023</t>
        </is>
      </c>
      <c r="B4806" s="1" t="n">
        <v>45210</v>
      </c>
      <c r="C4806" s="1" t="n">
        <v>45962</v>
      </c>
      <c r="D4806" t="inlineStr">
        <is>
          <t>JÖNKÖPINGS LÄN</t>
        </is>
      </c>
      <c r="E4806" t="inlineStr">
        <is>
          <t>NÄSSJÖ</t>
        </is>
      </c>
      <c r="G4806" t="n">
        <v>0.5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61177-2021</t>
        </is>
      </c>
      <c r="B4807" s="1" t="n">
        <v>44498</v>
      </c>
      <c r="C4807" s="1" t="n">
        <v>45962</v>
      </c>
      <c r="D4807" t="inlineStr">
        <is>
          <t>JÖNKÖPINGS LÄN</t>
        </is>
      </c>
      <c r="E4807" t="inlineStr">
        <is>
          <t>GISLAVED</t>
        </is>
      </c>
      <c r="G4807" t="n">
        <v>1.9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31776-2024</t>
        </is>
      </c>
      <c r="B4808" s="1" t="n">
        <v>45509.48142361111</v>
      </c>
      <c r="C4808" s="1" t="n">
        <v>45962</v>
      </c>
      <c r="D4808" t="inlineStr">
        <is>
          <t>JÖNKÖPINGS LÄN</t>
        </is>
      </c>
      <c r="E4808" t="inlineStr">
        <is>
          <t>GISLAVED</t>
        </is>
      </c>
      <c r="G4808" t="n">
        <v>1.8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26932-2025</t>
        </is>
      </c>
      <c r="B4809" s="1" t="n">
        <v>45811</v>
      </c>
      <c r="C4809" s="1" t="n">
        <v>45962</v>
      </c>
      <c r="D4809" t="inlineStr">
        <is>
          <t>JÖNKÖPINGS LÄN</t>
        </is>
      </c>
      <c r="E4809" t="inlineStr">
        <is>
          <t>HABO</t>
        </is>
      </c>
      <c r="G4809" t="n">
        <v>1.7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3121-2025</t>
        </is>
      </c>
      <c r="B4810" s="1" t="n">
        <v>45678.72246527778</v>
      </c>
      <c r="C4810" s="1" t="n">
        <v>45962</v>
      </c>
      <c r="D4810" t="inlineStr">
        <is>
          <t>JÖNKÖPINGS LÄN</t>
        </is>
      </c>
      <c r="E4810" t="inlineStr">
        <is>
          <t>TRANÅS</t>
        </is>
      </c>
      <c r="F4810" t="inlineStr">
        <is>
          <t>Allmännings- och besparingsskogar</t>
        </is>
      </c>
      <c r="G4810" t="n">
        <v>6.1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28940-2025</t>
        </is>
      </c>
      <c r="B4811" s="1" t="n">
        <v>45820</v>
      </c>
      <c r="C4811" s="1" t="n">
        <v>45962</v>
      </c>
      <c r="D4811" t="inlineStr">
        <is>
          <t>JÖNKÖPINGS LÄN</t>
        </is>
      </c>
      <c r="E4811" t="inlineStr">
        <is>
          <t>MULLSJÖ</t>
        </is>
      </c>
      <c r="G4811" t="n">
        <v>7.7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28941-2025</t>
        </is>
      </c>
      <c r="B4812" s="1" t="n">
        <v>45820</v>
      </c>
      <c r="C4812" s="1" t="n">
        <v>45962</v>
      </c>
      <c r="D4812" t="inlineStr">
        <is>
          <t>JÖNKÖPINGS LÄN</t>
        </is>
      </c>
      <c r="E4812" t="inlineStr">
        <is>
          <t>MULLSJÖ</t>
        </is>
      </c>
      <c r="G4812" t="n">
        <v>2.9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28942-2025</t>
        </is>
      </c>
      <c r="B4813" s="1" t="n">
        <v>45820</v>
      </c>
      <c r="C4813" s="1" t="n">
        <v>45962</v>
      </c>
      <c r="D4813" t="inlineStr">
        <is>
          <t>JÖNKÖPINGS LÄN</t>
        </is>
      </c>
      <c r="E4813" t="inlineStr">
        <is>
          <t>MULLSJÖ</t>
        </is>
      </c>
      <c r="G4813" t="n">
        <v>4.7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3171-2025</t>
        </is>
      </c>
      <c r="B4814" s="1" t="n">
        <v>45679.36950231482</v>
      </c>
      <c r="C4814" s="1" t="n">
        <v>45962</v>
      </c>
      <c r="D4814" t="inlineStr">
        <is>
          <t>JÖNKÖPINGS LÄN</t>
        </is>
      </c>
      <c r="E4814" t="inlineStr">
        <is>
          <t>JÖNKÖPING</t>
        </is>
      </c>
      <c r="G4814" t="n">
        <v>2.6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63523-2020</t>
        </is>
      </c>
      <c r="B4815" s="1" t="n">
        <v>44165.67075231481</v>
      </c>
      <c r="C4815" s="1" t="n">
        <v>45962</v>
      </c>
      <c r="D4815" t="inlineStr">
        <is>
          <t>JÖNKÖPINGS LÄN</t>
        </is>
      </c>
      <c r="E4815" t="inlineStr">
        <is>
          <t>HABO</t>
        </is>
      </c>
      <c r="G4815" t="n">
        <v>3.4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3633-2025</t>
        </is>
      </c>
      <c r="B4816" s="1" t="n">
        <v>45681.37493055555</v>
      </c>
      <c r="C4816" s="1" t="n">
        <v>45962</v>
      </c>
      <c r="D4816" t="inlineStr">
        <is>
          <t>JÖNKÖPINGS LÄN</t>
        </is>
      </c>
      <c r="E4816" t="inlineStr">
        <is>
          <t>VETLANDA</t>
        </is>
      </c>
      <c r="G4816" t="n">
        <v>0.7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3640-2025</t>
        </is>
      </c>
      <c r="B4817" s="1" t="n">
        <v>45681.38584490741</v>
      </c>
      <c r="C4817" s="1" t="n">
        <v>45962</v>
      </c>
      <c r="D4817" t="inlineStr">
        <is>
          <t>JÖNKÖPINGS LÄN</t>
        </is>
      </c>
      <c r="E4817" t="inlineStr">
        <is>
          <t>SÄVSJÖ</t>
        </is>
      </c>
      <c r="G4817" t="n">
        <v>2.7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3177-2025</t>
        </is>
      </c>
      <c r="B4818" s="1" t="n">
        <v>45679</v>
      </c>
      <c r="C4818" s="1" t="n">
        <v>45962</v>
      </c>
      <c r="D4818" t="inlineStr">
        <is>
          <t>JÖNKÖPINGS LÄN</t>
        </is>
      </c>
      <c r="E4818" t="inlineStr">
        <is>
          <t>SÄVSJÖ</t>
        </is>
      </c>
      <c r="G4818" t="n">
        <v>0.6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48894-2024</t>
        </is>
      </c>
      <c r="B4819" s="1" t="n">
        <v>45594.34311342592</v>
      </c>
      <c r="C4819" s="1" t="n">
        <v>45962</v>
      </c>
      <c r="D4819" t="inlineStr">
        <is>
          <t>JÖNKÖPINGS LÄN</t>
        </is>
      </c>
      <c r="E4819" t="inlineStr">
        <is>
          <t>HABO</t>
        </is>
      </c>
      <c r="G4819" t="n">
        <v>1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43713-2023</t>
        </is>
      </c>
      <c r="B4820" s="1" t="n">
        <v>45187</v>
      </c>
      <c r="C4820" s="1" t="n">
        <v>45962</v>
      </c>
      <c r="D4820" t="inlineStr">
        <is>
          <t>JÖNKÖPINGS LÄN</t>
        </is>
      </c>
      <c r="E4820" t="inlineStr">
        <is>
          <t>GISLAVED</t>
        </is>
      </c>
      <c r="G4820" t="n">
        <v>0.8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22456-2022</t>
        </is>
      </c>
      <c r="B4821" s="1" t="n">
        <v>44713.5634375</v>
      </c>
      <c r="C4821" s="1" t="n">
        <v>45962</v>
      </c>
      <c r="D4821" t="inlineStr">
        <is>
          <t>JÖNKÖPINGS LÄN</t>
        </is>
      </c>
      <c r="E4821" t="inlineStr">
        <is>
          <t>EKSJÖ</t>
        </is>
      </c>
      <c r="F4821" t="inlineStr">
        <is>
          <t>Kyrkan</t>
        </is>
      </c>
      <c r="G4821" t="n">
        <v>2.5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3433-2025</t>
        </is>
      </c>
      <c r="B4822" s="1" t="n">
        <v>45680.43269675926</v>
      </c>
      <c r="C4822" s="1" t="n">
        <v>45962</v>
      </c>
      <c r="D4822" t="inlineStr">
        <is>
          <t>JÖNKÖPINGS LÄN</t>
        </is>
      </c>
      <c r="E4822" t="inlineStr">
        <is>
          <t>SÄVSJÖ</t>
        </is>
      </c>
      <c r="G4822" t="n">
        <v>5.7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58541-2022</t>
        </is>
      </c>
      <c r="B4823" s="1" t="n">
        <v>44902</v>
      </c>
      <c r="C4823" s="1" t="n">
        <v>45962</v>
      </c>
      <c r="D4823" t="inlineStr">
        <is>
          <t>JÖNKÖPINGS LÄN</t>
        </is>
      </c>
      <c r="E4823" t="inlineStr">
        <is>
          <t>NÄSSJÖ</t>
        </is>
      </c>
      <c r="G4823" t="n">
        <v>1.2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1916-2024</t>
        </is>
      </c>
      <c r="B4824" s="1" t="n">
        <v>45308.41804398148</v>
      </c>
      <c r="C4824" s="1" t="n">
        <v>45962</v>
      </c>
      <c r="D4824" t="inlineStr">
        <is>
          <t>JÖNKÖPINGS LÄN</t>
        </is>
      </c>
      <c r="E4824" t="inlineStr">
        <is>
          <t>VÄRNAMO</t>
        </is>
      </c>
      <c r="G4824" t="n">
        <v>2.7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1919-2024</t>
        </is>
      </c>
      <c r="B4825" s="1" t="n">
        <v>45308.42202546296</v>
      </c>
      <c r="C4825" s="1" t="n">
        <v>45962</v>
      </c>
      <c r="D4825" t="inlineStr">
        <is>
          <t>JÖNKÖPINGS LÄN</t>
        </is>
      </c>
      <c r="E4825" t="inlineStr">
        <is>
          <t>EKSJÖ</t>
        </is>
      </c>
      <c r="G4825" t="n">
        <v>1.4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38742-2024</t>
        </is>
      </c>
      <c r="B4826" s="1" t="n">
        <v>45547.42313657407</v>
      </c>
      <c r="C4826" s="1" t="n">
        <v>45962</v>
      </c>
      <c r="D4826" t="inlineStr">
        <is>
          <t>JÖNKÖPINGS LÄN</t>
        </is>
      </c>
      <c r="E4826" t="inlineStr">
        <is>
          <t>JÖNKÖPING</t>
        </is>
      </c>
      <c r="F4826" t="inlineStr">
        <is>
          <t>Sveaskog</t>
        </is>
      </c>
      <c r="G4826" t="n">
        <v>0.8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41357-2023</t>
        </is>
      </c>
      <c r="B4827" s="1" t="n">
        <v>45174</v>
      </c>
      <c r="C4827" s="1" t="n">
        <v>45962</v>
      </c>
      <c r="D4827" t="inlineStr">
        <is>
          <t>JÖNKÖPINGS LÄN</t>
        </is>
      </c>
      <c r="E4827" t="inlineStr">
        <is>
          <t>GNOSJÖ</t>
        </is>
      </c>
      <c r="G4827" t="n">
        <v>4.1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66544-2021</t>
        </is>
      </c>
      <c r="B4828" s="1" t="n">
        <v>44519</v>
      </c>
      <c r="C4828" s="1" t="n">
        <v>45962</v>
      </c>
      <c r="D4828" t="inlineStr">
        <is>
          <t>JÖNKÖPINGS LÄN</t>
        </is>
      </c>
      <c r="E4828" t="inlineStr">
        <is>
          <t>GISLAVED</t>
        </is>
      </c>
      <c r="F4828" t="inlineStr">
        <is>
          <t>Kommuner</t>
        </is>
      </c>
      <c r="G4828" t="n">
        <v>1.1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30872-2023</t>
        </is>
      </c>
      <c r="B4829" s="1" t="n">
        <v>45113.31806712963</v>
      </c>
      <c r="C4829" s="1" t="n">
        <v>45962</v>
      </c>
      <c r="D4829" t="inlineStr">
        <is>
          <t>JÖNKÖPINGS LÄN</t>
        </is>
      </c>
      <c r="E4829" t="inlineStr">
        <is>
          <t>JÖNKÖPING</t>
        </is>
      </c>
      <c r="G4829" t="n">
        <v>5.3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27024-2024</t>
        </is>
      </c>
      <c r="B4830" s="1" t="n">
        <v>45471.41912037037</v>
      </c>
      <c r="C4830" s="1" t="n">
        <v>45962</v>
      </c>
      <c r="D4830" t="inlineStr">
        <is>
          <t>JÖNKÖPINGS LÄN</t>
        </is>
      </c>
      <c r="E4830" t="inlineStr">
        <is>
          <t>SÄVSJÖ</t>
        </is>
      </c>
      <c r="G4830" t="n">
        <v>0.9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37803-2021</t>
        </is>
      </c>
      <c r="B4831" s="1" t="n">
        <v>44402</v>
      </c>
      <c r="C4831" s="1" t="n">
        <v>45962</v>
      </c>
      <c r="D4831" t="inlineStr">
        <is>
          <t>JÖNKÖPINGS LÄN</t>
        </is>
      </c>
      <c r="E4831" t="inlineStr">
        <is>
          <t>VAGGERYD</t>
        </is>
      </c>
      <c r="G4831" t="n">
        <v>4.2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59017-2021</t>
        </is>
      </c>
      <c r="B4832" s="1" t="n">
        <v>44489</v>
      </c>
      <c r="C4832" s="1" t="n">
        <v>45962</v>
      </c>
      <c r="D4832" t="inlineStr">
        <is>
          <t>JÖNKÖPINGS LÄN</t>
        </is>
      </c>
      <c r="E4832" t="inlineStr">
        <is>
          <t>TRANÅS</t>
        </is>
      </c>
      <c r="G4832" t="n">
        <v>1.5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2036-2025</t>
        </is>
      </c>
      <c r="B4833" s="1" t="n">
        <v>45672.49380787037</v>
      </c>
      <c r="C4833" s="1" t="n">
        <v>45962</v>
      </c>
      <c r="D4833" t="inlineStr">
        <is>
          <t>JÖNKÖPINGS LÄN</t>
        </is>
      </c>
      <c r="E4833" t="inlineStr">
        <is>
          <t>VAGGERYD</t>
        </is>
      </c>
      <c r="F4833" t="inlineStr">
        <is>
          <t>Sveaskog</t>
        </is>
      </c>
      <c r="G4833" t="n">
        <v>1.7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53356-2022</t>
        </is>
      </c>
      <c r="B4834" s="1" t="n">
        <v>44879</v>
      </c>
      <c r="C4834" s="1" t="n">
        <v>45962</v>
      </c>
      <c r="D4834" t="inlineStr">
        <is>
          <t>JÖNKÖPINGS LÄN</t>
        </is>
      </c>
      <c r="E4834" t="inlineStr">
        <is>
          <t>VAGGERYD</t>
        </is>
      </c>
      <c r="G4834" t="n">
        <v>2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28780-2025</t>
        </is>
      </c>
      <c r="B4835" s="1" t="n">
        <v>45820.45122685185</v>
      </c>
      <c r="C4835" s="1" t="n">
        <v>45962</v>
      </c>
      <c r="D4835" t="inlineStr">
        <is>
          <t>JÖNKÖPINGS LÄN</t>
        </is>
      </c>
      <c r="E4835" t="inlineStr">
        <is>
          <t>HABO</t>
        </is>
      </c>
      <c r="G4835" t="n">
        <v>2.3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38605-2025</t>
        </is>
      </c>
      <c r="B4836" s="1" t="n">
        <v>45884.51107638889</v>
      </c>
      <c r="C4836" s="1" t="n">
        <v>45962</v>
      </c>
      <c r="D4836" t="inlineStr">
        <is>
          <t>JÖNKÖPINGS LÄN</t>
        </is>
      </c>
      <c r="E4836" t="inlineStr">
        <is>
          <t>VETLANDA</t>
        </is>
      </c>
      <c r="G4836" t="n">
        <v>0.5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19912-2025</t>
        </is>
      </c>
      <c r="B4837" s="1" t="n">
        <v>45771.6094212963</v>
      </c>
      <c r="C4837" s="1" t="n">
        <v>45962</v>
      </c>
      <c r="D4837" t="inlineStr">
        <is>
          <t>JÖNKÖPINGS LÄN</t>
        </is>
      </c>
      <c r="E4837" t="inlineStr">
        <is>
          <t>EKSJÖ</t>
        </is>
      </c>
      <c r="G4837" t="n">
        <v>1.3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30101-2024</t>
        </is>
      </c>
      <c r="B4838" s="1" t="n">
        <v>45489</v>
      </c>
      <c r="C4838" s="1" t="n">
        <v>45962</v>
      </c>
      <c r="D4838" t="inlineStr">
        <is>
          <t>JÖNKÖPINGS LÄN</t>
        </is>
      </c>
      <c r="E4838" t="inlineStr">
        <is>
          <t>GNOSJÖ</t>
        </is>
      </c>
      <c r="G4838" t="n">
        <v>1.7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42299-2024</t>
        </is>
      </c>
      <c r="B4839" s="1" t="n">
        <v>45562</v>
      </c>
      <c r="C4839" s="1" t="n">
        <v>45962</v>
      </c>
      <c r="D4839" t="inlineStr">
        <is>
          <t>JÖNKÖPINGS LÄN</t>
        </is>
      </c>
      <c r="E4839" t="inlineStr">
        <is>
          <t>NÄSSJÖ</t>
        </is>
      </c>
      <c r="F4839" t="inlineStr">
        <is>
          <t>Kyrkan</t>
        </is>
      </c>
      <c r="G4839" t="n">
        <v>5.5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30144-2024</t>
        </is>
      </c>
      <c r="B4840" s="1" t="n">
        <v>45489.59614583333</v>
      </c>
      <c r="C4840" s="1" t="n">
        <v>45962</v>
      </c>
      <c r="D4840" t="inlineStr">
        <is>
          <t>JÖNKÖPINGS LÄN</t>
        </is>
      </c>
      <c r="E4840" t="inlineStr">
        <is>
          <t>TRANÅS</t>
        </is>
      </c>
      <c r="F4840" t="inlineStr">
        <is>
          <t>Allmännings- och besparingsskogar</t>
        </is>
      </c>
      <c r="G4840" t="n">
        <v>2.7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30145-2024</t>
        </is>
      </c>
      <c r="B4841" s="1" t="n">
        <v>45489</v>
      </c>
      <c r="C4841" s="1" t="n">
        <v>45962</v>
      </c>
      <c r="D4841" t="inlineStr">
        <is>
          <t>JÖNKÖPINGS LÄN</t>
        </is>
      </c>
      <c r="E4841" t="inlineStr">
        <is>
          <t>TRANÅS</t>
        </is>
      </c>
      <c r="F4841" t="inlineStr">
        <is>
          <t>Allmännings- och besparingsskogar</t>
        </is>
      </c>
      <c r="G4841" t="n">
        <v>1.2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29133-2021</t>
        </is>
      </c>
      <c r="B4842" s="1" t="n">
        <v>44358</v>
      </c>
      <c r="C4842" s="1" t="n">
        <v>45962</v>
      </c>
      <c r="D4842" t="inlineStr">
        <is>
          <t>JÖNKÖPINGS LÄN</t>
        </is>
      </c>
      <c r="E4842" t="inlineStr">
        <is>
          <t>ANEBY</t>
        </is>
      </c>
      <c r="F4842" t="inlineStr">
        <is>
          <t>Övriga Aktiebolag</t>
        </is>
      </c>
      <c r="G4842" t="n">
        <v>0.6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63418-2023</t>
        </is>
      </c>
      <c r="B4843" s="1" t="n">
        <v>45274</v>
      </c>
      <c r="C4843" s="1" t="n">
        <v>45962</v>
      </c>
      <c r="D4843" t="inlineStr">
        <is>
          <t>JÖNKÖPINGS LÄN</t>
        </is>
      </c>
      <c r="E4843" t="inlineStr">
        <is>
          <t>HABO</t>
        </is>
      </c>
      <c r="G4843" t="n">
        <v>4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45203-2021</t>
        </is>
      </c>
      <c r="B4844" s="1" t="n">
        <v>44438</v>
      </c>
      <c r="C4844" s="1" t="n">
        <v>45962</v>
      </c>
      <c r="D4844" t="inlineStr">
        <is>
          <t>JÖNKÖPINGS LÄN</t>
        </is>
      </c>
      <c r="E4844" t="inlineStr">
        <is>
          <t>VAGGERYD</t>
        </is>
      </c>
      <c r="G4844" t="n">
        <v>2.3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61688-2022</t>
        </is>
      </c>
      <c r="B4845" s="1" t="n">
        <v>44917</v>
      </c>
      <c r="C4845" s="1" t="n">
        <v>45962</v>
      </c>
      <c r="D4845" t="inlineStr">
        <is>
          <t>JÖNKÖPINGS LÄN</t>
        </is>
      </c>
      <c r="E4845" t="inlineStr">
        <is>
          <t>GISLAVED</t>
        </is>
      </c>
      <c r="F4845" t="inlineStr">
        <is>
          <t>Kyrkan</t>
        </is>
      </c>
      <c r="G4845" t="n">
        <v>1.4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50740-2021</t>
        </is>
      </c>
      <c r="B4846" s="1" t="n">
        <v>44460.39493055556</v>
      </c>
      <c r="C4846" s="1" t="n">
        <v>45962</v>
      </c>
      <c r="D4846" t="inlineStr">
        <is>
          <t>JÖNKÖPINGS LÄN</t>
        </is>
      </c>
      <c r="E4846" t="inlineStr">
        <is>
          <t>VETLANDA</t>
        </is>
      </c>
      <c r="G4846" t="n">
        <v>1.4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63490-2023</t>
        </is>
      </c>
      <c r="B4847" s="1" t="n">
        <v>45274.66835648148</v>
      </c>
      <c r="C4847" s="1" t="n">
        <v>45962</v>
      </c>
      <c r="D4847" t="inlineStr">
        <is>
          <t>JÖNKÖPINGS LÄN</t>
        </is>
      </c>
      <c r="E4847" t="inlineStr">
        <is>
          <t>SÄVSJÖ</t>
        </is>
      </c>
      <c r="G4847" t="n">
        <v>1.9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5128-2025</t>
        </is>
      </c>
      <c r="B4848" s="1" t="n">
        <v>45691.56738425926</v>
      </c>
      <c r="C4848" s="1" t="n">
        <v>45962</v>
      </c>
      <c r="D4848" t="inlineStr">
        <is>
          <t>JÖNKÖPINGS LÄN</t>
        </is>
      </c>
      <c r="E4848" t="inlineStr">
        <is>
          <t>GNOSJÖ</t>
        </is>
      </c>
      <c r="G4848" t="n">
        <v>1.5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67399-2020</t>
        </is>
      </c>
      <c r="B4849" s="1" t="n">
        <v>44181.56023148148</v>
      </c>
      <c r="C4849" s="1" t="n">
        <v>45962</v>
      </c>
      <c r="D4849" t="inlineStr">
        <is>
          <t>JÖNKÖPINGS LÄN</t>
        </is>
      </c>
      <c r="E4849" t="inlineStr">
        <is>
          <t>SÄVSJÖ</t>
        </is>
      </c>
      <c r="G4849" t="n">
        <v>1.3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5144-2025</t>
        </is>
      </c>
      <c r="B4850" s="1" t="n">
        <v>45691.58686342592</v>
      </c>
      <c r="C4850" s="1" t="n">
        <v>45962</v>
      </c>
      <c r="D4850" t="inlineStr">
        <is>
          <t>JÖNKÖPINGS LÄN</t>
        </is>
      </c>
      <c r="E4850" t="inlineStr">
        <is>
          <t>VETLANDA</t>
        </is>
      </c>
      <c r="F4850" t="inlineStr">
        <is>
          <t>Sveaskog</t>
        </is>
      </c>
      <c r="G4850" t="n">
        <v>1.4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8623-2024</t>
        </is>
      </c>
      <c r="B4851" s="1" t="n">
        <v>45352</v>
      </c>
      <c r="C4851" s="1" t="n">
        <v>45962</v>
      </c>
      <c r="D4851" t="inlineStr">
        <is>
          <t>JÖNKÖPINGS LÄN</t>
        </is>
      </c>
      <c r="E4851" t="inlineStr">
        <is>
          <t>VETLANDA</t>
        </is>
      </c>
      <c r="G4851" t="n">
        <v>2.7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11239-2024</t>
        </is>
      </c>
      <c r="B4852" s="1" t="n">
        <v>45371.61538194444</v>
      </c>
      <c r="C4852" s="1" t="n">
        <v>45962</v>
      </c>
      <c r="D4852" t="inlineStr">
        <is>
          <t>JÖNKÖPINGS LÄN</t>
        </is>
      </c>
      <c r="E4852" t="inlineStr">
        <is>
          <t>SÄVSJÖ</t>
        </is>
      </c>
      <c r="G4852" t="n">
        <v>0.5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14350-2025</t>
        </is>
      </c>
      <c r="B4853" s="1" t="n">
        <v>45741.36134259259</v>
      </c>
      <c r="C4853" s="1" t="n">
        <v>45962</v>
      </c>
      <c r="D4853" t="inlineStr">
        <is>
          <t>JÖNKÖPINGS LÄN</t>
        </is>
      </c>
      <c r="E4853" t="inlineStr">
        <is>
          <t>EKSJÖ</t>
        </is>
      </c>
      <c r="F4853" t="inlineStr">
        <is>
          <t>Sveaskog</t>
        </is>
      </c>
      <c r="G4853" t="n">
        <v>1.8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14420-2025</t>
        </is>
      </c>
      <c r="B4854" s="1" t="n">
        <v>45741.48556712963</v>
      </c>
      <c r="C4854" s="1" t="n">
        <v>45962</v>
      </c>
      <c r="D4854" t="inlineStr">
        <is>
          <t>JÖNKÖPINGS LÄN</t>
        </is>
      </c>
      <c r="E4854" t="inlineStr">
        <is>
          <t>EKSJÖ</t>
        </is>
      </c>
      <c r="F4854" t="inlineStr">
        <is>
          <t>Sveaskog</t>
        </is>
      </c>
      <c r="G4854" t="n">
        <v>2.7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29499-2025</t>
        </is>
      </c>
      <c r="B4855" s="1" t="n">
        <v>45824.99469907407</v>
      </c>
      <c r="C4855" s="1" t="n">
        <v>45962</v>
      </c>
      <c r="D4855" t="inlineStr">
        <is>
          <t>JÖNKÖPINGS LÄN</t>
        </is>
      </c>
      <c r="E4855" t="inlineStr">
        <is>
          <t>SÄVSJÖ</t>
        </is>
      </c>
      <c r="G4855" t="n">
        <v>3.4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32035-2023</t>
        </is>
      </c>
      <c r="B4856" s="1" t="n">
        <v>45119.54038194445</v>
      </c>
      <c r="C4856" s="1" t="n">
        <v>45962</v>
      </c>
      <c r="D4856" t="inlineStr">
        <is>
          <t>JÖNKÖPINGS LÄN</t>
        </is>
      </c>
      <c r="E4856" t="inlineStr">
        <is>
          <t>JÖNKÖPING</t>
        </is>
      </c>
      <c r="G4856" t="n">
        <v>0.5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29487-2025</t>
        </is>
      </c>
      <c r="B4857" s="1" t="n">
        <v>45824.75822916667</v>
      </c>
      <c r="C4857" s="1" t="n">
        <v>45962</v>
      </c>
      <c r="D4857" t="inlineStr">
        <is>
          <t>JÖNKÖPINGS LÄN</t>
        </is>
      </c>
      <c r="E4857" t="inlineStr">
        <is>
          <t>VETLANDA</t>
        </is>
      </c>
      <c r="G4857" t="n">
        <v>1.6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61351-2022</t>
        </is>
      </c>
      <c r="B4858" s="1" t="n">
        <v>44915.72001157407</v>
      </c>
      <c r="C4858" s="1" t="n">
        <v>45962</v>
      </c>
      <c r="D4858" t="inlineStr">
        <is>
          <t>JÖNKÖPINGS LÄN</t>
        </is>
      </c>
      <c r="E4858" t="inlineStr">
        <is>
          <t>GISLAVED</t>
        </is>
      </c>
      <c r="G4858" t="n">
        <v>0.9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46729-2023</t>
        </is>
      </c>
      <c r="B4859" s="1" t="n">
        <v>45198</v>
      </c>
      <c r="C4859" s="1" t="n">
        <v>45962</v>
      </c>
      <c r="D4859" t="inlineStr">
        <is>
          <t>JÖNKÖPINGS LÄN</t>
        </is>
      </c>
      <c r="E4859" t="inlineStr">
        <is>
          <t>NÄSSJÖ</t>
        </is>
      </c>
      <c r="G4859" t="n">
        <v>1.6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29002-2025</t>
        </is>
      </c>
      <c r="B4860" s="1" t="n">
        <v>45821.3912037037</v>
      </c>
      <c r="C4860" s="1" t="n">
        <v>45962</v>
      </c>
      <c r="D4860" t="inlineStr">
        <is>
          <t>JÖNKÖPINGS LÄN</t>
        </is>
      </c>
      <c r="E4860" t="inlineStr">
        <is>
          <t>NÄSSJÖ</t>
        </is>
      </c>
      <c r="G4860" t="n">
        <v>2.1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29685-2025</t>
        </is>
      </c>
      <c r="B4861" s="1" t="n">
        <v>45825.51342592593</v>
      </c>
      <c r="C4861" s="1" t="n">
        <v>45962</v>
      </c>
      <c r="D4861" t="inlineStr">
        <is>
          <t>JÖNKÖPINGS LÄN</t>
        </is>
      </c>
      <c r="E4861" t="inlineStr">
        <is>
          <t>VÄRNAMO</t>
        </is>
      </c>
      <c r="G4861" t="n">
        <v>3.5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27996-2021</t>
        </is>
      </c>
      <c r="B4862" s="1" t="n">
        <v>44355</v>
      </c>
      <c r="C4862" s="1" t="n">
        <v>45962</v>
      </c>
      <c r="D4862" t="inlineStr">
        <is>
          <t>JÖNKÖPINGS LÄN</t>
        </is>
      </c>
      <c r="E4862" t="inlineStr">
        <is>
          <t>VETLANDA</t>
        </is>
      </c>
      <c r="G4862" t="n">
        <v>2.8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10547-2024</t>
        </is>
      </c>
      <c r="B4863" s="1" t="n">
        <v>45366</v>
      </c>
      <c r="C4863" s="1" t="n">
        <v>45962</v>
      </c>
      <c r="D4863" t="inlineStr">
        <is>
          <t>JÖNKÖPINGS LÄN</t>
        </is>
      </c>
      <c r="E4863" t="inlineStr">
        <is>
          <t>GISLAVED</t>
        </is>
      </c>
      <c r="F4863" t="inlineStr">
        <is>
          <t>Kyrkan</t>
        </is>
      </c>
      <c r="G4863" t="n">
        <v>4.9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27525-2023</t>
        </is>
      </c>
      <c r="B4864" s="1" t="n">
        <v>45092</v>
      </c>
      <c r="C4864" s="1" t="n">
        <v>45962</v>
      </c>
      <c r="D4864" t="inlineStr">
        <is>
          <t>JÖNKÖPINGS LÄN</t>
        </is>
      </c>
      <c r="E4864" t="inlineStr">
        <is>
          <t>GISLAVED</t>
        </is>
      </c>
      <c r="G4864" t="n">
        <v>2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29217-2025</t>
        </is>
      </c>
      <c r="B4865" s="1" t="n">
        <v>45824.31563657407</v>
      </c>
      <c r="C4865" s="1" t="n">
        <v>45962</v>
      </c>
      <c r="D4865" t="inlineStr">
        <is>
          <t>JÖNKÖPINGS LÄN</t>
        </is>
      </c>
      <c r="E4865" t="inlineStr">
        <is>
          <t>NÄSSJÖ</t>
        </is>
      </c>
      <c r="G4865" t="n">
        <v>0.3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29221-2025</t>
        </is>
      </c>
      <c r="B4866" s="1" t="n">
        <v>45824.32594907407</v>
      </c>
      <c r="C4866" s="1" t="n">
        <v>45962</v>
      </c>
      <c r="D4866" t="inlineStr">
        <is>
          <t>JÖNKÖPINGS LÄN</t>
        </is>
      </c>
      <c r="E4866" t="inlineStr">
        <is>
          <t>GISLAVED</t>
        </is>
      </c>
      <c r="G4866" t="n">
        <v>1.9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42734-2024</t>
        </is>
      </c>
      <c r="B4867" s="1" t="n">
        <v>45566</v>
      </c>
      <c r="C4867" s="1" t="n">
        <v>45962</v>
      </c>
      <c r="D4867" t="inlineStr">
        <is>
          <t>JÖNKÖPINGS LÄN</t>
        </is>
      </c>
      <c r="E4867" t="inlineStr">
        <is>
          <t>JÖNKÖPING</t>
        </is>
      </c>
      <c r="G4867" t="n">
        <v>3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42736-2024</t>
        </is>
      </c>
      <c r="B4868" s="1" t="n">
        <v>45566</v>
      </c>
      <c r="C4868" s="1" t="n">
        <v>45962</v>
      </c>
      <c r="D4868" t="inlineStr">
        <is>
          <t>JÖNKÖPINGS LÄN</t>
        </is>
      </c>
      <c r="E4868" t="inlineStr">
        <is>
          <t>JÖNKÖPING</t>
        </is>
      </c>
      <c r="G4868" t="n">
        <v>2.2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29391-2025</t>
        </is>
      </c>
      <c r="B4869" s="1" t="n">
        <v>45824.60515046296</v>
      </c>
      <c r="C4869" s="1" t="n">
        <v>45962</v>
      </c>
      <c r="D4869" t="inlineStr">
        <is>
          <t>JÖNKÖPINGS LÄN</t>
        </is>
      </c>
      <c r="E4869" t="inlineStr">
        <is>
          <t>ANEBY</t>
        </is>
      </c>
      <c r="F4869" t="inlineStr">
        <is>
          <t>Övriga Aktiebolag</t>
        </is>
      </c>
      <c r="G4869" t="n">
        <v>6.4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28423-2023</t>
        </is>
      </c>
      <c r="B4870" s="1" t="n">
        <v>45102</v>
      </c>
      <c r="C4870" s="1" t="n">
        <v>45962</v>
      </c>
      <c r="D4870" t="inlineStr">
        <is>
          <t>JÖNKÖPINGS LÄN</t>
        </is>
      </c>
      <c r="E4870" t="inlineStr">
        <is>
          <t>SÄVSJÖ</t>
        </is>
      </c>
      <c r="G4870" t="n">
        <v>1.9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10222-2025</t>
        </is>
      </c>
      <c r="B4871" s="1" t="n">
        <v>45720.30297453704</v>
      </c>
      <c r="C4871" s="1" t="n">
        <v>45962</v>
      </c>
      <c r="D4871" t="inlineStr">
        <is>
          <t>JÖNKÖPINGS LÄN</t>
        </is>
      </c>
      <c r="E4871" t="inlineStr">
        <is>
          <t>VÄRNAMO</t>
        </is>
      </c>
      <c r="G4871" t="n">
        <v>2.6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29386-2025</t>
        </is>
      </c>
      <c r="B4872" s="1" t="n">
        <v>45824.601875</v>
      </c>
      <c r="C4872" s="1" t="n">
        <v>45962</v>
      </c>
      <c r="D4872" t="inlineStr">
        <is>
          <t>JÖNKÖPINGS LÄN</t>
        </is>
      </c>
      <c r="E4872" t="inlineStr">
        <is>
          <t>SÄVSJÖ</t>
        </is>
      </c>
      <c r="G4872" t="n">
        <v>1.6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49403-2021</t>
        </is>
      </c>
      <c r="B4873" s="1" t="n">
        <v>44454.63469907407</v>
      </c>
      <c r="C4873" s="1" t="n">
        <v>45962</v>
      </c>
      <c r="D4873" t="inlineStr">
        <is>
          <t>JÖNKÖPINGS LÄN</t>
        </is>
      </c>
      <c r="E4873" t="inlineStr">
        <is>
          <t>EKSJÖ</t>
        </is>
      </c>
      <c r="G4873" t="n">
        <v>1.1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29184-2025</t>
        </is>
      </c>
      <c r="B4874" s="1" t="n">
        <v>45821</v>
      </c>
      <c r="C4874" s="1" t="n">
        <v>45962</v>
      </c>
      <c r="D4874" t="inlineStr">
        <is>
          <t>JÖNKÖPINGS LÄN</t>
        </is>
      </c>
      <c r="E4874" t="inlineStr">
        <is>
          <t>NÄSSJÖ</t>
        </is>
      </c>
      <c r="G4874" t="n">
        <v>2.9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49412-2021</t>
        </is>
      </c>
      <c r="B4875" s="1" t="n">
        <v>44454</v>
      </c>
      <c r="C4875" s="1" t="n">
        <v>45962</v>
      </c>
      <c r="D4875" t="inlineStr">
        <is>
          <t>JÖNKÖPINGS LÄN</t>
        </is>
      </c>
      <c r="E4875" t="inlineStr">
        <is>
          <t>EKSJÖ</t>
        </is>
      </c>
      <c r="G4875" t="n">
        <v>5.3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51830-2021</t>
        </is>
      </c>
      <c r="B4876" s="1" t="n">
        <v>44462.65709490741</v>
      </c>
      <c r="C4876" s="1" t="n">
        <v>45962</v>
      </c>
      <c r="D4876" t="inlineStr">
        <is>
          <t>JÖNKÖPINGS LÄN</t>
        </is>
      </c>
      <c r="E4876" t="inlineStr">
        <is>
          <t>VAGGERYD</t>
        </is>
      </c>
      <c r="G4876" t="n">
        <v>1.6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29242-2025</t>
        </is>
      </c>
      <c r="B4877" s="1" t="n">
        <v>45824</v>
      </c>
      <c r="C4877" s="1" t="n">
        <v>45962</v>
      </c>
      <c r="D4877" t="inlineStr">
        <is>
          <t>JÖNKÖPINGS LÄN</t>
        </is>
      </c>
      <c r="E4877" t="inlineStr">
        <is>
          <t>NÄSSJÖ</t>
        </is>
      </c>
      <c r="G4877" t="n">
        <v>1.5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33412-2024</t>
        </is>
      </c>
      <c r="B4878" s="1" t="n">
        <v>45519.49606481481</v>
      </c>
      <c r="C4878" s="1" t="n">
        <v>45962</v>
      </c>
      <c r="D4878" t="inlineStr">
        <is>
          <t>JÖNKÖPINGS LÄN</t>
        </is>
      </c>
      <c r="E4878" t="inlineStr">
        <is>
          <t>JÖNKÖPING</t>
        </is>
      </c>
      <c r="G4878" t="n">
        <v>1.7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1106-2025</t>
        </is>
      </c>
      <c r="B4879" s="1" t="n">
        <v>45666.65113425926</v>
      </c>
      <c r="C4879" s="1" t="n">
        <v>45962</v>
      </c>
      <c r="D4879" t="inlineStr">
        <is>
          <t>JÖNKÖPINGS LÄN</t>
        </is>
      </c>
      <c r="E4879" t="inlineStr">
        <is>
          <t>SÄVSJÖ</t>
        </is>
      </c>
      <c r="G4879" t="n">
        <v>2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29683-2025</t>
        </is>
      </c>
      <c r="B4880" s="1" t="n">
        <v>45825.51212962963</v>
      </c>
      <c r="C4880" s="1" t="n">
        <v>45962</v>
      </c>
      <c r="D4880" t="inlineStr">
        <is>
          <t>JÖNKÖPINGS LÄN</t>
        </is>
      </c>
      <c r="E4880" t="inlineStr">
        <is>
          <t>VÄRNAMO</t>
        </is>
      </c>
      <c r="G4880" t="n">
        <v>1.1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44070-2021</t>
        </is>
      </c>
      <c r="B4881" s="1" t="n">
        <v>44434.58464120371</v>
      </c>
      <c r="C4881" s="1" t="n">
        <v>45962</v>
      </c>
      <c r="D4881" t="inlineStr">
        <is>
          <t>JÖNKÖPINGS LÄN</t>
        </is>
      </c>
      <c r="E4881" t="inlineStr">
        <is>
          <t>VETLANDA</t>
        </is>
      </c>
      <c r="G4881" t="n">
        <v>5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29215-2025</t>
        </is>
      </c>
      <c r="B4882" s="1" t="n">
        <v>45824.31346064815</v>
      </c>
      <c r="C4882" s="1" t="n">
        <v>45962</v>
      </c>
      <c r="D4882" t="inlineStr">
        <is>
          <t>JÖNKÖPINGS LÄN</t>
        </is>
      </c>
      <c r="E4882" t="inlineStr">
        <is>
          <t>NÄSSJÖ</t>
        </is>
      </c>
      <c r="G4882" t="n">
        <v>0.4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29218-2025</t>
        </is>
      </c>
      <c r="B4883" s="1" t="n">
        <v>45824.3162037037</v>
      </c>
      <c r="C4883" s="1" t="n">
        <v>45962</v>
      </c>
      <c r="D4883" t="inlineStr">
        <is>
          <t>JÖNKÖPINGS LÄN</t>
        </is>
      </c>
      <c r="E4883" t="inlineStr">
        <is>
          <t>GISLAVED</t>
        </is>
      </c>
      <c r="G4883" t="n">
        <v>1.8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29162-2023</t>
        </is>
      </c>
      <c r="B4884" s="1" t="n">
        <v>45105.49190972222</v>
      </c>
      <c r="C4884" s="1" t="n">
        <v>45962</v>
      </c>
      <c r="D4884" t="inlineStr">
        <is>
          <t>JÖNKÖPINGS LÄN</t>
        </is>
      </c>
      <c r="E4884" t="inlineStr">
        <is>
          <t>VÄRNAMO</t>
        </is>
      </c>
      <c r="G4884" t="n">
        <v>1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29168-2023</t>
        </is>
      </c>
      <c r="B4885" s="1" t="n">
        <v>45105.49546296296</v>
      </c>
      <c r="C4885" s="1" t="n">
        <v>45962</v>
      </c>
      <c r="D4885" t="inlineStr">
        <is>
          <t>JÖNKÖPINGS LÄN</t>
        </is>
      </c>
      <c r="E4885" t="inlineStr">
        <is>
          <t>VÄRNAMO</t>
        </is>
      </c>
      <c r="G4885" t="n">
        <v>0.5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29453-2025</t>
        </is>
      </c>
      <c r="B4886" s="1" t="n">
        <v>45824.68076388889</v>
      </c>
      <c r="C4886" s="1" t="n">
        <v>45962</v>
      </c>
      <c r="D4886" t="inlineStr">
        <is>
          <t>JÖNKÖPINGS LÄN</t>
        </is>
      </c>
      <c r="E4886" t="inlineStr">
        <is>
          <t>VETLANDA</t>
        </is>
      </c>
      <c r="G4886" t="n">
        <v>1.7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29483-2025</t>
        </is>
      </c>
      <c r="B4887" s="1" t="n">
        <v>45824.74221064815</v>
      </c>
      <c r="C4887" s="1" t="n">
        <v>45962</v>
      </c>
      <c r="D4887" t="inlineStr">
        <is>
          <t>JÖNKÖPINGS LÄN</t>
        </is>
      </c>
      <c r="E4887" t="inlineStr">
        <is>
          <t>EKSJÖ</t>
        </is>
      </c>
      <c r="G4887" t="n">
        <v>2.5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29715-2025</t>
        </is>
      </c>
      <c r="B4888" s="1" t="n">
        <v>45825.56981481481</v>
      </c>
      <c r="C4888" s="1" t="n">
        <v>45962</v>
      </c>
      <c r="D4888" t="inlineStr">
        <is>
          <t>JÖNKÖPINGS LÄN</t>
        </is>
      </c>
      <c r="E4888" t="inlineStr">
        <is>
          <t>GISLAVED</t>
        </is>
      </c>
      <c r="G4888" t="n">
        <v>2.3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55258-2021</t>
        </is>
      </c>
      <c r="B4889" s="1" t="n">
        <v>44475.41305555555</v>
      </c>
      <c r="C4889" s="1" t="n">
        <v>45962</v>
      </c>
      <c r="D4889" t="inlineStr">
        <is>
          <t>JÖNKÖPINGS LÄN</t>
        </is>
      </c>
      <c r="E4889" t="inlineStr">
        <is>
          <t>SÄVSJÖ</t>
        </is>
      </c>
      <c r="G4889" t="n">
        <v>2.4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29720-2025</t>
        </is>
      </c>
      <c r="B4890" s="1" t="n">
        <v>45825.5734837963</v>
      </c>
      <c r="C4890" s="1" t="n">
        <v>45962</v>
      </c>
      <c r="D4890" t="inlineStr">
        <is>
          <t>JÖNKÖPINGS LÄN</t>
        </is>
      </c>
      <c r="E4890" t="inlineStr">
        <is>
          <t>GISLAVED</t>
        </is>
      </c>
      <c r="G4890" t="n">
        <v>0.6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16095-2025</t>
        </is>
      </c>
      <c r="B4891" s="1" t="n">
        <v>45749.91583333333</v>
      </c>
      <c r="C4891" s="1" t="n">
        <v>45962</v>
      </c>
      <c r="D4891" t="inlineStr">
        <is>
          <t>JÖNKÖPINGS LÄN</t>
        </is>
      </c>
      <c r="E4891" t="inlineStr">
        <is>
          <t>ANEBY</t>
        </is>
      </c>
      <c r="G4891" t="n">
        <v>4.2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7648-2024</t>
        </is>
      </c>
      <c r="B4892" s="1" t="n">
        <v>45348.67282407408</v>
      </c>
      <c r="C4892" s="1" t="n">
        <v>45962</v>
      </c>
      <c r="D4892" t="inlineStr">
        <is>
          <t>JÖNKÖPINGS LÄN</t>
        </is>
      </c>
      <c r="E4892" t="inlineStr">
        <is>
          <t>GISLAVED</t>
        </is>
      </c>
      <c r="G4892" t="n">
        <v>1.8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55636-2022</t>
        </is>
      </c>
      <c r="B4893" s="1" t="n">
        <v>44888</v>
      </c>
      <c r="C4893" s="1" t="n">
        <v>45962</v>
      </c>
      <c r="D4893" t="inlineStr">
        <is>
          <t>JÖNKÖPINGS LÄN</t>
        </is>
      </c>
      <c r="E4893" t="inlineStr">
        <is>
          <t>EKSJÖ</t>
        </is>
      </c>
      <c r="G4893" t="n">
        <v>0.7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11266-2024</t>
        </is>
      </c>
      <c r="B4894" s="1" t="n">
        <v>45371.68094907407</v>
      </c>
      <c r="C4894" s="1" t="n">
        <v>45962</v>
      </c>
      <c r="D4894" t="inlineStr">
        <is>
          <t>JÖNKÖPINGS LÄN</t>
        </is>
      </c>
      <c r="E4894" t="inlineStr">
        <is>
          <t>SÄVSJÖ</t>
        </is>
      </c>
      <c r="G4894" t="n">
        <v>5.4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21721-2024</t>
        </is>
      </c>
      <c r="B4895" s="1" t="n">
        <v>45442.50300925926</v>
      </c>
      <c r="C4895" s="1" t="n">
        <v>45962</v>
      </c>
      <c r="D4895" t="inlineStr">
        <is>
          <t>JÖNKÖPINGS LÄN</t>
        </is>
      </c>
      <c r="E4895" t="inlineStr">
        <is>
          <t>GNOSJÖ</t>
        </is>
      </c>
      <c r="G4895" t="n">
        <v>4.1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29497-2025</t>
        </is>
      </c>
      <c r="B4896" s="1" t="n">
        <v>45824.96704861111</v>
      </c>
      <c r="C4896" s="1" t="n">
        <v>45962</v>
      </c>
      <c r="D4896" t="inlineStr">
        <is>
          <t>JÖNKÖPINGS LÄN</t>
        </is>
      </c>
      <c r="E4896" t="inlineStr">
        <is>
          <t>SÄVSJÖ</t>
        </is>
      </c>
      <c r="G4896" t="n">
        <v>1.5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35083-2021</t>
        </is>
      </c>
      <c r="B4897" s="1" t="n">
        <v>44383</v>
      </c>
      <c r="C4897" s="1" t="n">
        <v>45962</v>
      </c>
      <c r="D4897" t="inlineStr">
        <is>
          <t>JÖNKÖPINGS LÄN</t>
        </is>
      </c>
      <c r="E4897" t="inlineStr">
        <is>
          <t>NÄSSJÖ</t>
        </is>
      </c>
      <c r="G4897" t="n">
        <v>0.6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26925-2022</t>
        </is>
      </c>
      <c r="B4898" s="1" t="n">
        <v>44740</v>
      </c>
      <c r="C4898" s="1" t="n">
        <v>45962</v>
      </c>
      <c r="D4898" t="inlineStr">
        <is>
          <t>JÖNKÖPINGS LÄN</t>
        </is>
      </c>
      <c r="E4898" t="inlineStr">
        <is>
          <t>VETLANDA</t>
        </is>
      </c>
      <c r="F4898" t="inlineStr">
        <is>
          <t>Kyrkan</t>
        </is>
      </c>
      <c r="G4898" t="n">
        <v>2.7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49733-2024</t>
        </is>
      </c>
      <c r="B4899" s="1" t="n">
        <v>45596.84603009259</v>
      </c>
      <c r="C4899" s="1" t="n">
        <v>45962</v>
      </c>
      <c r="D4899" t="inlineStr">
        <is>
          <t>JÖNKÖPINGS LÄN</t>
        </is>
      </c>
      <c r="E4899" t="inlineStr">
        <is>
          <t>MULLSJÖ</t>
        </is>
      </c>
      <c r="G4899" t="n">
        <v>15.1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3007-2024</t>
        </is>
      </c>
      <c r="B4900" s="1" t="n">
        <v>45315</v>
      </c>
      <c r="C4900" s="1" t="n">
        <v>45962</v>
      </c>
      <c r="D4900" t="inlineStr">
        <is>
          <t>JÖNKÖPINGS LÄN</t>
        </is>
      </c>
      <c r="E4900" t="inlineStr">
        <is>
          <t>EKSJÖ</t>
        </is>
      </c>
      <c r="G4900" t="n">
        <v>2.9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3077-2024</t>
        </is>
      </c>
      <c r="B4901" s="1" t="n">
        <v>45316.43134259259</v>
      </c>
      <c r="C4901" s="1" t="n">
        <v>45962</v>
      </c>
      <c r="D4901" t="inlineStr">
        <is>
          <t>JÖNKÖPINGS LÄN</t>
        </is>
      </c>
      <c r="E4901" t="inlineStr">
        <is>
          <t>HABO</t>
        </is>
      </c>
      <c r="G4901" t="n">
        <v>3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29214-2025</t>
        </is>
      </c>
      <c r="B4902" s="1" t="n">
        <v>45824.31116898148</v>
      </c>
      <c r="C4902" s="1" t="n">
        <v>45962</v>
      </c>
      <c r="D4902" t="inlineStr">
        <is>
          <t>JÖNKÖPINGS LÄN</t>
        </is>
      </c>
      <c r="E4902" t="inlineStr">
        <is>
          <t>NÄSSJÖ</t>
        </is>
      </c>
      <c r="G4902" t="n">
        <v>1.4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39506-2024</t>
        </is>
      </c>
      <c r="B4903" s="1" t="n">
        <v>45551.67346064815</v>
      </c>
      <c r="C4903" s="1" t="n">
        <v>45962</v>
      </c>
      <c r="D4903" t="inlineStr">
        <is>
          <t>JÖNKÖPINGS LÄN</t>
        </is>
      </c>
      <c r="E4903" t="inlineStr">
        <is>
          <t>VAGGERYD</t>
        </is>
      </c>
      <c r="F4903" t="inlineStr">
        <is>
          <t>Kommuner</t>
        </is>
      </c>
      <c r="G4903" t="n">
        <v>3.8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43181-2024</t>
        </is>
      </c>
      <c r="B4904" s="1" t="n">
        <v>45567</v>
      </c>
      <c r="C4904" s="1" t="n">
        <v>45962</v>
      </c>
      <c r="D4904" t="inlineStr">
        <is>
          <t>JÖNKÖPINGS LÄN</t>
        </is>
      </c>
      <c r="E4904" t="inlineStr">
        <is>
          <t>VÄRNAMO</t>
        </is>
      </c>
      <c r="F4904" t="inlineStr">
        <is>
          <t>Kommuner</t>
        </is>
      </c>
      <c r="G4904" t="n">
        <v>5.5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49453-2024</t>
        </is>
      </c>
      <c r="B4905" s="1" t="n">
        <v>45596.27261574074</v>
      </c>
      <c r="C4905" s="1" t="n">
        <v>45962</v>
      </c>
      <c r="D4905" t="inlineStr">
        <is>
          <t>JÖNKÖPINGS LÄN</t>
        </is>
      </c>
      <c r="E4905" t="inlineStr">
        <is>
          <t>GISLAVED</t>
        </is>
      </c>
      <c r="G4905" t="n">
        <v>0.9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48409-2024</t>
        </is>
      </c>
      <c r="B4906" s="1" t="n">
        <v>45590.62858796296</v>
      </c>
      <c r="C4906" s="1" t="n">
        <v>45962</v>
      </c>
      <c r="D4906" t="inlineStr">
        <is>
          <t>JÖNKÖPINGS LÄN</t>
        </is>
      </c>
      <c r="E4906" t="inlineStr">
        <is>
          <t>VAGGERYD</t>
        </is>
      </c>
      <c r="F4906" t="inlineStr">
        <is>
          <t>Sveaskog</t>
        </is>
      </c>
      <c r="G4906" t="n">
        <v>1.6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29751-2025</t>
        </is>
      </c>
      <c r="B4907" s="1" t="n">
        <v>45825.60899305555</v>
      </c>
      <c r="C4907" s="1" t="n">
        <v>45962</v>
      </c>
      <c r="D4907" t="inlineStr">
        <is>
          <t>JÖNKÖPINGS LÄN</t>
        </is>
      </c>
      <c r="E4907" t="inlineStr">
        <is>
          <t>VETLANDA</t>
        </is>
      </c>
      <c r="G4907" t="n">
        <v>2.4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48465-2024</t>
        </is>
      </c>
      <c r="B4908" s="1" t="n">
        <v>45590.94525462963</v>
      </c>
      <c r="C4908" s="1" t="n">
        <v>45962</v>
      </c>
      <c r="D4908" t="inlineStr">
        <is>
          <t>JÖNKÖPINGS LÄN</t>
        </is>
      </c>
      <c r="E4908" t="inlineStr">
        <is>
          <t>NÄSSJÖ</t>
        </is>
      </c>
      <c r="G4908" t="n">
        <v>1.1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17556-2023</t>
        </is>
      </c>
      <c r="B4909" s="1" t="n">
        <v>45036</v>
      </c>
      <c r="C4909" s="1" t="n">
        <v>45962</v>
      </c>
      <c r="D4909" t="inlineStr">
        <is>
          <t>JÖNKÖPINGS LÄN</t>
        </is>
      </c>
      <c r="E4909" t="inlineStr">
        <is>
          <t>EKSJÖ</t>
        </is>
      </c>
      <c r="G4909" t="n">
        <v>3.9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16455-2025</t>
        </is>
      </c>
      <c r="B4910" s="1" t="n">
        <v>45751.52445601852</v>
      </c>
      <c r="C4910" s="1" t="n">
        <v>45962</v>
      </c>
      <c r="D4910" t="inlineStr">
        <is>
          <t>JÖNKÖPINGS LÄN</t>
        </is>
      </c>
      <c r="E4910" t="inlineStr">
        <is>
          <t>JÖNKÖPING</t>
        </is>
      </c>
      <c r="F4910" t="inlineStr">
        <is>
          <t>Sveaskog</t>
        </is>
      </c>
      <c r="G4910" t="n">
        <v>0.7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19798-2023</t>
        </is>
      </c>
      <c r="B4911" s="1" t="n">
        <v>45051</v>
      </c>
      <c r="C4911" s="1" t="n">
        <v>45962</v>
      </c>
      <c r="D4911" t="inlineStr">
        <is>
          <t>JÖNKÖPINGS LÄN</t>
        </is>
      </c>
      <c r="E4911" t="inlineStr">
        <is>
          <t>VAGGERYD</t>
        </is>
      </c>
      <c r="G4911" t="n">
        <v>0.5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16070-2024</t>
        </is>
      </c>
      <c r="B4912" s="1" t="n">
        <v>45406.31430555556</v>
      </c>
      <c r="C4912" s="1" t="n">
        <v>45962</v>
      </c>
      <c r="D4912" t="inlineStr">
        <is>
          <t>JÖNKÖPINGS LÄN</t>
        </is>
      </c>
      <c r="E4912" t="inlineStr">
        <is>
          <t>VETLANDA</t>
        </is>
      </c>
      <c r="G4912" t="n">
        <v>0.9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12201-2023</t>
        </is>
      </c>
      <c r="B4913" s="1" t="n">
        <v>44998.57355324074</v>
      </c>
      <c r="C4913" s="1" t="n">
        <v>45962</v>
      </c>
      <c r="D4913" t="inlineStr">
        <is>
          <t>JÖNKÖPINGS LÄN</t>
        </is>
      </c>
      <c r="E4913" t="inlineStr">
        <is>
          <t>VETLANDA</t>
        </is>
      </c>
      <c r="G4913" t="n">
        <v>0.9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29652-2025</t>
        </is>
      </c>
      <c r="B4914" s="1" t="n">
        <v>45825.47730324074</v>
      </c>
      <c r="C4914" s="1" t="n">
        <v>45962</v>
      </c>
      <c r="D4914" t="inlineStr">
        <is>
          <t>JÖNKÖPINGS LÄN</t>
        </is>
      </c>
      <c r="E4914" t="inlineStr">
        <is>
          <t>EKSJÖ</t>
        </is>
      </c>
      <c r="G4914" t="n">
        <v>0.6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29657-2025</t>
        </is>
      </c>
      <c r="B4915" s="1" t="n">
        <v>45825.48501157408</v>
      </c>
      <c r="C4915" s="1" t="n">
        <v>45962</v>
      </c>
      <c r="D4915" t="inlineStr">
        <is>
          <t>JÖNKÖPINGS LÄN</t>
        </is>
      </c>
      <c r="E4915" t="inlineStr">
        <is>
          <t>EKSJÖ</t>
        </is>
      </c>
      <c r="G4915" t="n">
        <v>0.6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29639-2025</t>
        </is>
      </c>
      <c r="B4916" s="1" t="n">
        <v>45825.45712962963</v>
      </c>
      <c r="C4916" s="1" t="n">
        <v>45962</v>
      </c>
      <c r="D4916" t="inlineStr">
        <is>
          <t>JÖNKÖPINGS LÄN</t>
        </is>
      </c>
      <c r="E4916" t="inlineStr">
        <is>
          <t>VAGGERYD</t>
        </is>
      </c>
      <c r="G4916" t="n">
        <v>0.7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1103-2024</t>
        </is>
      </c>
      <c r="B4917" s="1" t="n">
        <v>45302</v>
      </c>
      <c r="C4917" s="1" t="n">
        <v>45962</v>
      </c>
      <c r="D4917" t="inlineStr">
        <is>
          <t>JÖNKÖPINGS LÄN</t>
        </is>
      </c>
      <c r="E4917" t="inlineStr">
        <is>
          <t>VETLANDA</t>
        </is>
      </c>
      <c r="G4917" t="n">
        <v>0.7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10972-2025</t>
        </is>
      </c>
      <c r="B4918" s="1" t="n">
        <v>45723.38783564815</v>
      </c>
      <c r="C4918" s="1" t="n">
        <v>45962</v>
      </c>
      <c r="D4918" t="inlineStr">
        <is>
          <t>JÖNKÖPINGS LÄN</t>
        </is>
      </c>
      <c r="E4918" t="inlineStr">
        <is>
          <t>EKSJÖ</t>
        </is>
      </c>
      <c r="G4918" t="n">
        <v>8.6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31048-2024</t>
        </is>
      </c>
      <c r="B4919" s="1" t="n">
        <v>45502.33179398148</v>
      </c>
      <c r="C4919" s="1" t="n">
        <v>45962</v>
      </c>
      <c r="D4919" t="inlineStr">
        <is>
          <t>JÖNKÖPINGS LÄN</t>
        </is>
      </c>
      <c r="E4919" t="inlineStr">
        <is>
          <t>JÖNKÖPING</t>
        </is>
      </c>
      <c r="G4919" t="n">
        <v>5.9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48524-2024</t>
        </is>
      </c>
      <c r="B4920" s="1" t="n">
        <v>45593</v>
      </c>
      <c r="C4920" s="1" t="n">
        <v>45962</v>
      </c>
      <c r="D4920" t="inlineStr">
        <is>
          <t>JÖNKÖPINGS LÄN</t>
        </is>
      </c>
      <c r="E4920" t="inlineStr">
        <is>
          <t>ANEBY</t>
        </is>
      </c>
      <c r="G4920" t="n">
        <v>0.4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29716-2025</t>
        </is>
      </c>
      <c r="B4921" s="1" t="n">
        <v>45825</v>
      </c>
      <c r="C4921" s="1" t="n">
        <v>45962</v>
      </c>
      <c r="D4921" t="inlineStr">
        <is>
          <t>JÖNKÖPINGS LÄN</t>
        </is>
      </c>
      <c r="E4921" t="inlineStr">
        <is>
          <t>SÄVSJÖ</t>
        </is>
      </c>
      <c r="G4921" t="n">
        <v>3.5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29656-2025</t>
        </is>
      </c>
      <c r="B4922" s="1" t="n">
        <v>45825.48480324074</v>
      </c>
      <c r="C4922" s="1" t="n">
        <v>45962</v>
      </c>
      <c r="D4922" t="inlineStr">
        <is>
          <t>JÖNKÖPINGS LÄN</t>
        </is>
      </c>
      <c r="E4922" t="inlineStr">
        <is>
          <t>EKSJÖ</t>
        </is>
      </c>
      <c r="G4922" t="n">
        <v>1.5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29270-2025</t>
        </is>
      </c>
      <c r="B4923" s="1" t="n">
        <v>45824.40824074074</v>
      </c>
      <c r="C4923" s="1" t="n">
        <v>45962</v>
      </c>
      <c r="D4923" t="inlineStr">
        <is>
          <t>JÖNKÖPINGS LÄN</t>
        </is>
      </c>
      <c r="E4923" t="inlineStr">
        <is>
          <t>VETLANDA</t>
        </is>
      </c>
      <c r="G4923" t="n">
        <v>0.7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52427-2022</t>
        </is>
      </c>
      <c r="B4924" s="1" t="n">
        <v>44869</v>
      </c>
      <c r="C4924" s="1" t="n">
        <v>45962</v>
      </c>
      <c r="D4924" t="inlineStr">
        <is>
          <t>JÖNKÖPINGS LÄN</t>
        </is>
      </c>
      <c r="E4924" t="inlineStr">
        <is>
          <t>VETLANDA</t>
        </is>
      </c>
      <c r="G4924" t="n">
        <v>5.3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40212-2022</t>
        </is>
      </c>
      <c r="B4925" s="1" t="n">
        <v>44820.63084490741</v>
      </c>
      <c r="C4925" s="1" t="n">
        <v>45962</v>
      </c>
      <c r="D4925" t="inlineStr">
        <is>
          <t>JÖNKÖPINGS LÄN</t>
        </is>
      </c>
      <c r="E4925" t="inlineStr">
        <is>
          <t>TRANÅS</t>
        </is>
      </c>
      <c r="G4925" t="n">
        <v>1.4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29732-2025</t>
        </is>
      </c>
      <c r="B4926" s="1" t="n">
        <v>45825.58298611111</v>
      </c>
      <c r="C4926" s="1" t="n">
        <v>45962</v>
      </c>
      <c r="D4926" t="inlineStr">
        <is>
          <t>JÖNKÖPINGS LÄN</t>
        </is>
      </c>
      <c r="E4926" t="inlineStr">
        <is>
          <t>VÄRNAMO</t>
        </is>
      </c>
      <c r="G4926" t="n">
        <v>5.1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29469-2025</t>
        </is>
      </c>
      <c r="B4927" s="1" t="n">
        <v>45824</v>
      </c>
      <c r="C4927" s="1" t="n">
        <v>45962</v>
      </c>
      <c r="D4927" t="inlineStr">
        <is>
          <t>JÖNKÖPINGS LÄN</t>
        </is>
      </c>
      <c r="E4927" t="inlineStr">
        <is>
          <t>ANEBY</t>
        </is>
      </c>
      <c r="F4927" t="inlineStr">
        <is>
          <t>Övriga Aktiebolag</t>
        </is>
      </c>
      <c r="G4927" t="n">
        <v>16.8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70037-2021</t>
        </is>
      </c>
      <c r="B4928" s="1" t="n">
        <v>44533</v>
      </c>
      <c r="C4928" s="1" t="n">
        <v>45962</v>
      </c>
      <c r="D4928" t="inlineStr">
        <is>
          <t>JÖNKÖPINGS LÄN</t>
        </is>
      </c>
      <c r="E4928" t="inlineStr">
        <is>
          <t>TRANÅS</t>
        </is>
      </c>
      <c r="G4928" t="n">
        <v>1.6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22487-2024</t>
        </is>
      </c>
      <c r="B4929" s="1" t="n">
        <v>45447.29674768518</v>
      </c>
      <c r="C4929" s="1" t="n">
        <v>45962</v>
      </c>
      <c r="D4929" t="inlineStr">
        <is>
          <t>JÖNKÖPINGS LÄN</t>
        </is>
      </c>
      <c r="E4929" t="inlineStr">
        <is>
          <t>GISLAVED</t>
        </is>
      </c>
      <c r="G4929" t="n">
        <v>3.4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5818-2025</t>
        </is>
      </c>
      <c r="B4930" s="1" t="n">
        <v>45694</v>
      </c>
      <c r="C4930" s="1" t="n">
        <v>45962</v>
      </c>
      <c r="D4930" t="inlineStr">
        <is>
          <t>JÖNKÖPINGS LÄN</t>
        </is>
      </c>
      <c r="E4930" t="inlineStr">
        <is>
          <t>NÄSSJÖ</t>
        </is>
      </c>
      <c r="G4930" t="n">
        <v>3.1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37155-2024</t>
        </is>
      </c>
      <c r="B4931" s="1" t="n">
        <v>45539.60888888889</v>
      </c>
      <c r="C4931" s="1" t="n">
        <v>45962</v>
      </c>
      <c r="D4931" t="inlineStr">
        <is>
          <t>JÖNKÖPINGS LÄN</t>
        </is>
      </c>
      <c r="E4931" t="inlineStr">
        <is>
          <t>ANEBY</t>
        </is>
      </c>
      <c r="G4931" t="n">
        <v>6.2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54921-2024</t>
        </is>
      </c>
      <c r="B4932" s="1" t="n">
        <v>45618.70239583333</v>
      </c>
      <c r="C4932" s="1" t="n">
        <v>45962</v>
      </c>
      <c r="D4932" t="inlineStr">
        <is>
          <t>JÖNKÖPINGS LÄN</t>
        </is>
      </c>
      <c r="E4932" t="inlineStr">
        <is>
          <t>NÄSSJÖ</t>
        </is>
      </c>
      <c r="G4932" t="n">
        <v>2.8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42242-2024</t>
        </is>
      </c>
      <c r="B4933" s="1" t="n">
        <v>45562.56664351852</v>
      </c>
      <c r="C4933" s="1" t="n">
        <v>45962</v>
      </c>
      <c r="D4933" t="inlineStr">
        <is>
          <t>JÖNKÖPINGS LÄN</t>
        </is>
      </c>
      <c r="E4933" t="inlineStr">
        <is>
          <t>VÄRNAMO</t>
        </is>
      </c>
      <c r="G4933" t="n">
        <v>6.9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11849-2021</t>
        </is>
      </c>
      <c r="B4934" s="1" t="n">
        <v>44265.62462962963</v>
      </c>
      <c r="C4934" s="1" t="n">
        <v>45962</v>
      </c>
      <c r="D4934" t="inlineStr">
        <is>
          <t>JÖNKÖPINGS LÄN</t>
        </is>
      </c>
      <c r="E4934" t="inlineStr">
        <is>
          <t>GISLAVED</t>
        </is>
      </c>
      <c r="G4934" t="n">
        <v>3.6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29343-2025</t>
        </is>
      </c>
      <c r="B4935" s="1" t="n">
        <v>45824.50715277778</v>
      </c>
      <c r="C4935" s="1" t="n">
        <v>45962</v>
      </c>
      <c r="D4935" t="inlineStr">
        <is>
          <t>JÖNKÖPINGS LÄN</t>
        </is>
      </c>
      <c r="E4935" t="inlineStr">
        <is>
          <t>VÄRNAMO</t>
        </is>
      </c>
      <c r="G4935" t="n">
        <v>5.5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48751-2021</t>
        </is>
      </c>
      <c r="B4936" s="1" t="n">
        <v>44452.62667824074</v>
      </c>
      <c r="C4936" s="1" t="n">
        <v>45962</v>
      </c>
      <c r="D4936" t="inlineStr">
        <is>
          <t>JÖNKÖPINGS LÄN</t>
        </is>
      </c>
      <c r="E4936" t="inlineStr">
        <is>
          <t>TRANÅS</t>
        </is>
      </c>
      <c r="G4936" t="n">
        <v>1.1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3051-2025</t>
        </is>
      </c>
      <c r="B4937" s="1" t="n">
        <v>45678.61195601852</v>
      </c>
      <c r="C4937" s="1" t="n">
        <v>45962</v>
      </c>
      <c r="D4937" t="inlineStr">
        <is>
          <t>JÖNKÖPINGS LÄN</t>
        </is>
      </c>
      <c r="E4937" t="inlineStr">
        <is>
          <t>VÄRNAMO</t>
        </is>
      </c>
      <c r="G4937" t="n">
        <v>2.8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29340-2025</t>
        </is>
      </c>
      <c r="B4938" s="1" t="n">
        <v>45824.50456018518</v>
      </c>
      <c r="C4938" s="1" t="n">
        <v>45962</v>
      </c>
      <c r="D4938" t="inlineStr">
        <is>
          <t>JÖNKÖPINGS LÄN</t>
        </is>
      </c>
      <c r="E4938" t="inlineStr">
        <is>
          <t>GISLAVED</t>
        </is>
      </c>
      <c r="G4938" t="n">
        <v>1.8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28977-2025</t>
        </is>
      </c>
      <c r="B4939" s="1" t="n">
        <v>45821.34864583334</v>
      </c>
      <c r="C4939" s="1" t="n">
        <v>45962</v>
      </c>
      <c r="D4939" t="inlineStr">
        <is>
          <t>JÖNKÖPINGS LÄN</t>
        </is>
      </c>
      <c r="E4939" t="inlineStr">
        <is>
          <t>NÄSSJÖ</t>
        </is>
      </c>
      <c r="G4939" t="n">
        <v>1.5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39990-2024</t>
        </is>
      </c>
      <c r="B4940" s="1" t="n">
        <v>45553.62622685185</v>
      </c>
      <c r="C4940" s="1" t="n">
        <v>45962</v>
      </c>
      <c r="D4940" t="inlineStr">
        <is>
          <t>JÖNKÖPINGS LÄN</t>
        </is>
      </c>
      <c r="E4940" t="inlineStr">
        <is>
          <t>MULLSJÖ</t>
        </is>
      </c>
      <c r="G4940" t="n">
        <v>1.2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49434-2024</t>
        </is>
      </c>
      <c r="B4941" s="1" t="n">
        <v>45595.84672453703</v>
      </c>
      <c r="C4941" s="1" t="n">
        <v>45962</v>
      </c>
      <c r="D4941" t="inlineStr">
        <is>
          <t>JÖNKÖPINGS LÄN</t>
        </is>
      </c>
      <c r="E4941" t="inlineStr">
        <is>
          <t>GISLAVED</t>
        </is>
      </c>
      <c r="G4941" t="n">
        <v>1.9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49440-2024</t>
        </is>
      </c>
      <c r="B4942" s="1" t="n">
        <v>45595.88085648148</v>
      </c>
      <c r="C4942" s="1" t="n">
        <v>45962</v>
      </c>
      <c r="D4942" t="inlineStr">
        <is>
          <t>JÖNKÖPINGS LÄN</t>
        </is>
      </c>
      <c r="E4942" t="inlineStr">
        <is>
          <t>NÄSSJÖ</t>
        </is>
      </c>
      <c r="G4942" t="n">
        <v>0.4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49447-2024</t>
        </is>
      </c>
      <c r="B4943" s="1" t="n">
        <v>45595.96028935185</v>
      </c>
      <c r="C4943" s="1" t="n">
        <v>45962</v>
      </c>
      <c r="D4943" t="inlineStr">
        <is>
          <t>JÖNKÖPINGS LÄN</t>
        </is>
      </c>
      <c r="E4943" t="inlineStr">
        <is>
          <t>HABO</t>
        </is>
      </c>
      <c r="G4943" t="n">
        <v>0.6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58807-2020</t>
        </is>
      </c>
      <c r="B4944" s="1" t="n">
        <v>44146</v>
      </c>
      <c r="C4944" s="1" t="n">
        <v>45962</v>
      </c>
      <c r="D4944" t="inlineStr">
        <is>
          <t>JÖNKÖPINGS LÄN</t>
        </is>
      </c>
      <c r="E4944" t="inlineStr">
        <is>
          <t>VAGGERYD</t>
        </is>
      </c>
      <c r="G4944" t="n">
        <v>4.2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43608-2022</t>
        </is>
      </c>
      <c r="B4945" s="1" t="n">
        <v>44837.49905092592</v>
      </c>
      <c r="C4945" s="1" t="n">
        <v>45962</v>
      </c>
      <c r="D4945" t="inlineStr">
        <is>
          <t>JÖNKÖPINGS LÄN</t>
        </is>
      </c>
      <c r="E4945" t="inlineStr">
        <is>
          <t>VETLANDA</t>
        </is>
      </c>
      <c r="G4945" t="n">
        <v>1.7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43668-2022</t>
        </is>
      </c>
      <c r="B4946" s="1" t="n">
        <v>44837</v>
      </c>
      <c r="C4946" s="1" t="n">
        <v>45962</v>
      </c>
      <c r="D4946" t="inlineStr">
        <is>
          <t>JÖNKÖPINGS LÄN</t>
        </is>
      </c>
      <c r="E4946" t="inlineStr">
        <is>
          <t>JÖNKÖPING</t>
        </is>
      </c>
      <c r="G4946" t="n">
        <v>0.5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7171-2025</t>
        </is>
      </c>
      <c r="B4947" s="1" t="n">
        <v>45702.40969907407</v>
      </c>
      <c r="C4947" s="1" t="n">
        <v>45962</v>
      </c>
      <c r="D4947" t="inlineStr">
        <is>
          <t>JÖNKÖPINGS LÄN</t>
        </is>
      </c>
      <c r="E4947" t="inlineStr">
        <is>
          <t>GISLAVED</t>
        </is>
      </c>
      <c r="F4947" t="inlineStr">
        <is>
          <t>Sveaskog</t>
        </is>
      </c>
      <c r="G4947" t="n">
        <v>0.8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59171-2024</t>
        </is>
      </c>
      <c r="B4948" s="1" t="n">
        <v>45637.49440972223</v>
      </c>
      <c r="C4948" s="1" t="n">
        <v>45962</v>
      </c>
      <c r="D4948" t="inlineStr">
        <is>
          <t>JÖNKÖPINGS LÄN</t>
        </is>
      </c>
      <c r="E4948" t="inlineStr">
        <is>
          <t>TRANÅS</t>
        </is>
      </c>
      <c r="G4948" t="n">
        <v>2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59187-2024</t>
        </is>
      </c>
      <c r="B4949" s="1" t="n">
        <v>45637</v>
      </c>
      <c r="C4949" s="1" t="n">
        <v>45962</v>
      </c>
      <c r="D4949" t="inlineStr">
        <is>
          <t>JÖNKÖPINGS LÄN</t>
        </is>
      </c>
      <c r="E4949" t="inlineStr">
        <is>
          <t>GISLAVED</t>
        </is>
      </c>
      <c r="G4949" t="n">
        <v>3.5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62232-2022</t>
        </is>
      </c>
      <c r="B4950" s="1" t="n">
        <v>44922</v>
      </c>
      <c r="C4950" s="1" t="n">
        <v>45962</v>
      </c>
      <c r="D4950" t="inlineStr">
        <is>
          <t>JÖNKÖPINGS LÄN</t>
        </is>
      </c>
      <c r="E4950" t="inlineStr">
        <is>
          <t>MULLSJÖ</t>
        </is>
      </c>
      <c r="G4950" t="n">
        <v>4.1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29688-2025</t>
        </is>
      </c>
      <c r="B4951" s="1" t="n">
        <v>45825.52016203704</v>
      </c>
      <c r="C4951" s="1" t="n">
        <v>45962</v>
      </c>
      <c r="D4951" t="inlineStr">
        <is>
          <t>JÖNKÖPINGS LÄN</t>
        </is>
      </c>
      <c r="E4951" t="inlineStr">
        <is>
          <t>GISLAVED</t>
        </is>
      </c>
      <c r="G4951" t="n">
        <v>4.4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29717-2025</t>
        </is>
      </c>
      <c r="B4952" s="1" t="n">
        <v>45825.57106481482</v>
      </c>
      <c r="C4952" s="1" t="n">
        <v>45962</v>
      </c>
      <c r="D4952" t="inlineStr">
        <is>
          <t>JÖNKÖPINGS LÄN</t>
        </is>
      </c>
      <c r="E4952" t="inlineStr">
        <is>
          <t>GISLAVED</t>
        </is>
      </c>
      <c r="G4952" t="n">
        <v>1.3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58055-2020</t>
        </is>
      </c>
      <c r="B4953" s="1" t="n">
        <v>44144</v>
      </c>
      <c r="C4953" s="1" t="n">
        <v>45962</v>
      </c>
      <c r="D4953" t="inlineStr">
        <is>
          <t>JÖNKÖPINGS LÄN</t>
        </is>
      </c>
      <c r="E4953" t="inlineStr">
        <is>
          <t>NÄSSJÖ</t>
        </is>
      </c>
      <c r="G4953" t="n">
        <v>0.9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49215-2021</t>
        </is>
      </c>
      <c r="B4954" s="1" t="n">
        <v>44454.35472222222</v>
      </c>
      <c r="C4954" s="1" t="n">
        <v>45962</v>
      </c>
      <c r="D4954" t="inlineStr">
        <is>
          <t>JÖNKÖPINGS LÄN</t>
        </is>
      </c>
      <c r="E4954" t="inlineStr">
        <is>
          <t>JÖNKÖPING</t>
        </is>
      </c>
      <c r="G4954" t="n">
        <v>1.7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21876-2023</t>
        </is>
      </c>
      <c r="B4955" s="1" t="n">
        <v>45068</v>
      </c>
      <c r="C4955" s="1" t="n">
        <v>45962</v>
      </c>
      <c r="D4955" t="inlineStr">
        <is>
          <t>JÖNKÖPINGS LÄN</t>
        </is>
      </c>
      <c r="E4955" t="inlineStr">
        <is>
          <t>TRANÅS</t>
        </is>
      </c>
      <c r="G4955" t="n">
        <v>2.3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50160-2024</t>
        </is>
      </c>
      <c r="B4956" s="1" t="n">
        <v>45600.46143518519</v>
      </c>
      <c r="C4956" s="1" t="n">
        <v>45962</v>
      </c>
      <c r="D4956" t="inlineStr">
        <is>
          <t>JÖNKÖPINGS LÄN</t>
        </is>
      </c>
      <c r="E4956" t="inlineStr">
        <is>
          <t>NÄSSJÖ</t>
        </is>
      </c>
      <c r="G4956" t="n">
        <v>0.9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30370-2025</t>
        </is>
      </c>
      <c r="B4957" s="1" t="n">
        <v>45827.56010416667</v>
      </c>
      <c r="C4957" s="1" t="n">
        <v>45962</v>
      </c>
      <c r="D4957" t="inlineStr">
        <is>
          <t>JÖNKÖPINGS LÄN</t>
        </is>
      </c>
      <c r="E4957" t="inlineStr">
        <is>
          <t>NÄSSJÖ</t>
        </is>
      </c>
      <c r="G4957" t="n">
        <v>1.8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30375-2025</t>
        </is>
      </c>
      <c r="B4958" s="1" t="n">
        <v>45827.56622685185</v>
      </c>
      <c r="C4958" s="1" t="n">
        <v>45962</v>
      </c>
      <c r="D4958" t="inlineStr">
        <is>
          <t>JÖNKÖPINGS LÄN</t>
        </is>
      </c>
      <c r="E4958" t="inlineStr">
        <is>
          <t>VÄRNAMO</t>
        </is>
      </c>
      <c r="F4958" t="inlineStr">
        <is>
          <t>Sveaskog</t>
        </is>
      </c>
      <c r="G4958" t="n">
        <v>5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30412-2025</t>
        </is>
      </c>
      <c r="B4959" s="1" t="n">
        <v>45827.6015625</v>
      </c>
      <c r="C4959" s="1" t="n">
        <v>45962</v>
      </c>
      <c r="D4959" t="inlineStr">
        <is>
          <t>JÖNKÖPINGS LÄN</t>
        </is>
      </c>
      <c r="E4959" t="inlineStr">
        <is>
          <t>VÄRNAMO</t>
        </is>
      </c>
      <c r="G4959" t="n">
        <v>3.5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3742-2025</t>
        </is>
      </c>
      <c r="B4960" s="1" t="n">
        <v>45681.57619212963</v>
      </c>
      <c r="C4960" s="1" t="n">
        <v>45962</v>
      </c>
      <c r="D4960" t="inlineStr">
        <is>
          <t>JÖNKÖPINGS LÄN</t>
        </is>
      </c>
      <c r="E4960" t="inlineStr">
        <is>
          <t>JÖNKÖPING</t>
        </is>
      </c>
      <c r="G4960" t="n">
        <v>2.4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57858-2024</t>
        </is>
      </c>
      <c r="B4961" s="1" t="n">
        <v>45631.42819444444</v>
      </c>
      <c r="C4961" s="1" t="n">
        <v>45962</v>
      </c>
      <c r="D4961" t="inlineStr">
        <is>
          <t>JÖNKÖPINGS LÄN</t>
        </is>
      </c>
      <c r="E4961" t="inlineStr">
        <is>
          <t>VÄRNAMO</t>
        </is>
      </c>
      <c r="G4961" t="n">
        <v>1.1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30421-2025</t>
        </is>
      </c>
      <c r="B4962" s="1" t="n">
        <v>45827.61111111111</v>
      </c>
      <c r="C4962" s="1" t="n">
        <v>45962</v>
      </c>
      <c r="D4962" t="inlineStr">
        <is>
          <t>JÖNKÖPINGS LÄN</t>
        </is>
      </c>
      <c r="E4962" t="inlineStr">
        <is>
          <t>EKSJÖ</t>
        </is>
      </c>
      <c r="G4962" t="n">
        <v>0.5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29947-2024</t>
        </is>
      </c>
      <c r="B4963" s="1" t="n">
        <v>45488</v>
      </c>
      <c r="C4963" s="1" t="n">
        <v>45962</v>
      </c>
      <c r="D4963" t="inlineStr">
        <is>
          <t>JÖNKÖPINGS LÄN</t>
        </is>
      </c>
      <c r="E4963" t="inlineStr">
        <is>
          <t>NÄSSJÖ</t>
        </is>
      </c>
      <c r="G4963" t="n">
        <v>4.9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52191-2023</t>
        </is>
      </c>
      <c r="B4964" s="1" t="n">
        <v>45217</v>
      </c>
      <c r="C4964" s="1" t="n">
        <v>45962</v>
      </c>
      <c r="D4964" t="inlineStr">
        <is>
          <t>JÖNKÖPINGS LÄN</t>
        </is>
      </c>
      <c r="E4964" t="inlineStr">
        <is>
          <t>VÄRNAMO</t>
        </is>
      </c>
      <c r="G4964" t="n">
        <v>0.7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9916-2025</t>
        </is>
      </c>
      <c r="B4965" s="1" t="n">
        <v>45717.4099074074</v>
      </c>
      <c r="C4965" s="1" t="n">
        <v>45962</v>
      </c>
      <c r="D4965" t="inlineStr">
        <is>
          <t>JÖNKÖPINGS LÄN</t>
        </is>
      </c>
      <c r="E4965" t="inlineStr">
        <is>
          <t>GISLAVED</t>
        </is>
      </c>
      <c r="G4965" t="n">
        <v>3.2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9917-2025</t>
        </is>
      </c>
      <c r="B4966" s="1" t="n">
        <v>45717.41087962963</v>
      </c>
      <c r="C4966" s="1" t="n">
        <v>45962</v>
      </c>
      <c r="D4966" t="inlineStr">
        <is>
          <t>JÖNKÖPINGS LÄN</t>
        </is>
      </c>
      <c r="E4966" t="inlineStr">
        <is>
          <t>GISLAVED</t>
        </is>
      </c>
      <c r="G4966" t="n">
        <v>1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17083-2021</t>
        </is>
      </c>
      <c r="B4967" s="1" t="n">
        <v>44297.76318287037</v>
      </c>
      <c r="C4967" s="1" t="n">
        <v>45962</v>
      </c>
      <c r="D4967" t="inlineStr">
        <is>
          <t>JÖNKÖPINGS LÄN</t>
        </is>
      </c>
      <c r="E4967" t="inlineStr">
        <is>
          <t>GISLAVED</t>
        </is>
      </c>
      <c r="G4967" t="n">
        <v>0.8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58923-2024</t>
        </is>
      </c>
      <c r="B4968" s="1" t="n">
        <v>45636.50067129629</v>
      </c>
      <c r="C4968" s="1" t="n">
        <v>45962</v>
      </c>
      <c r="D4968" t="inlineStr">
        <is>
          <t>JÖNKÖPINGS LÄN</t>
        </is>
      </c>
      <c r="E4968" t="inlineStr">
        <is>
          <t>VAGGERYD</t>
        </is>
      </c>
      <c r="F4968" t="inlineStr">
        <is>
          <t>Sveaskog</t>
        </is>
      </c>
      <c r="G4968" t="n">
        <v>9.5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58924-2024</t>
        </is>
      </c>
      <c r="B4969" s="1" t="n">
        <v>45636.50322916666</v>
      </c>
      <c r="C4969" s="1" t="n">
        <v>45962</v>
      </c>
      <c r="D4969" t="inlineStr">
        <is>
          <t>JÖNKÖPINGS LÄN</t>
        </is>
      </c>
      <c r="E4969" t="inlineStr">
        <is>
          <t>VAGGERYD</t>
        </is>
      </c>
      <c r="F4969" t="inlineStr">
        <is>
          <t>Sveaskog</t>
        </is>
      </c>
      <c r="G4969" t="n">
        <v>2.2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38914-2024</t>
        </is>
      </c>
      <c r="B4970" s="1" t="n">
        <v>45547</v>
      </c>
      <c r="C4970" s="1" t="n">
        <v>45962</v>
      </c>
      <c r="D4970" t="inlineStr">
        <is>
          <t>JÖNKÖPINGS LÄN</t>
        </is>
      </c>
      <c r="E4970" t="inlineStr">
        <is>
          <t>SÄVSJÖ</t>
        </is>
      </c>
      <c r="G4970" t="n">
        <v>1.8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8204-2024</t>
        </is>
      </c>
      <c r="B4971" s="1" t="n">
        <v>45351.71743055555</v>
      </c>
      <c r="C4971" s="1" t="n">
        <v>45962</v>
      </c>
      <c r="D4971" t="inlineStr">
        <is>
          <t>JÖNKÖPINGS LÄN</t>
        </is>
      </c>
      <c r="E4971" t="inlineStr">
        <is>
          <t>VETLANDA</t>
        </is>
      </c>
      <c r="G4971" t="n">
        <v>0.4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30274-2025</t>
        </is>
      </c>
      <c r="B4972" s="1" t="n">
        <v>45827.45424768519</v>
      </c>
      <c r="C4972" s="1" t="n">
        <v>45962</v>
      </c>
      <c r="D4972" t="inlineStr">
        <is>
          <t>JÖNKÖPINGS LÄN</t>
        </is>
      </c>
      <c r="E4972" t="inlineStr">
        <is>
          <t>HABO</t>
        </is>
      </c>
      <c r="G4972" t="n">
        <v>0.6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1201-2024</t>
        </is>
      </c>
      <c r="B4973" s="1" t="n">
        <v>45302.62021990741</v>
      </c>
      <c r="C4973" s="1" t="n">
        <v>45962</v>
      </c>
      <c r="D4973" t="inlineStr">
        <is>
          <t>JÖNKÖPINGS LÄN</t>
        </is>
      </c>
      <c r="E4973" t="inlineStr">
        <is>
          <t>SÄVSJÖ</t>
        </is>
      </c>
      <c r="G4973" t="n">
        <v>2.2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14416-2023</t>
        </is>
      </c>
      <c r="B4974" s="1" t="n">
        <v>45012</v>
      </c>
      <c r="C4974" s="1" t="n">
        <v>45962</v>
      </c>
      <c r="D4974" t="inlineStr">
        <is>
          <t>JÖNKÖPINGS LÄN</t>
        </is>
      </c>
      <c r="E4974" t="inlineStr">
        <is>
          <t>VAGGERYD</t>
        </is>
      </c>
      <c r="G4974" t="n">
        <v>11.7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14439-2023</t>
        </is>
      </c>
      <c r="B4975" s="1" t="n">
        <v>45012</v>
      </c>
      <c r="C4975" s="1" t="n">
        <v>45962</v>
      </c>
      <c r="D4975" t="inlineStr">
        <is>
          <t>JÖNKÖPINGS LÄN</t>
        </is>
      </c>
      <c r="E4975" t="inlineStr">
        <is>
          <t>VÄRNAMO</t>
        </is>
      </c>
      <c r="G4975" t="n">
        <v>0.3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30318-2025</t>
        </is>
      </c>
      <c r="B4976" s="1" t="n">
        <v>45827.49108796296</v>
      </c>
      <c r="C4976" s="1" t="n">
        <v>45962</v>
      </c>
      <c r="D4976" t="inlineStr">
        <is>
          <t>JÖNKÖPINGS LÄN</t>
        </is>
      </c>
      <c r="E4976" t="inlineStr">
        <is>
          <t>VÄRNAMO</t>
        </is>
      </c>
      <c r="G4976" t="n">
        <v>1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9142-2024</t>
        </is>
      </c>
      <c r="B4977" s="1" t="n">
        <v>45358.37159722222</v>
      </c>
      <c r="C4977" s="1" t="n">
        <v>45962</v>
      </c>
      <c r="D4977" t="inlineStr">
        <is>
          <t>JÖNKÖPINGS LÄN</t>
        </is>
      </c>
      <c r="E4977" t="inlineStr">
        <is>
          <t>GISLAVED</t>
        </is>
      </c>
      <c r="G4977" t="n">
        <v>3.1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14317-2023</t>
        </is>
      </c>
      <c r="B4978" s="1" t="n">
        <v>45011.93555555555</v>
      </c>
      <c r="C4978" s="1" t="n">
        <v>45962</v>
      </c>
      <c r="D4978" t="inlineStr">
        <is>
          <t>JÖNKÖPINGS LÄN</t>
        </is>
      </c>
      <c r="E4978" t="inlineStr">
        <is>
          <t>GISLAVED</t>
        </is>
      </c>
      <c r="G4978" t="n">
        <v>3.5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2655-2025</t>
        </is>
      </c>
      <c r="B4979" s="1" t="n">
        <v>45676.7283912037</v>
      </c>
      <c r="C4979" s="1" t="n">
        <v>45962</v>
      </c>
      <c r="D4979" t="inlineStr">
        <is>
          <t>JÖNKÖPINGS LÄN</t>
        </is>
      </c>
      <c r="E4979" t="inlineStr">
        <is>
          <t>VÄRNAMO</t>
        </is>
      </c>
      <c r="G4979" t="n">
        <v>2.2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44070-2021</t>
        </is>
      </c>
      <c r="B4980" s="1" t="n">
        <v>44434.58464120371</v>
      </c>
      <c r="C4980" s="1" t="n">
        <v>45962</v>
      </c>
      <c r="D4980" t="inlineStr">
        <is>
          <t>JÖNKÖPINGS LÄN</t>
        </is>
      </c>
      <c r="E4980" t="inlineStr">
        <is>
          <t>VETLANDA</t>
        </is>
      </c>
      <c r="G4980" t="n">
        <v>5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18703-2025</t>
        </is>
      </c>
      <c r="B4981" s="1" t="n">
        <v>45763.63188657408</v>
      </c>
      <c r="C4981" s="1" t="n">
        <v>45962</v>
      </c>
      <c r="D4981" t="inlineStr">
        <is>
          <t>JÖNKÖPINGS LÄN</t>
        </is>
      </c>
      <c r="E4981" t="inlineStr">
        <is>
          <t>VAGGERYD</t>
        </is>
      </c>
      <c r="F4981" t="inlineStr">
        <is>
          <t>Sveaskog</t>
        </is>
      </c>
      <c r="G4981" t="n">
        <v>0.5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18706-2025</t>
        </is>
      </c>
      <c r="B4982" s="1" t="n">
        <v>45763.6352662037</v>
      </c>
      <c r="C4982" s="1" t="n">
        <v>45962</v>
      </c>
      <c r="D4982" t="inlineStr">
        <is>
          <t>JÖNKÖPINGS LÄN</t>
        </is>
      </c>
      <c r="E4982" t="inlineStr">
        <is>
          <t>VAGGERYD</t>
        </is>
      </c>
      <c r="F4982" t="inlineStr">
        <is>
          <t>Sveaskog</t>
        </is>
      </c>
      <c r="G4982" t="n">
        <v>0.6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30206-2025</t>
        </is>
      </c>
      <c r="B4983" s="1" t="n">
        <v>45827.36391203704</v>
      </c>
      <c r="C4983" s="1" t="n">
        <v>45962</v>
      </c>
      <c r="D4983" t="inlineStr">
        <is>
          <t>JÖNKÖPINGS LÄN</t>
        </is>
      </c>
      <c r="E4983" t="inlineStr">
        <is>
          <t>GISLAVED</t>
        </is>
      </c>
      <c r="G4983" t="n">
        <v>9.6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51567-2024</t>
        </is>
      </c>
      <c r="B4984" s="1" t="n">
        <v>45604.6212962963</v>
      </c>
      <c r="C4984" s="1" t="n">
        <v>45962</v>
      </c>
      <c r="D4984" t="inlineStr">
        <is>
          <t>JÖNKÖPINGS LÄN</t>
        </is>
      </c>
      <c r="E4984" t="inlineStr">
        <is>
          <t>VAGGERYD</t>
        </is>
      </c>
      <c r="F4984" t="inlineStr">
        <is>
          <t>Sveaskog</t>
        </is>
      </c>
      <c r="G4984" t="n">
        <v>9.300000000000001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16842-2024</t>
        </is>
      </c>
      <c r="B4985" s="1" t="n">
        <v>45411.49608796297</v>
      </c>
      <c r="C4985" s="1" t="n">
        <v>45962</v>
      </c>
      <c r="D4985" t="inlineStr">
        <is>
          <t>JÖNKÖPINGS LÄN</t>
        </is>
      </c>
      <c r="E4985" t="inlineStr">
        <is>
          <t>SÄVSJÖ</t>
        </is>
      </c>
      <c r="G4985" t="n">
        <v>0.9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59125-2023</t>
        </is>
      </c>
      <c r="B4986" s="1" t="n">
        <v>45253.34060185185</v>
      </c>
      <c r="C4986" s="1" t="n">
        <v>45962</v>
      </c>
      <c r="D4986" t="inlineStr">
        <is>
          <t>JÖNKÖPINGS LÄN</t>
        </is>
      </c>
      <c r="E4986" t="inlineStr">
        <is>
          <t>SÄVSJÖ</t>
        </is>
      </c>
      <c r="G4986" t="n">
        <v>3.8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51577-2024</t>
        </is>
      </c>
      <c r="B4987" s="1" t="n">
        <v>45604.63358796296</v>
      </c>
      <c r="C4987" s="1" t="n">
        <v>45962</v>
      </c>
      <c r="D4987" t="inlineStr">
        <is>
          <t>JÖNKÖPINGS LÄN</t>
        </is>
      </c>
      <c r="E4987" t="inlineStr">
        <is>
          <t>VAGGERYD</t>
        </is>
      </c>
      <c r="F4987" t="inlineStr">
        <is>
          <t>Sveaskog</t>
        </is>
      </c>
      <c r="G4987" t="n">
        <v>1.9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26711-2024</t>
        </is>
      </c>
      <c r="B4988" s="1" t="n">
        <v>45470.40313657407</v>
      </c>
      <c r="C4988" s="1" t="n">
        <v>45962</v>
      </c>
      <c r="D4988" t="inlineStr">
        <is>
          <t>JÖNKÖPINGS LÄN</t>
        </is>
      </c>
      <c r="E4988" t="inlineStr">
        <is>
          <t>HABO</t>
        </is>
      </c>
      <c r="G4988" t="n">
        <v>0.6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73545-2021</t>
        </is>
      </c>
      <c r="B4989" s="1" t="n">
        <v>44551.85696759259</v>
      </c>
      <c r="C4989" s="1" t="n">
        <v>45962</v>
      </c>
      <c r="D4989" t="inlineStr">
        <is>
          <t>JÖNKÖPINGS LÄN</t>
        </is>
      </c>
      <c r="E4989" t="inlineStr">
        <is>
          <t>GISLAVED</t>
        </is>
      </c>
      <c r="G4989" t="n">
        <v>0.8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41320-2023</t>
        </is>
      </c>
      <c r="B4990" s="1" t="n">
        <v>45174.64620370371</v>
      </c>
      <c r="C4990" s="1" t="n">
        <v>45962</v>
      </c>
      <c r="D4990" t="inlineStr">
        <is>
          <t>JÖNKÖPINGS LÄN</t>
        </is>
      </c>
      <c r="E4990" t="inlineStr">
        <is>
          <t>VETLANDA</t>
        </is>
      </c>
      <c r="G4990" t="n">
        <v>0.3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8744-2025</t>
        </is>
      </c>
      <c r="B4991" s="1" t="n">
        <v>45712.55626157407</v>
      </c>
      <c r="C4991" s="1" t="n">
        <v>45962</v>
      </c>
      <c r="D4991" t="inlineStr">
        <is>
          <t>JÖNKÖPINGS LÄN</t>
        </is>
      </c>
      <c r="E4991" t="inlineStr">
        <is>
          <t>GISLAVED</t>
        </is>
      </c>
      <c r="G4991" t="n">
        <v>0.7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15172-2024</t>
        </is>
      </c>
      <c r="B4992" s="1" t="n">
        <v>45400.34746527778</v>
      </c>
      <c r="C4992" s="1" t="n">
        <v>45962</v>
      </c>
      <c r="D4992" t="inlineStr">
        <is>
          <t>JÖNKÖPINGS LÄN</t>
        </is>
      </c>
      <c r="E4992" t="inlineStr">
        <is>
          <t>GISLAVED</t>
        </is>
      </c>
      <c r="G4992" t="n">
        <v>1.8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5334-2024</t>
        </is>
      </c>
      <c r="B4993" s="1" t="n">
        <v>45331.43362268519</v>
      </c>
      <c r="C4993" s="1" t="n">
        <v>45962</v>
      </c>
      <c r="D4993" t="inlineStr">
        <is>
          <t>JÖNKÖPINGS LÄN</t>
        </is>
      </c>
      <c r="E4993" t="inlineStr">
        <is>
          <t>GISLAVED</t>
        </is>
      </c>
      <c r="G4993" t="n">
        <v>0.6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54989-2024</t>
        </is>
      </c>
      <c r="B4994" s="1" t="n">
        <v>45620.84454861111</v>
      </c>
      <c r="C4994" s="1" t="n">
        <v>45962</v>
      </c>
      <c r="D4994" t="inlineStr">
        <is>
          <t>JÖNKÖPINGS LÄN</t>
        </is>
      </c>
      <c r="E4994" t="inlineStr">
        <is>
          <t>HABO</t>
        </is>
      </c>
      <c r="G4994" t="n">
        <v>2.1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 ht="15" customHeight="1">
      <c r="A4995" t="inlineStr">
        <is>
          <t>A 54990-2024</t>
        </is>
      </c>
      <c r="B4995" s="1" t="n">
        <v>45620.8468287037</v>
      </c>
      <c r="C4995" s="1" t="n">
        <v>45962</v>
      </c>
      <c r="D4995" t="inlineStr">
        <is>
          <t>JÖNKÖPINGS LÄN</t>
        </is>
      </c>
      <c r="E4995" t="inlineStr">
        <is>
          <t>HABO</t>
        </is>
      </c>
      <c r="G4995" t="n">
        <v>0.9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  <row r="4996" ht="15" customHeight="1">
      <c r="A4996" t="inlineStr">
        <is>
          <t>A 30046-2025</t>
        </is>
      </c>
      <c r="B4996" s="1" t="n">
        <v>45826.58157407407</v>
      </c>
      <c r="C4996" s="1" t="n">
        <v>45962</v>
      </c>
      <c r="D4996" t="inlineStr">
        <is>
          <t>JÖNKÖPINGS LÄN</t>
        </is>
      </c>
      <c r="E4996" t="inlineStr">
        <is>
          <t>VETLANDA</t>
        </is>
      </c>
      <c r="G4996" t="n">
        <v>1.2</v>
      </c>
      <c r="H4996" t="n">
        <v>0</v>
      </c>
      <c r="I4996" t="n">
        <v>0</v>
      </c>
      <c r="J4996" t="n">
        <v>0</v>
      </c>
      <c r="K4996" t="n">
        <v>0</v>
      </c>
      <c r="L4996" t="n">
        <v>0</v>
      </c>
      <c r="M4996" t="n">
        <v>0</v>
      </c>
      <c r="N4996" t="n">
        <v>0</v>
      </c>
      <c r="O4996" t="n">
        <v>0</v>
      </c>
      <c r="P4996" t="n">
        <v>0</v>
      </c>
      <c r="Q4996" t="n">
        <v>0</v>
      </c>
      <c r="R4996" s="2" t="inlineStr"/>
    </row>
    <row r="4997" ht="15" customHeight="1">
      <c r="A4997" t="inlineStr">
        <is>
          <t>A 61545-2021</t>
        </is>
      </c>
      <c r="B4997" s="1" t="n">
        <v>44501.40741898148</v>
      </c>
      <c r="C4997" s="1" t="n">
        <v>45962</v>
      </c>
      <c r="D4997" t="inlineStr">
        <is>
          <t>JÖNKÖPINGS LÄN</t>
        </is>
      </c>
      <c r="E4997" t="inlineStr">
        <is>
          <t>SÄVSJÖ</t>
        </is>
      </c>
      <c r="G4997" t="n">
        <v>7.2</v>
      </c>
      <c r="H4997" t="n">
        <v>0</v>
      </c>
      <c r="I4997" t="n">
        <v>0</v>
      </c>
      <c r="J4997" t="n">
        <v>0</v>
      </c>
      <c r="K4997" t="n">
        <v>0</v>
      </c>
      <c r="L4997" t="n">
        <v>0</v>
      </c>
      <c r="M4997" t="n">
        <v>0</v>
      </c>
      <c r="N4997" t="n">
        <v>0</v>
      </c>
      <c r="O4997" t="n">
        <v>0</v>
      </c>
      <c r="P4997" t="n">
        <v>0</v>
      </c>
      <c r="Q4997" t="n">
        <v>0</v>
      </c>
      <c r="R4997" s="2" t="inlineStr"/>
    </row>
    <row r="4998" ht="15" customHeight="1">
      <c r="A4998" t="inlineStr">
        <is>
          <t>A 6897-2025</t>
        </is>
      </c>
      <c r="B4998" s="1" t="n">
        <v>45701.38606481482</v>
      </c>
      <c r="C4998" s="1" t="n">
        <v>45962</v>
      </c>
      <c r="D4998" t="inlineStr">
        <is>
          <t>JÖNKÖPINGS LÄN</t>
        </is>
      </c>
      <c r="E4998" t="inlineStr">
        <is>
          <t>JÖNKÖPING</t>
        </is>
      </c>
      <c r="G4998" t="n">
        <v>2.4</v>
      </c>
      <c r="H4998" t="n">
        <v>0</v>
      </c>
      <c r="I4998" t="n">
        <v>0</v>
      </c>
      <c r="J4998" t="n">
        <v>0</v>
      </c>
      <c r="K4998" t="n">
        <v>0</v>
      </c>
      <c r="L4998" t="n">
        <v>0</v>
      </c>
      <c r="M4998" t="n">
        <v>0</v>
      </c>
      <c r="N4998" t="n">
        <v>0</v>
      </c>
      <c r="O4998" t="n">
        <v>0</v>
      </c>
      <c r="P4998" t="n">
        <v>0</v>
      </c>
      <c r="Q4998" t="n">
        <v>0</v>
      </c>
      <c r="R4998" s="2" t="inlineStr"/>
    </row>
    <row r="4999" ht="15" customHeight="1">
      <c r="A4999" t="inlineStr">
        <is>
          <t>A 18721-2025</t>
        </is>
      </c>
      <c r="B4999" s="1" t="n">
        <v>45763.66113425926</v>
      </c>
      <c r="C4999" s="1" t="n">
        <v>45962</v>
      </c>
      <c r="D4999" t="inlineStr">
        <is>
          <t>JÖNKÖPINGS LÄN</t>
        </is>
      </c>
      <c r="E4999" t="inlineStr">
        <is>
          <t>VÄRNAMO</t>
        </is>
      </c>
      <c r="G4999" t="n">
        <v>1.5</v>
      </c>
      <c r="H4999" t="n">
        <v>0</v>
      </c>
      <c r="I4999" t="n">
        <v>0</v>
      </c>
      <c r="J4999" t="n">
        <v>0</v>
      </c>
      <c r="K4999" t="n">
        <v>0</v>
      </c>
      <c r="L4999" t="n">
        <v>0</v>
      </c>
      <c r="M4999" t="n">
        <v>0</v>
      </c>
      <c r="N4999" t="n">
        <v>0</v>
      </c>
      <c r="O4999" t="n">
        <v>0</v>
      </c>
      <c r="P4999" t="n">
        <v>0</v>
      </c>
      <c r="Q4999" t="n">
        <v>0</v>
      </c>
      <c r="R4999" s="2" t="inlineStr"/>
    </row>
    <row r="5000" ht="15" customHeight="1">
      <c r="A5000" t="inlineStr">
        <is>
          <t>A 30368-2025</t>
        </is>
      </c>
      <c r="B5000" s="1" t="n">
        <v>45827</v>
      </c>
      <c r="C5000" s="1" t="n">
        <v>45962</v>
      </c>
      <c r="D5000" t="inlineStr">
        <is>
          <t>JÖNKÖPINGS LÄN</t>
        </is>
      </c>
      <c r="E5000" t="inlineStr">
        <is>
          <t>VETLANDA</t>
        </is>
      </c>
      <c r="G5000" t="n">
        <v>0.7</v>
      </c>
      <c r="H5000" t="n">
        <v>0</v>
      </c>
      <c r="I5000" t="n">
        <v>0</v>
      </c>
      <c r="J5000" t="n">
        <v>0</v>
      </c>
      <c r="K5000" t="n">
        <v>0</v>
      </c>
      <c r="L5000" t="n">
        <v>0</v>
      </c>
      <c r="M5000" t="n">
        <v>0</v>
      </c>
      <c r="N5000" t="n">
        <v>0</v>
      </c>
      <c r="O5000" t="n">
        <v>0</v>
      </c>
      <c r="P5000" t="n">
        <v>0</v>
      </c>
      <c r="Q5000" t="n">
        <v>0</v>
      </c>
      <c r="R5000" s="2" t="inlineStr"/>
    </row>
    <row r="5001" ht="15" customHeight="1">
      <c r="A5001" t="inlineStr">
        <is>
          <t>A 40923-2024</t>
        </is>
      </c>
      <c r="B5001" s="1" t="n">
        <v>45558.63807870371</v>
      </c>
      <c r="C5001" s="1" t="n">
        <v>45962</v>
      </c>
      <c r="D5001" t="inlineStr">
        <is>
          <t>JÖNKÖPINGS LÄN</t>
        </is>
      </c>
      <c r="E5001" t="inlineStr">
        <is>
          <t>JÖNKÖPING</t>
        </is>
      </c>
      <c r="F5001" t="inlineStr">
        <is>
          <t>Sveaskog</t>
        </is>
      </c>
      <c r="G5001" t="n">
        <v>3.2</v>
      </c>
      <c r="H5001" t="n">
        <v>0</v>
      </c>
      <c r="I5001" t="n">
        <v>0</v>
      </c>
      <c r="J5001" t="n">
        <v>0</v>
      </c>
      <c r="K5001" t="n">
        <v>0</v>
      </c>
      <c r="L5001" t="n">
        <v>0</v>
      </c>
      <c r="M5001" t="n">
        <v>0</v>
      </c>
      <c r="N5001" t="n">
        <v>0</v>
      </c>
      <c r="O5001" t="n">
        <v>0</v>
      </c>
      <c r="P5001" t="n">
        <v>0</v>
      </c>
      <c r="Q5001" t="n">
        <v>0</v>
      </c>
      <c r="R5001" s="2" t="inlineStr"/>
    </row>
    <row r="5002" ht="15" customHeight="1">
      <c r="A5002" t="inlineStr">
        <is>
          <t>A 54703-2022</t>
        </is>
      </c>
      <c r="B5002" s="1" t="n">
        <v>44881</v>
      </c>
      <c r="C5002" s="1" t="n">
        <v>45962</v>
      </c>
      <c r="D5002" t="inlineStr">
        <is>
          <t>JÖNKÖPINGS LÄN</t>
        </is>
      </c>
      <c r="E5002" t="inlineStr">
        <is>
          <t>TRANÅS</t>
        </is>
      </c>
      <c r="G5002" t="n">
        <v>6.1</v>
      </c>
      <c r="H5002" t="n">
        <v>0</v>
      </c>
      <c r="I5002" t="n">
        <v>0</v>
      </c>
      <c r="J5002" t="n">
        <v>0</v>
      </c>
      <c r="K5002" t="n">
        <v>0</v>
      </c>
      <c r="L5002" t="n">
        <v>0</v>
      </c>
      <c r="M5002" t="n">
        <v>0</v>
      </c>
      <c r="N5002" t="n">
        <v>0</v>
      </c>
      <c r="O5002" t="n">
        <v>0</v>
      </c>
      <c r="P5002" t="n">
        <v>0</v>
      </c>
      <c r="Q5002" t="n">
        <v>0</v>
      </c>
      <c r="R5002" s="2" t="inlineStr"/>
    </row>
    <row r="5003" ht="15" customHeight="1">
      <c r="A5003" t="inlineStr">
        <is>
          <t>A 41288-2024</t>
        </is>
      </c>
      <c r="B5003" s="1" t="n">
        <v>45559.59590277778</v>
      </c>
      <c r="C5003" s="1" t="n">
        <v>45962</v>
      </c>
      <c r="D5003" t="inlineStr">
        <is>
          <t>JÖNKÖPINGS LÄN</t>
        </is>
      </c>
      <c r="E5003" t="inlineStr">
        <is>
          <t>GISLAVED</t>
        </is>
      </c>
      <c r="G5003" t="n">
        <v>0.4</v>
      </c>
      <c r="H5003" t="n">
        <v>0</v>
      </c>
      <c r="I5003" t="n">
        <v>0</v>
      </c>
      <c r="J5003" t="n">
        <v>0</v>
      </c>
      <c r="K5003" t="n">
        <v>0</v>
      </c>
      <c r="L5003" t="n">
        <v>0</v>
      </c>
      <c r="M5003" t="n">
        <v>0</v>
      </c>
      <c r="N5003" t="n">
        <v>0</v>
      </c>
      <c r="O5003" t="n">
        <v>0</v>
      </c>
      <c r="P5003" t="n">
        <v>0</v>
      </c>
      <c r="Q5003" t="n">
        <v>0</v>
      </c>
      <c r="R5003" s="2" t="inlineStr"/>
    </row>
    <row r="5004" ht="15" customHeight="1">
      <c r="A5004" t="inlineStr">
        <is>
          <t>A 30272-2025</t>
        </is>
      </c>
      <c r="B5004" s="1" t="n">
        <v>45827.45251157408</v>
      </c>
      <c r="C5004" s="1" t="n">
        <v>45962</v>
      </c>
      <c r="D5004" t="inlineStr">
        <is>
          <t>JÖNKÖPINGS LÄN</t>
        </is>
      </c>
      <c r="E5004" t="inlineStr">
        <is>
          <t>HABO</t>
        </is>
      </c>
      <c r="G5004" t="n">
        <v>0.9</v>
      </c>
      <c r="H5004" t="n">
        <v>0</v>
      </c>
      <c r="I5004" t="n">
        <v>0</v>
      </c>
      <c r="J5004" t="n">
        <v>0</v>
      </c>
      <c r="K5004" t="n">
        <v>0</v>
      </c>
      <c r="L5004" t="n">
        <v>0</v>
      </c>
      <c r="M5004" t="n">
        <v>0</v>
      </c>
      <c r="N5004" t="n">
        <v>0</v>
      </c>
      <c r="O5004" t="n">
        <v>0</v>
      </c>
      <c r="P5004" t="n">
        <v>0</v>
      </c>
      <c r="Q5004" t="n">
        <v>0</v>
      </c>
      <c r="R5004" s="2" t="inlineStr"/>
    </row>
    <row r="5005" ht="15" customHeight="1">
      <c r="A5005" t="inlineStr">
        <is>
          <t>A 64126-2021</t>
        </is>
      </c>
      <c r="B5005" s="1" t="n">
        <v>44510.49054398148</v>
      </c>
      <c r="C5005" s="1" t="n">
        <v>45962</v>
      </c>
      <c r="D5005" t="inlineStr">
        <is>
          <t>JÖNKÖPINGS LÄN</t>
        </is>
      </c>
      <c r="E5005" t="inlineStr">
        <is>
          <t>SÄVSJÖ</t>
        </is>
      </c>
      <c r="G5005" t="n">
        <v>7.4</v>
      </c>
      <c r="H5005" t="n">
        <v>0</v>
      </c>
      <c r="I5005" t="n">
        <v>0</v>
      </c>
      <c r="J5005" t="n">
        <v>0</v>
      </c>
      <c r="K5005" t="n">
        <v>0</v>
      </c>
      <c r="L5005" t="n">
        <v>0</v>
      </c>
      <c r="M5005" t="n">
        <v>0</v>
      </c>
      <c r="N5005" t="n">
        <v>0</v>
      </c>
      <c r="O5005" t="n">
        <v>0</v>
      </c>
      <c r="P5005" t="n">
        <v>0</v>
      </c>
      <c r="Q5005" t="n">
        <v>0</v>
      </c>
      <c r="R5005" s="2" t="inlineStr"/>
    </row>
    <row r="5006" ht="15" customHeight="1">
      <c r="A5006" t="inlineStr">
        <is>
          <t>A 30119-2025</t>
        </is>
      </c>
      <c r="B5006" s="1" t="n">
        <v>45826.73297453704</v>
      </c>
      <c r="C5006" s="1" t="n">
        <v>45962</v>
      </c>
      <c r="D5006" t="inlineStr">
        <is>
          <t>JÖNKÖPINGS LÄN</t>
        </is>
      </c>
      <c r="E5006" t="inlineStr">
        <is>
          <t>VÄRNAMO</t>
        </is>
      </c>
      <c r="G5006" t="n">
        <v>1.8</v>
      </c>
      <c r="H5006" t="n">
        <v>0</v>
      </c>
      <c r="I5006" t="n">
        <v>0</v>
      </c>
      <c r="J5006" t="n">
        <v>0</v>
      </c>
      <c r="K5006" t="n">
        <v>0</v>
      </c>
      <c r="L5006" t="n">
        <v>0</v>
      </c>
      <c r="M5006" t="n">
        <v>0</v>
      </c>
      <c r="N5006" t="n">
        <v>0</v>
      </c>
      <c r="O5006" t="n">
        <v>0</v>
      </c>
      <c r="P5006" t="n">
        <v>0</v>
      </c>
      <c r="Q5006" t="n">
        <v>0</v>
      </c>
      <c r="R5006" s="2" t="inlineStr"/>
    </row>
    <row r="5007" ht="15" customHeight="1">
      <c r="A5007" t="inlineStr">
        <is>
          <t>A 30345-2025</t>
        </is>
      </c>
      <c r="B5007" s="1" t="n">
        <v>45827</v>
      </c>
      <c r="C5007" s="1" t="n">
        <v>45962</v>
      </c>
      <c r="D5007" t="inlineStr">
        <is>
          <t>JÖNKÖPINGS LÄN</t>
        </is>
      </c>
      <c r="E5007" t="inlineStr">
        <is>
          <t>VÄRNAMO</t>
        </is>
      </c>
      <c r="G5007" t="n">
        <v>4.4</v>
      </c>
      <c r="H5007" t="n">
        <v>0</v>
      </c>
      <c r="I5007" t="n">
        <v>0</v>
      </c>
      <c r="J5007" t="n">
        <v>0</v>
      </c>
      <c r="K5007" t="n">
        <v>0</v>
      </c>
      <c r="L5007" t="n">
        <v>0</v>
      </c>
      <c r="M5007" t="n">
        <v>0</v>
      </c>
      <c r="N5007" t="n">
        <v>0</v>
      </c>
      <c r="O5007" t="n">
        <v>0</v>
      </c>
      <c r="P5007" t="n">
        <v>0</v>
      </c>
      <c r="Q5007" t="n">
        <v>0</v>
      </c>
      <c r="R5007" s="2" t="inlineStr"/>
    </row>
    <row r="5008" ht="15" customHeight="1">
      <c r="A5008" t="inlineStr">
        <is>
          <t>A 30366-2025</t>
        </is>
      </c>
      <c r="B5008" s="1" t="n">
        <v>45827</v>
      </c>
      <c r="C5008" s="1" t="n">
        <v>45962</v>
      </c>
      <c r="D5008" t="inlineStr">
        <is>
          <t>JÖNKÖPINGS LÄN</t>
        </is>
      </c>
      <c r="E5008" t="inlineStr">
        <is>
          <t>VETLANDA</t>
        </is>
      </c>
      <c r="G5008" t="n">
        <v>2.4</v>
      </c>
      <c r="H5008" t="n">
        <v>0</v>
      </c>
      <c r="I5008" t="n">
        <v>0</v>
      </c>
      <c r="J5008" t="n">
        <v>0</v>
      </c>
      <c r="K5008" t="n">
        <v>0</v>
      </c>
      <c r="L5008" t="n">
        <v>0</v>
      </c>
      <c r="M5008" t="n">
        <v>0</v>
      </c>
      <c r="N5008" t="n">
        <v>0</v>
      </c>
      <c r="O5008" t="n">
        <v>0</v>
      </c>
      <c r="P5008" t="n">
        <v>0</v>
      </c>
      <c r="Q5008" t="n">
        <v>0</v>
      </c>
      <c r="R5008" s="2" t="inlineStr"/>
    </row>
    <row r="5009" ht="15" customHeight="1">
      <c r="A5009" t="inlineStr">
        <is>
          <t>A 26642-2022</t>
        </is>
      </c>
      <c r="B5009" s="1" t="n">
        <v>44739.59894675926</v>
      </c>
      <c r="C5009" s="1" t="n">
        <v>45962</v>
      </c>
      <c r="D5009" t="inlineStr">
        <is>
          <t>JÖNKÖPINGS LÄN</t>
        </is>
      </c>
      <c r="E5009" t="inlineStr">
        <is>
          <t>GISLAVED</t>
        </is>
      </c>
      <c r="G5009" t="n">
        <v>1.1</v>
      </c>
      <c r="H5009" t="n">
        <v>0</v>
      </c>
      <c r="I5009" t="n">
        <v>0</v>
      </c>
      <c r="J5009" t="n">
        <v>0</v>
      </c>
      <c r="K5009" t="n">
        <v>0</v>
      </c>
      <c r="L5009" t="n">
        <v>0</v>
      </c>
      <c r="M5009" t="n">
        <v>0</v>
      </c>
      <c r="N5009" t="n">
        <v>0</v>
      </c>
      <c r="O5009" t="n">
        <v>0</v>
      </c>
      <c r="P5009" t="n">
        <v>0</v>
      </c>
      <c r="Q5009" t="n">
        <v>0</v>
      </c>
      <c r="R5009" s="2" t="inlineStr"/>
    </row>
    <row r="5010" ht="15" customHeight="1">
      <c r="A5010" t="inlineStr">
        <is>
          <t>A 21997-2025</t>
        </is>
      </c>
      <c r="B5010" s="1" t="n">
        <v>45784.67101851852</v>
      </c>
      <c r="C5010" s="1" t="n">
        <v>45962</v>
      </c>
      <c r="D5010" t="inlineStr">
        <is>
          <t>JÖNKÖPINGS LÄN</t>
        </is>
      </c>
      <c r="E5010" t="inlineStr">
        <is>
          <t>NÄSSJÖ</t>
        </is>
      </c>
      <c r="G5010" t="n">
        <v>3.5</v>
      </c>
      <c r="H5010" t="n">
        <v>0</v>
      </c>
      <c r="I5010" t="n">
        <v>0</v>
      </c>
      <c r="J5010" t="n">
        <v>0</v>
      </c>
      <c r="K5010" t="n">
        <v>0</v>
      </c>
      <c r="L5010" t="n">
        <v>0</v>
      </c>
      <c r="M5010" t="n">
        <v>0</v>
      </c>
      <c r="N5010" t="n">
        <v>0</v>
      </c>
      <c r="O5010" t="n">
        <v>0</v>
      </c>
      <c r="P5010" t="n">
        <v>0</v>
      </c>
      <c r="Q5010" t="n">
        <v>0</v>
      </c>
      <c r="R5010" s="2" t="inlineStr"/>
    </row>
    <row r="5011" ht="15" customHeight="1">
      <c r="A5011" t="inlineStr">
        <is>
          <t>A 11212-2025</t>
        </is>
      </c>
      <c r="B5011" s="1" t="n">
        <v>45726.333125</v>
      </c>
      <c r="C5011" s="1" t="n">
        <v>45962</v>
      </c>
      <c r="D5011" t="inlineStr">
        <is>
          <t>JÖNKÖPINGS LÄN</t>
        </is>
      </c>
      <c r="E5011" t="inlineStr">
        <is>
          <t>GISLAVED</t>
        </is>
      </c>
      <c r="G5011" t="n">
        <v>2.3</v>
      </c>
      <c r="H5011" t="n">
        <v>0</v>
      </c>
      <c r="I5011" t="n">
        <v>0</v>
      </c>
      <c r="J5011" t="n">
        <v>0</v>
      </c>
      <c r="K5011" t="n">
        <v>0</v>
      </c>
      <c r="L5011" t="n">
        <v>0</v>
      </c>
      <c r="M5011" t="n">
        <v>0</v>
      </c>
      <c r="N5011" t="n">
        <v>0</v>
      </c>
      <c r="O5011" t="n">
        <v>0</v>
      </c>
      <c r="P5011" t="n">
        <v>0</v>
      </c>
      <c r="Q5011" t="n">
        <v>0</v>
      </c>
      <c r="R5011" s="2" t="inlineStr"/>
    </row>
    <row r="5012" ht="15" customHeight="1">
      <c r="A5012" t="inlineStr">
        <is>
          <t>A 49059-2023</t>
        </is>
      </c>
      <c r="B5012" s="1" t="n">
        <v>45210.34773148148</v>
      </c>
      <c r="C5012" s="1" t="n">
        <v>45962</v>
      </c>
      <c r="D5012" t="inlineStr">
        <is>
          <t>JÖNKÖPINGS LÄN</t>
        </is>
      </c>
      <c r="E5012" t="inlineStr">
        <is>
          <t>JÖNKÖPING</t>
        </is>
      </c>
      <c r="G5012" t="n">
        <v>1.4</v>
      </c>
      <c r="H5012" t="n">
        <v>0</v>
      </c>
      <c r="I5012" t="n">
        <v>0</v>
      </c>
      <c r="J5012" t="n">
        <v>0</v>
      </c>
      <c r="K5012" t="n">
        <v>0</v>
      </c>
      <c r="L5012" t="n">
        <v>0</v>
      </c>
      <c r="M5012" t="n">
        <v>0</v>
      </c>
      <c r="N5012" t="n">
        <v>0</v>
      </c>
      <c r="O5012" t="n">
        <v>0</v>
      </c>
      <c r="P5012" t="n">
        <v>0</v>
      </c>
      <c r="Q5012" t="n">
        <v>0</v>
      </c>
      <c r="R5012" s="2" t="inlineStr"/>
    </row>
    <row r="5013" ht="15" customHeight="1">
      <c r="A5013" t="inlineStr">
        <is>
          <t>A 4784-2024</t>
        </is>
      </c>
      <c r="B5013" s="1" t="n">
        <v>45328.78028935185</v>
      </c>
      <c r="C5013" s="1" t="n">
        <v>45962</v>
      </c>
      <c r="D5013" t="inlineStr">
        <is>
          <t>JÖNKÖPINGS LÄN</t>
        </is>
      </c>
      <c r="E5013" t="inlineStr">
        <is>
          <t>EKSJÖ</t>
        </is>
      </c>
      <c r="G5013" t="n">
        <v>1</v>
      </c>
      <c r="H5013" t="n">
        <v>0</v>
      </c>
      <c r="I5013" t="n">
        <v>0</v>
      </c>
      <c r="J5013" t="n">
        <v>0</v>
      </c>
      <c r="K5013" t="n">
        <v>0</v>
      </c>
      <c r="L5013" t="n">
        <v>0</v>
      </c>
      <c r="M5013" t="n">
        <v>0</v>
      </c>
      <c r="N5013" t="n">
        <v>0</v>
      </c>
      <c r="O5013" t="n">
        <v>0</v>
      </c>
      <c r="P5013" t="n">
        <v>0</v>
      </c>
      <c r="Q5013" t="n">
        <v>0</v>
      </c>
      <c r="R5013" s="2" t="inlineStr"/>
    </row>
    <row r="5014" ht="15" customHeight="1">
      <c r="A5014" t="inlineStr">
        <is>
          <t>A 4792-2024</t>
        </is>
      </c>
      <c r="B5014" s="1" t="n">
        <v>45328.82097222222</v>
      </c>
      <c r="C5014" s="1" t="n">
        <v>45962</v>
      </c>
      <c r="D5014" t="inlineStr">
        <is>
          <t>JÖNKÖPINGS LÄN</t>
        </is>
      </c>
      <c r="E5014" t="inlineStr">
        <is>
          <t>VÄRNAMO</t>
        </is>
      </c>
      <c r="G5014" t="n">
        <v>1.8</v>
      </c>
      <c r="H5014" t="n">
        <v>0</v>
      </c>
      <c r="I5014" t="n">
        <v>0</v>
      </c>
      <c r="J5014" t="n">
        <v>0</v>
      </c>
      <c r="K5014" t="n">
        <v>0</v>
      </c>
      <c r="L5014" t="n">
        <v>0</v>
      </c>
      <c r="M5014" t="n">
        <v>0</v>
      </c>
      <c r="N5014" t="n">
        <v>0</v>
      </c>
      <c r="O5014" t="n">
        <v>0</v>
      </c>
      <c r="P5014" t="n">
        <v>0</v>
      </c>
      <c r="Q5014" t="n">
        <v>0</v>
      </c>
      <c r="R5014" s="2" t="inlineStr"/>
    </row>
    <row r="5015" ht="15" customHeight="1">
      <c r="A5015" t="inlineStr">
        <is>
          <t>A 8272-2024</t>
        </is>
      </c>
      <c r="B5015" s="1" t="n">
        <v>45352.35792824074</v>
      </c>
      <c r="C5015" s="1" t="n">
        <v>45962</v>
      </c>
      <c r="D5015" t="inlineStr">
        <is>
          <t>JÖNKÖPINGS LÄN</t>
        </is>
      </c>
      <c r="E5015" t="inlineStr">
        <is>
          <t>GISLAVED</t>
        </is>
      </c>
      <c r="G5015" t="n">
        <v>4</v>
      </c>
      <c r="H5015" t="n">
        <v>0</v>
      </c>
      <c r="I5015" t="n">
        <v>0</v>
      </c>
      <c r="J5015" t="n">
        <v>0</v>
      </c>
      <c r="K5015" t="n">
        <v>0</v>
      </c>
      <c r="L5015" t="n">
        <v>0</v>
      </c>
      <c r="M5015" t="n">
        <v>0</v>
      </c>
      <c r="N5015" t="n">
        <v>0</v>
      </c>
      <c r="O5015" t="n">
        <v>0</v>
      </c>
      <c r="P5015" t="n">
        <v>0</v>
      </c>
      <c r="Q5015" t="n">
        <v>0</v>
      </c>
      <c r="R5015" s="2" t="inlineStr"/>
    </row>
    <row r="5016" ht="15" customHeight="1">
      <c r="A5016" t="inlineStr">
        <is>
          <t>A 11260-2023</t>
        </is>
      </c>
      <c r="B5016" s="1" t="n">
        <v>44992.67101851852</v>
      </c>
      <c r="C5016" s="1" t="n">
        <v>45962</v>
      </c>
      <c r="D5016" t="inlineStr">
        <is>
          <t>JÖNKÖPINGS LÄN</t>
        </is>
      </c>
      <c r="E5016" t="inlineStr">
        <is>
          <t>JÖNKÖPING</t>
        </is>
      </c>
      <c r="G5016" t="n">
        <v>2.4</v>
      </c>
      <c r="H5016" t="n">
        <v>0</v>
      </c>
      <c r="I5016" t="n">
        <v>0</v>
      </c>
      <c r="J5016" t="n">
        <v>0</v>
      </c>
      <c r="K5016" t="n">
        <v>0</v>
      </c>
      <c r="L5016" t="n">
        <v>0</v>
      </c>
      <c r="M5016" t="n">
        <v>0</v>
      </c>
      <c r="N5016" t="n">
        <v>0</v>
      </c>
      <c r="O5016" t="n">
        <v>0</v>
      </c>
      <c r="P5016" t="n">
        <v>0</v>
      </c>
      <c r="Q5016" t="n">
        <v>0</v>
      </c>
      <c r="R5016" s="2" t="inlineStr"/>
      <c r="U5016">
        <f>HYPERLINK("https://klasma.github.io/Logging_0680/knärot/A 11260-2023 karta knärot.png", "A 11260-2023")</f>
        <v/>
      </c>
      <c r="V5016">
        <f>HYPERLINK("https://klasma.github.io/Logging_0680/klagomål/A 11260-2023 FSC-klagomål.docx", "A 11260-2023")</f>
        <v/>
      </c>
      <c r="W5016">
        <f>HYPERLINK("https://klasma.github.io/Logging_0680/klagomålsmail/A 11260-2023 FSC-klagomål mail.docx", "A 11260-2023")</f>
        <v/>
      </c>
      <c r="X5016">
        <f>HYPERLINK("https://klasma.github.io/Logging_0680/tillsyn/A 11260-2023 tillsynsbegäran.docx", "A 11260-2023")</f>
        <v/>
      </c>
      <c r="Y5016">
        <f>HYPERLINK("https://klasma.github.io/Logging_0680/tillsynsmail/A 11260-2023 tillsynsbegäran mail.docx", "A 11260-2023")</f>
        <v/>
      </c>
    </row>
    <row r="5017" ht="15" customHeight="1">
      <c r="A5017" t="inlineStr">
        <is>
          <t>A 44112-2021</t>
        </is>
      </c>
      <c r="B5017" s="1" t="n">
        <v>44434</v>
      </c>
      <c r="C5017" s="1" t="n">
        <v>45962</v>
      </c>
      <c r="D5017" t="inlineStr">
        <is>
          <t>JÖNKÖPINGS LÄN</t>
        </is>
      </c>
      <c r="E5017" t="inlineStr">
        <is>
          <t>VETLANDA</t>
        </is>
      </c>
      <c r="G5017" t="n">
        <v>0.3</v>
      </c>
      <c r="H5017" t="n">
        <v>0</v>
      </c>
      <c r="I5017" t="n">
        <v>0</v>
      </c>
      <c r="J5017" t="n">
        <v>0</v>
      </c>
      <c r="K5017" t="n">
        <v>0</v>
      </c>
      <c r="L5017" t="n">
        <v>0</v>
      </c>
      <c r="M5017" t="n">
        <v>0</v>
      </c>
      <c r="N5017" t="n">
        <v>0</v>
      </c>
      <c r="O5017" t="n">
        <v>0</v>
      </c>
      <c r="P5017" t="n">
        <v>0</v>
      </c>
      <c r="Q5017" t="n">
        <v>0</v>
      </c>
      <c r="R5017" s="2" t="inlineStr"/>
    </row>
    <row r="5018" ht="15" customHeight="1">
      <c r="A5018" t="inlineStr">
        <is>
          <t>A 44816-2021</t>
        </is>
      </c>
      <c r="B5018" s="1" t="n">
        <v>44438.52559027778</v>
      </c>
      <c r="C5018" s="1" t="n">
        <v>45962</v>
      </c>
      <c r="D5018" t="inlineStr">
        <is>
          <t>JÖNKÖPINGS LÄN</t>
        </is>
      </c>
      <c r="E5018" t="inlineStr">
        <is>
          <t>GNOSJÖ</t>
        </is>
      </c>
      <c r="G5018" t="n">
        <v>1.4</v>
      </c>
      <c r="H5018" t="n">
        <v>0</v>
      </c>
      <c r="I5018" t="n">
        <v>0</v>
      </c>
      <c r="J5018" t="n">
        <v>0</v>
      </c>
      <c r="K5018" t="n">
        <v>0</v>
      </c>
      <c r="L5018" t="n">
        <v>0</v>
      </c>
      <c r="M5018" t="n">
        <v>0</v>
      </c>
      <c r="N5018" t="n">
        <v>0</v>
      </c>
      <c r="O5018" t="n">
        <v>0</v>
      </c>
      <c r="P5018" t="n">
        <v>0</v>
      </c>
      <c r="Q5018" t="n">
        <v>0</v>
      </c>
      <c r="R5018" s="2" t="inlineStr"/>
    </row>
    <row r="5019" ht="15" customHeight="1">
      <c r="A5019" t="inlineStr">
        <is>
          <t>A 43976-2022</t>
        </is>
      </c>
      <c r="B5019" s="1" t="n">
        <v>44838</v>
      </c>
      <c r="C5019" s="1" t="n">
        <v>45962</v>
      </c>
      <c r="D5019" t="inlineStr">
        <is>
          <t>JÖNKÖPINGS LÄN</t>
        </is>
      </c>
      <c r="E5019" t="inlineStr">
        <is>
          <t>SÄVSJÖ</t>
        </is>
      </c>
      <c r="G5019" t="n">
        <v>1</v>
      </c>
      <c r="H5019" t="n">
        <v>0</v>
      </c>
      <c r="I5019" t="n">
        <v>0</v>
      </c>
      <c r="J5019" t="n">
        <v>0</v>
      </c>
      <c r="K5019" t="n">
        <v>0</v>
      </c>
      <c r="L5019" t="n">
        <v>0</v>
      </c>
      <c r="M5019" t="n">
        <v>0</v>
      </c>
      <c r="N5019" t="n">
        <v>0</v>
      </c>
      <c r="O5019" t="n">
        <v>0</v>
      </c>
      <c r="P5019" t="n">
        <v>0</v>
      </c>
      <c r="Q5019" t="n">
        <v>0</v>
      </c>
      <c r="R5019" s="2" t="inlineStr"/>
    </row>
    <row r="5020" ht="15" customHeight="1">
      <c r="A5020" t="inlineStr">
        <is>
          <t>A 56333-2022</t>
        </is>
      </c>
      <c r="B5020" s="1" t="n">
        <v>44890</v>
      </c>
      <c r="C5020" s="1" t="n">
        <v>45962</v>
      </c>
      <c r="D5020" t="inlineStr">
        <is>
          <t>JÖNKÖPINGS LÄN</t>
        </is>
      </c>
      <c r="E5020" t="inlineStr">
        <is>
          <t>ANEBY</t>
        </is>
      </c>
      <c r="G5020" t="n">
        <v>2.1</v>
      </c>
      <c r="H5020" t="n">
        <v>0</v>
      </c>
      <c r="I5020" t="n">
        <v>0</v>
      </c>
      <c r="J5020" t="n">
        <v>0</v>
      </c>
      <c r="K5020" t="n">
        <v>0</v>
      </c>
      <c r="L5020" t="n">
        <v>0</v>
      </c>
      <c r="M5020" t="n">
        <v>0</v>
      </c>
      <c r="N5020" t="n">
        <v>0</v>
      </c>
      <c r="O5020" t="n">
        <v>0</v>
      </c>
      <c r="P5020" t="n">
        <v>0</v>
      </c>
      <c r="Q5020" t="n">
        <v>0</v>
      </c>
      <c r="R5020" s="2" t="inlineStr"/>
    </row>
    <row r="5021" ht="15" customHeight="1">
      <c r="A5021" t="inlineStr">
        <is>
          <t>A 56339-2022</t>
        </is>
      </c>
      <c r="B5021" s="1" t="n">
        <v>44890</v>
      </c>
      <c r="C5021" s="1" t="n">
        <v>45962</v>
      </c>
      <c r="D5021" t="inlineStr">
        <is>
          <t>JÖNKÖPINGS LÄN</t>
        </is>
      </c>
      <c r="E5021" t="inlineStr">
        <is>
          <t>ANEBY</t>
        </is>
      </c>
      <c r="G5021" t="n">
        <v>1.5</v>
      </c>
      <c r="H5021" t="n">
        <v>0</v>
      </c>
      <c r="I5021" t="n">
        <v>0</v>
      </c>
      <c r="J5021" t="n">
        <v>0</v>
      </c>
      <c r="K5021" t="n">
        <v>0</v>
      </c>
      <c r="L5021" t="n">
        <v>0</v>
      </c>
      <c r="M5021" t="n">
        <v>0</v>
      </c>
      <c r="N5021" t="n">
        <v>0</v>
      </c>
      <c r="O5021" t="n">
        <v>0</v>
      </c>
      <c r="P5021" t="n">
        <v>0</v>
      </c>
      <c r="Q5021" t="n">
        <v>0</v>
      </c>
      <c r="R5021" s="2" t="inlineStr"/>
    </row>
    <row r="5022" ht="15" customHeight="1">
      <c r="A5022" t="inlineStr">
        <is>
          <t>A 59170-2024</t>
        </is>
      </c>
      <c r="B5022" s="1" t="n">
        <v>45637</v>
      </c>
      <c r="C5022" s="1" t="n">
        <v>45962</v>
      </c>
      <c r="D5022" t="inlineStr">
        <is>
          <t>JÖNKÖPINGS LÄN</t>
        </is>
      </c>
      <c r="E5022" t="inlineStr">
        <is>
          <t>GISLAVED</t>
        </is>
      </c>
      <c r="G5022" t="n">
        <v>1</v>
      </c>
      <c r="H5022" t="n">
        <v>0</v>
      </c>
      <c r="I5022" t="n">
        <v>0</v>
      </c>
      <c r="J5022" t="n">
        <v>0</v>
      </c>
      <c r="K5022" t="n">
        <v>0</v>
      </c>
      <c r="L5022" t="n">
        <v>0</v>
      </c>
      <c r="M5022" t="n">
        <v>0</v>
      </c>
      <c r="N5022" t="n">
        <v>0</v>
      </c>
      <c r="O5022" t="n">
        <v>0</v>
      </c>
      <c r="P5022" t="n">
        <v>0</v>
      </c>
      <c r="Q5022" t="n">
        <v>0</v>
      </c>
      <c r="R5022" s="2" t="inlineStr"/>
    </row>
    <row r="5023" ht="15" customHeight="1">
      <c r="A5023" t="inlineStr">
        <is>
          <t>A 59178-2024</t>
        </is>
      </c>
      <c r="B5023" s="1" t="n">
        <v>45637.51090277778</v>
      </c>
      <c r="C5023" s="1" t="n">
        <v>45962</v>
      </c>
      <c r="D5023" t="inlineStr">
        <is>
          <t>JÖNKÖPINGS LÄN</t>
        </is>
      </c>
      <c r="E5023" t="inlineStr">
        <is>
          <t>JÖNKÖPING</t>
        </is>
      </c>
      <c r="G5023" t="n">
        <v>1.6</v>
      </c>
      <c r="H5023" t="n">
        <v>0</v>
      </c>
      <c r="I5023" t="n">
        <v>0</v>
      </c>
      <c r="J5023" t="n">
        <v>0</v>
      </c>
      <c r="K5023" t="n">
        <v>0</v>
      </c>
      <c r="L5023" t="n">
        <v>0</v>
      </c>
      <c r="M5023" t="n">
        <v>0</v>
      </c>
      <c r="N5023" t="n">
        <v>0</v>
      </c>
      <c r="O5023" t="n">
        <v>0</v>
      </c>
      <c r="P5023" t="n">
        <v>0</v>
      </c>
      <c r="Q5023" t="n">
        <v>0</v>
      </c>
      <c r="R5023" s="2" t="inlineStr"/>
    </row>
    <row r="5024" ht="15" customHeight="1">
      <c r="A5024" t="inlineStr">
        <is>
          <t>A 14226-2024</t>
        </is>
      </c>
      <c r="B5024" s="1" t="n">
        <v>45393</v>
      </c>
      <c r="C5024" s="1" t="n">
        <v>45962</v>
      </c>
      <c r="D5024" t="inlineStr">
        <is>
          <t>JÖNKÖPINGS LÄN</t>
        </is>
      </c>
      <c r="E5024" t="inlineStr">
        <is>
          <t>MULLSJÖ</t>
        </is>
      </c>
      <c r="G5024" t="n">
        <v>2.4</v>
      </c>
      <c r="H5024" t="n">
        <v>0</v>
      </c>
      <c r="I5024" t="n">
        <v>0</v>
      </c>
      <c r="J5024" t="n">
        <v>0</v>
      </c>
      <c r="K5024" t="n">
        <v>0</v>
      </c>
      <c r="L5024" t="n">
        <v>0</v>
      </c>
      <c r="M5024" t="n">
        <v>0</v>
      </c>
      <c r="N5024" t="n">
        <v>0</v>
      </c>
      <c r="O5024" t="n">
        <v>0</v>
      </c>
      <c r="P5024" t="n">
        <v>0</v>
      </c>
      <c r="Q5024" t="n">
        <v>0</v>
      </c>
      <c r="R5024" s="2" t="inlineStr"/>
    </row>
    <row r="5025" ht="15" customHeight="1">
      <c r="A5025" t="inlineStr">
        <is>
          <t>A 62421-2023</t>
        </is>
      </c>
      <c r="B5025" s="1" t="n">
        <v>45268</v>
      </c>
      <c r="C5025" s="1" t="n">
        <v>45962</v>
      </c>
      <c r="D5025" t="inlineStr">
        <is>
          <t>JÖNKÖPINGS LÄN</t>
        </is>
      </c>
      <c r="E5025" t="inlineStr">
        <is>
          <t>SÄVSJÖ</t>
        </is>
      </c>
      <c r="G5025" t="n">
        <v>2.1</v>
      </c>
      <c r="H5025" t="n">
        <v>0</v>
      </c>
      <c r="I5025" t="n">
        <v>0</v>
      </c>
      <c r="J5025" t="n">
        <v>0</v>
      </c>
      <c r="K5025" t="n">
        <v>0</v>
      </c>
      <c r="L5025" t="n">
        <v>0</v>
      </c>
      <c r="M5025" t="n">
        <v>0</v>
      </c>
      <c r="N5025" t="n">
        <v>0</v>
      </c>
      <c r="O5025" t="n">
        <v>0</v>
      </c>
      <c r="P5025" t="n">
        <v>0</v>
      </c>
      <c r="Q5025" t="n">
        <v>0</v>
      </c>
      <c r="R5025" s="2" t="inlineStr"/>
    </row>
    <row r="5026" ht="15" customHeight="1">
      <c r="A5026" t="inlineStr">
        <is>
          <t>A 30114-2025</t>
        </is>
      </c>
      <c r="B5026" s="1" t="n">
        <v>45826</v>
      </c>
      <c r="C5026" s="1" t="n">
        <v>45962</v>
      </c>
      <c r="D5026" t="inlineStr">
        <is>
          <t>JÖNKÖPINGS LÄN</t>
        </is>
      </c>
      <c r="E5026" t="inlineStr">
        <is>
          <t>VÄRNAMO</t>
        </is>
      </c>
      <c r="G5026" t="n">
        <v>0.8</v>
      </c>
      <c r="H5026" t="n">
        <v>0</v>
      </c>
      <c r="I5026" t="n">
        <v>0</v>
      </c>
      <c r="J5026" t="n">
        <v>0</v>
      </c>
      <c r="K5026" t="n">
        <v>0</v>
      </c>
      <c r="L5026" t="n">
        <v>0</v>
      </c>
      <c r="M5026" t="n">
        <v>0</v>
      </c>
      <c r="N5026" t="n">
        <v>0</v>
      </c>
      <c r="O5026" t="n">
        <v>0</v>
      </c>
      <c r="P5026" t="n">
        <v>0</v>
      </c>
      <c r="Q5026" t="n">
        <v>0</v>
      </c>
      <c r="R5026" s="2" t="inlineStr"/>
    </row>
    <row r="5027" ht="15" customHeight="1">
      <c r="A5027" t="inlineStr">
        <is>
          <t>A 57584-2021</t>
        </is>
      </c>
      <c r="B5027" s="1" t="n">
        <v>44484.32797453704</v>
      </c>
      <c r="C5027" s="1" t="n">
        <v>45962</v>
      </c>
      <c r="D5027" t="inlineStr">
        <is>
          <t>JÖNKÖPINGS LÄN</t>
        </is>
      </c>
      <c r="E5027" t="inlineStr">
        <is>
          <t>VETLANDA</t>
        </is>
      </c>
      <c r="G5027" t="n">
        <v>0.8</v>
      </c>
      <c r="H5027" t="n">
        <v>0</v>
      </c>
      <c r="I5027" t="n">
        <v>0</v>
      </c>
      <c r="J5027" t="n">
        <v>0</v>
      </c>
      <c r="K5027" t="n">
        <v>0</v>
      </c>
      <c r="L5027" t="n">
        <v>0</v>
      </c>
      <c r="M5027" t="n">
        <v>0</v>
      </c>
      <c r="N5027" t="n">
        <v>0</v>
      </c>
      <c r="O5027" t="n">
        <v>0</v>
      </c>
      <c r="P5027" t="n">
        <v>0</v>
      </c>
      <c r="Q5027" t="n">
        <v>0</v>
      </c>
      <c r="R5027" s="2" t="inlineStr"/>
    </row>
    <row r="5028" ht="15" customHeight="1">
      <c r="A5028" t="inlineStr">
        <is>
          <t>A 30040-2025</t>
        </is>
      </c>
      <c r="B5028" s="1" t="n">
        <v>45826.57376157407</v>
      </c>
      <c r="C5028" s="1" t="n">
        <v>45962</v>
      </c>
      <c r="D5028" t="inlineStr">
        <is>
          <t>JÖNKÖPINGS LÄN</t>
        </is>
      </c>
      <c r="E5028" t="inlineStr">
        <is>
          <t>VETLANDA</t>
        </is>
      </c>
      <c r="G5028" t="n">
        <v>3.7</v>
      </c>
      <c r="H5028" t="n">
        <v>0</v>
      </c>
      <c r="I5028" t="n">
        <v>0</v>
      </c>
      <c r="J5028" t="n">
        <v>0</v>
      </c>
      <c r="K5028" t="n">
        <v>0</v>
      </c>
      <c r="L5028" t="n">
        <v>0</v>
      </c>
      <c r="M5028" t="n">
        <v>0</v>
      </c>
      <c r="N5028" t="n">
        <v>0</v>
      </c>
      <c r="O5028" t="n">
        <v>0</v>
      </c>
      <c r="P5028" t="n">
        <v>0</v>
      </c>
      <c r="Q5028" t="n">
        <v>0</v>
      </c>
      <c r="R5028" s="2" t="inlineStr"/>
    </row>
    <row r="5029" ht="15" customHeight="1">
      <c r="A5029" t="inlineStr">
        <is>
          <t>A 14786-2025</t>
        </is>
      </c>
      <c r="B5029" s="1" t="n">
        <v>45742.76657407408</v>
      </c>
      <c r="C5029" s="1" t="n">
        <v>45962</v>
      </c>
      <c r="D5029" t="inlineStr">
        <is>
          <t>JÖNKÖPINGS LÄN</t>
        </is>
      </c>
      <c r="E5029" t="inlineStr">
        <is>
          <t>NÄSSJÖ</t>
        </is>
      </c>
      <c r="G5029" t="n">
        <v>2.3</v>
      </c>
      <c r="H5029" t="n">
        <v>0</v>
      </c>
      <c r="I5029" t="n">
        <v>0</v>
      </c>
      <c r="J5029" t="n">
        <v>0</v>
      </c>
      <c r="K5029" t="n">
        <v>0</v>
      </c>
      <c r="L5029" t="n">
        <v>0</v>
      </c>
      <c r="M5029" t="n">
        <v>0</v>
      </c>
      <c r="N5029" t="n">
        <v>0</v>
      </c>
      <c r="O5029" t="n">
        <v>0</v>
      </c>
      <c r="P5029" t="n">
        <v>0</v>
      </c>
      <c r="Q5029" t="n">
        <v>0</v>
      </c>
      <c r="R5029" s="2" t="inlineStr"/>
    </row>
    <row r="5030" ht="15" customHeight="1">
      <c r="A5030" t="inlineStr">
        <is>
          <t>A 56866-2024</t>
        </is>
      </c>
      <c r="B5030" s="1" t="n">
        <v>45628.5562037037</v>
      </c>
      <c r="C5030" s="1" t="n">
        <v>45962</v>
      </c>
      <c r="D5030" t="inlineStr">
        <is>
          <t>JÖNKÖPINGS LÄN</t>
        </is>
      </c>
      <c r="E5030" t="inlineStr">
        <is>
          <t>VAGGERYD</t>
        </is>
      </c>
      <c r="G5030" t="n">
        <v>2.1</v>
      </c>
      <c r="H5030" t="n">
        <v>0</v>
      </c>
      <c r="I5030" t="n">
        <v>0</v>
      </c>
      <c r="J5030" t="n">
        <v>0</v>
      </c>
      <c r="K5030" t="n">
        <v>0</v>
      </c>
      <c r="L5030" t="n">
        <v>0</v>
      </c>
      <c r="M5030" t="n">
        <v>0</v>
      </c>
      <c r="N5030" t="n">
        <v>0</v>
      </c>
      <c r="O5030" t="n">
        <v>0</v>
      </c>
      <c r="P5030" t="n">
        <v>0</v>
      </c>
      <c r="Q5030" t="n">
        <v>0</v>
      </c>
      <c r="R5030" s="2" t="inlineStr"/>
    </row>
    <row r="5031" ht="15" customHeight="1">
      <c r="A5031" t="inlineStr">
        <is>
          <t>A 33409-2025</t>
        </is>
      </c>
      <c r="B5031" s="1" t="n">
        <v>45841.43238425926</v>
      </c>
      <c r="C5031" s="1" t="n">
        <v>45962</v>
      </c>
      <c r="D5031" t="inlineStr">
        <is>
          <t>JÖNKÖPINGS LÄN</t>
        </is>
      </c>
      <c r="E5031" t="inlineStr">
        <is>
          <t>NÄSSJÖ</t>
        </is>
      </c>
      <c r="G5031" t="n">
        <v>1</v>
      </c>
      <c r="H5031" t="n">
        <v>0</v>
      </c>
      <c r="I5031" t="n">
        <v>0</v>
      </c>
      <c r="J5031" t="n">
        <v>0</v>
      </c>
      <c r="K5031" t="n">
        <v>0</v>
      </c>
      <c r="L5031" t="n">
        <v>0</v>
      </c>
      <c r="M5031" t="n">
        <v>0</v>
      </c>
      <c r="N5031" t="n">
        <v>0</v>
      </c>
      <c r="O5031" t="n">
        <v>0</v>
      </c>
      <c r="P5031" t="n">
        <v>0</v>
      </c>
      <c r="Q5031" t="n">
        <v>0</v>
      </c>
      <c r="R5031" s="2" t="inlineStr"/>
    </row>
    <row r="5032" ht="15" customHeight="1">
      <c r="A5032" t="inlineStr">
        <is>
          <t>A 2368-2025</t>
        </is>
      </c>
      <c r="B5032" s="1" t="n">
        <v>45673.74596064815</v>
      </c>
      <c r="C5032" s="1" t="n">
        <v>45962</v>
      </c>
      <c r="D5032" t="inlineStr">
        <is>
          <t>JÖNKÖPINGS LÄN</t>
        </is>
      </c>
      <c r="E5032" t="inlineStr">
        <is>
          <t>VETLANDA</t>
        </is>
      </c>
      <c r="G5032" t="n">
        <v>1.9</v>
      </c>
      <c r="H5032" t="n">
        <v>0</v>
      </c>
      <c r="I5032" t="n">
        <v>0</v>
      </c>
      <c r="J5032" t="n">
        <v>0</v>
      </c>
      <c r="K5032" t="n">
        <v>0</v>
      </c>
      <c r="L5032" t="n">
        <v>0</v>
      </c>
      <c r="M5032" t="n">
        <v>0</v>
      </c>
      <c r="N5032" t="n">
        <v>0</v>
      </c>
      <c r="O5032" t="n">
        <v>0</v>
      </c>
      <c r="P5032" t="n">
        <v>0</v>
      </c>
      <c r="Q5032" t="n">
        <v>0</v>
      </c>
      <c r="R5032" s="2" t="inlineStr"/>
    </row>
    <row r="5033" ht="15" customHeight="1">
      <c r="A5033" t="inlineStr">
        <is>
          <t>A 46995-2025</t>
        </is>
      </c>
      <c r="B5033" s="1" t="n">
        <v>45929.54777777778</v>
      </c>
      <c r="C5033" s="1" t="n">
        <v>45962</v>
      </c>
      <c r="D5033" t="inlineStr">
        <is>
          <t>JÖNKÖPINGS LÄN</t>
        </is>
      </c>
      <c r="E5033" t="inlineStr">
        <is>
          <t>JÖNKÖPING</t>
        </is>
      </c>
      <c r="G5033" t="n">
        <v>1.1</v>
      </c>
      <c r="H5033" t="n">
        <v>0</v>
      </c>
      <c r="I5033" t="n">
        <v>0</v>
      </c>
      <c r="J5033" t="n">
        <v>0</v>
      </c>
      <c r="K5033" t="n">
        <v>0</v>
      </c>
      <c r="L5033" t="n">
        <v>0</v>
      </c>
      <c r="M5033" t="n">
        <v>0</v>
      </c>
      <c r="N5033" t="n">
        <v>0</v>
      </c>
      <c r="O5033" t="n">
        <v>0</v>
      </c>
      <c r="P5033" t="n">
        <v>0</v>
      </c>
      <c r="Q5033" t="n">
        <v>0</v>
      </c>
      <c r="R5033" s="2" t="inlineStr"/>
    </row>
    <row r="5034" ht="15" customHeight="1">
      <c r="A5034" t="inlineStr">
        <is>
          <t>A 56471-2022</t>
        </is>
      </c>
      <c r="B5034" s="1" t="n">
        <v>44893</v>
      </c>
      <c r="C5034" s="1" t="n">
        <v>45962</v>
      </c>
      <c r="D5034" t="inlineStr">
        <is>
          <t>JÖNKÖPINGS LÄN</t>
        </is>
      </c>
      <c r="E5034" t="inlineStr">
        <is>
          <t>GISLAVED</t>
        </is>
      </c>
      <c r="G5034" t="n">
        <v>0.4</v>
      </c>
      <c r="H5034" t="n">
        <v>0</v>
      </c>
      <c r="I5034" t="n">
        <v>0</v>
      </c>
      <c r="J5034" t="n">
        <v>0</v>
      </c>
      <c r="K5034" t="n">
        <v>0</v>
      </c>
      <c r="L5034" t="n">
        <v>0</v>
      </c>
      <c r="M5034" t="n">
        <v>0</v>
      </c>
      <c r="N5034" t="n">
        <v>0</v>
      </c>
      <c r="O5034" t="n">
        <v>0</v>
      </c>
      <c r="P5034" t="n">
        <v>0</v>
      </c>
      <c r="Q5034" t="n">
        <v>0</v>
      </c>
      <c r="R5034" s="2" t="inlineStr"/>
    </row>
    <row r="5035" ht="15" customHeight="1">
      <c r="A5035" t="inlineStr">
        <is>
          <t>A 10377-2024</t>
        </is>
      </c>
      <c r="B5035" s="1" t="n">
        <v>45365.63964120371</v>
      </c>
      <c r="C5035" s="1" t="n">
        <v>45962</v>
      </c>
      <c r="D5035" t="inlineStr">
        <is>
          <t>JÖNKÖPINGS LÄN</t>
        </is>
      </c>
      <c r="E5035" t="inlineStr">
        <is>
          <t>VETLANDA</t>
        </is>
      </c>
      <c r="G5035" t="n">
        <v>3.7</v>
      </c>
      <c r="H5035" t="n">
        <v>0</v>
      </c>
      <c r="I5035" t="n">
        <v>0</v>
      </c>
      <c r="J5035" t="n">
        <v>0</v>
      </c>
      <c r="K5035" t="n">
        <v>0</v>
      </c>
      <c r="L5035" t="n">
        <v>0</v>
      </c>
      <c r="M5035" t="n">
        <v>0</v>
      </c>
      <c r="N5035" t="n">
        <v>0</v>
      </c>
      <c r="O5035" t="n">
        <v>0</v>
      </c>
      <c r="P5035" t="n">
        <v>0</v>
      </c>
      <c r="Q5035" t="n">
        <v>0</v>
      </c>
      <c r="R5035" s="2" t="inlineStr"/>
    </row>
    <row r="5036" ht="15" customHeight="1">
      <c r="A5036" t="inlineStr">
        <is>
          <t>A 55293-2024</t>
        </is>
      </c>
      <c r="B5036" s="1" t="n">
        <v>45621</v>
      </c>
      <c r="C5036" s="1" t="n">
        <v>45962</v>
      </c>
      <c r="D5036" t="inlineStr">
        <is>
          <t>JÖNKÖPINGS LÄN</t>
        </is>
      </c>
      <c r="E5036" t="inlineStr">
        <is>
          <t>MULLSJÖ</t>
        </is>
      </c>
      <c r="G5036" t="n">
        <v>1.2</v>
      </c>
      <c r="H5036" t="n">
        <v>0</v>
      </c>
      <c r="I5036" t="n">
        <v>0</v>
      </c>
      <c r="J5036" t="n">
        <v>0</v>
      </c>
      <c r="K5036" t="n">
        <v>0</v>
      </c>
      <c r="L5036" t="n">
        <v>0</v>
      </c>
      <c r="M5036" t="n">
        <v>0</v>
      </c>
      <c r="N5036" t="n">
        <v>0</v>
      </c>
      <c r="O5036" t="n">
        <v>0</v>
      </c>
      <c r="P5036" t="n">
        <v>0</v>
      </c>
      <c r="Q5036" t="n">
        <v>0</v>
      </c>
      <c r="R5036" s="2" t="inlineStr"/>
    </row>
    <row r="5037" ht="15" customHeight="1">
      <c r="A5037" t="inlineStr">
        <is>
          <t>A 55295-2024</t>
        </is>
      </c>
      <c r="B5037" s="1" t="n">
        <v>45621</v>
      </c>
      <c r="C5037" s="1" t="n">
        <v>45962</v>
      </c>
      <c r="D5037" t="inlineStr">
        <is>
          <t>JÖNKÖPINGS LÄN</t>
        </is>
      </c>
      <c r="E5037" t="inlineStr">
        <is>
          <t>MULLSJÖ</t>
        </is>
      </c>
      <c r="G5037" t="n">
        <v>2.8</v>
      </c>
      <c r="H5037" t="n">
        <v>0</v>
      </c>
      <c r="I5037" t="n">
        <v>0</v>
      </c>
      <c r="J5037" t="n">
        <v>0</v>
      </c>
      <c r="K5037" t="n">
        <v>0</v>
      </c>
      <c r="L5037" t="n">
        <v>0</v>
      </c>
      <c r="M5037" t="n">
        <v>0</v>
      </c>
      <c r="N5037" t="n">
        <v>0</v>
      </c>
      <c r="O5037" t="n">
        <v>0</v>
      </c>
      <c r="P5037" t="n">
        <v>0</v>
      </c>
      <c r="Q5037" t="n">
        <v>0</v>
      </c>
      <c r="R5037" s="2" t="inlineStr"/>
    </row>
    <row r="5038" ht="15" customHeight="1">
      <c r="A5038" t="inlineStr">
        <is>
          <t>A 55296-2024</t>
        </is>
      </c>
      <c r="B5038" s="1" t="n">
        <v>45621</v>
      </c>
      <c r="C5038" s="1" t="n">
        <v>45962</v>
      </c>
      <c r="D5038" t="inlineStr">
        <is>
          <t>JÖNKÖPINGS LÄN</t>
        </is>
      </c>
      <c r="E5038" t="inlineStr">
        <is>
          <t>MULLSJÖ</t>
        </is>
      </c>
      <c r="G5038" t="n">
        <v>4.7</v>
      </c>
      <c r="H5038" t="n">
        <v>0</v>
      </c>
      <c r="I5038" t="n">
        <v>0</v>
      </c>
      <c r="J5038" t="n">
        <v>0</v>
      </c>
      <c r="K5038" t="n">
        <v>0</v>
      </c>
      <c r="L5038" t="n">
        <v>0</v>
      </c>
      <c r="M5038" t="n">
        <v>0</v>
      </c>
      <c r="N5038" t="n">
        <v>0</v>
      </c>
      <c r="O5038" t="n">
        <v>0</v>
      </c>
      <c r="P5038" t="n">
        <v>0</v>
      </c>
      <c r="Q5038" t="n">
        <v>0</v>
      </c>
      <c r="R5038" s="2" t="inlineStr"/>
    </row>
    <row r="5039" ht="15" customHeight="1">
      <c r="A5039" t="inlineStr">
        <is>
          <t>A 8864-2022</t>
        </is>
      </c>
      <c r="B5039" s="1" t="n">
        <v>44614.56209490741</v>
      </c>
      <c r="C5039" s="1" t="n">
        <v>45962</v>
      </c>
      <c r="D5039" t="inlineStr">
        <is>
          <t>JÖNKÖPINGS LÄN</t>
        </is>
      </c>
      <c r="E5039" t="inlineStr">
        <is>
          <t>JÖNKÖPING</t>
        </is>
      </c>
      <c r="G5039" t="n">
        <v>1.7</v>
      </c>
      <c r="H5039" t="n">
        <v>0</v>
      </c>
      <c r="I5039" t="n">
        <v>0</v>
      </c>
      <c r="J5039" t="n">
        <v>0</v>
      </c>
      <c r="K5039" t="n">
        <v>0</v>
      </c>
      <c r="L5039" t="n">
        <v>0</v>
      </c>
      <c r="M5039" t="n">
        <v>0</v>
      </c>
      <c r="N5039" t="n">
        <v>0</v>
      </c>
      <c r="O5039" t="n">
        <v>0</v>
      </c>
      <c r="P5039" t="n">
        <v>0</v>
      </c>
      <c r="Q5039" t="n">
        <v>0</v>
      </c>
      <c r="R5039" s="2" t="inlineStr"/>
    </row>
    <row r="5040" ht="15" customHeight="1">
      <c r="A5040" t="inlineStr">
        <is>
          <t>A 37144-2023</t>
        </is>
      </c>
      <c r="B5040" s="1" t="n">
        <v>45154</v>
      </c>
      <c r="C5040" s="1" t="n">
        <v>45962</v>
      </c>
      <c r="D5040" t="inlineStr">
        <is>
          <t>JÖNKÖPINGS LÄN</t>
        </is>
      </c>
      <c r="E5040" t="inlineStr">
        <is>
          <t>EKSJÖ</t>
        </is>
      </c>
      <c r="G5040" t="n">
        <v>1.2</v>
      </c>
      <c r="H5040" t="n">
        <v>0</v>
      </c>
      <c r="I5040" t="n">
        <v>0</v>
      </c>
      <c r="J5040" t="n">
        <v>0</v>
      </c>
      <c r="K5040" t="n">
        <v>0</v>
      </c>
      <c r="L5040" t="n">
        <v>0</v>
      </c>
      <c r="M5040" t="n">
        <v>0</v>
      </c>
      <c r="N5040" t="n">
        <v>0</v>
      </c>
      <c r="O5040" t="n">
        <v>0</v>
      </c>
      <c r="P5040" t="n">
        <v>0</v>
      </c>
      <c r="Q5040" t="n">
        <v>0</v>
      </c>
      <c r="R5040" s="2" t="inlineStr"/>
    </row>
    <row r="5041" ht="15" customHeight="1">
      <c r="A5041" t="inlineStr">
        <is>
          <t>A 20250-2025</t>
        </is>
      </c>
      <c r="B5041" s="1" t="n">
        <v>45772.8017824074</v>
      </c>
      <c r="C5041" s="1" t="n">
        <v>45962</v>
      </c>
      <c r="D5041" t="inlineStr">
        <is>
          <t>JÖNKÖPINGS LÄN</t>
        </is>
      </c>
      <c r="E5041" t="inlineStr">
        <is>
          <t>GISLAVED</t>
        </is>
      </c>
      <c r="G5041" t="n">
        <v>0.9</v>
      </c>
      <c r="H5041" t="n">
        <v>0</v>
      </c>
      <c r="I5041" t="n">
        <v>0</v>
      </c>
      <c r="J5041" t="n">
        <v>0</v>
      </c>
      <c r="K5041" t="n">
        <v>0</v>
      </c>
      <c r="L5041" t="n">
        <v>0</v>
      </c>
      <c r="M5041" t="n">
        <v>0</v>
      </c>
      <c r="N5041" t="n">
        <v>0</v>
      </c>
      <c r="O5041" t="n">
        <v>0</v>
      </c>
      <c r="P5041" t="n">
        <v>0</v>
      </c>
      <c r="Q5041" t="n">
        <v>0</v>
      </c>
      <c r="R5041" s="2" t="inlineStr"/>
    </row>
    <row r="5042" ht="15" customHeight="1">
      <c r="A5042" t="inlineStr">
        <is>
          <t>A 20251-2025</t>
        </is>
      </c>
      <c r="B5042" s="1" t="n">
        <v>45772</v>
      </c>
      <c r="C5042" s="1" t="n">
        <v>45962</v>
      </c>
      <c r="D5042" t="inlineStr">
        <is>
          <t>JÖNKÖPINGS LÄN</t>
        </is>
      </c>
      <c r="E5042" t="inlineStr">
        <is>
          <t>VAGGERYD</t>
        </is>
      </c>
      <c r="G5042" t="n">
        <v>0.6</v>
      </c>
      <c r="H5042" t="n">
        <v>0</v>
      </c>
      <c r="I5042" t="n">
        <v>0</v>
      </c>
      <c r="J5042" t="n">
        <v>0</v>
      </c>
      <c r="K5042" t="n">
        <v>0</v>
      </c>
      <c r="L5042" t="n">
        <v>0</v>
      </c>
      <c r="M5042" t="n">
        <v>0</v>
      </c>
      <c r="N5042" t="n">
        <v>0</v>
      </c>
      <c r="O5042" t="n">
        <v>0</v>
      </c>
      <c r="P5042" t="n">
        <v>0</v>
      </c>
      <c r="Q5042" t="n">
        <v>0</v>
      </c>
      <c r="R5042" s="2" t="inlineStr"/>
    </row>
    <row r="5043" ht="15" customHeight="1">
      <c r="A5043" t="inlineStr">
        <is>
          <t>A 9889-2024</t>
        </is>
      </c>
      <c r="B5043" s="1" t="n">
        <v>45363</v>
      </c>
      <c r="C5043" s="1" t="n">
        <v>45962</v>
      </c>
      <c r="D5043" t="inlineStr">
        <is>
          <t>JÖNKÖPINGS LÄN</t>
        </is>
      </c>
      <c r="E5043" t="inlineStr">
        <is>
          <t>VETLANDA</t>
        </is>
      </c>
      <c r="F5043" t="inlineStr">
        <is>
          <t>Kyrkan</t>
        </is>
      </c>
      <c r="G5043" t="n">
        <v>1.4</v>
      </c>
      <c r="H5043" t="n">
        <v>0</v>
      </c>
      <c r="I5043" t="n">
        <v>0</v>
      </c>
      <c r="J5043" t="n">
        <v>0</v>
      </c>
      <c r="K5043" t="n">
        <v>0</v>
      </c>
      <c r="L5043" t="n">
        <v>0</v>
      </c>
      <c r="M5043" t="n">
        <v>0</v>
      </c>
      <c r="N5043" t="n">
        <v>0</v>
      </c>
      <c r="O5043" t="n">
        <v>0</v>
      </c>
      <c r="P5043" t="n">
        <v>0</v>
      </c>
      <c r="Q5043" t="n">
        <v>0</v>
      </c>
      <c r="R5043" s="2" t="inlineStr"/>
    </row>
    <row r="5044" ht="15" customHeight="1">
      <c r="A5044" t="inlineStr">
        <is>
          <t>A 9892-2024</t>
        </is>
      </c>
      <c r="B5044" s="1" t="n">
        <v>45363</v>
      </c>
      <c r="C5044" s="1" t="n">
        <v>45962</v>
      </c>
      <c r="D5044" t="inlineStr">
        <is>
          <t>JÖNKÖPINGS LÄN</t>
        </is>
      </c>
      <c r="E5044" t="inlineStr">
        <is>
          <t>VETLANDA</t>
        </is>
      </c>
      <c r="F5044" t="inlineStr">
        <is>
          <t>Kyrkan</t>
        </is>
      </c>
      <c r="G5044" t="n">
        <v>0.8</v>
      </c>
      <c r="H5044" t="n">
        <v>0</v>
      </c>
      <c r="I5044" t="n">
        <v>0</v>
      </c>
      <c r="J5044" t="n">
        <v>0</v>
      </c>
      <c r="K5044" t="n">
        <v>0</v>
      </c>
      <c r="L5044" t="n">
        <v>0</v>
      </c>
      <c r="M5044" t="n">
        <v>0</v>
      </c>
      <c r="N5044" t="n">
        <v>0</v>
      </c>
      <c r="O5044" t="n">
        <v>0</v>
      </c>
      <c r="P5044" t="n">
        <v>0</v>
      </c>
      <c r="Q5044" t="n">
        <v>0</v>
      </c>
      <c r="R5044" s="2" t="inlineStr"/>
    </row>
    <row r="5045" ht="15" customHeight="1">
      <c r="A5045" t="inlineStr">
        <is>
          <t>A 60822-2024</t>
        </is>
      </c>
      <c r="B5045" s="1" t="n">
        <v>45644.62803240741</v>
      </c>
      <c r="C5045" s="1" t="n">
        <v>45962</v>
      </c>
      <c r="D5045" t="inlineStr">
        <is>
          <t>JÖNKÖPINGS LÄN</t>
        </is>
      </c>
      <c r="E5045" t="inlineStr">
        <is>
          <t>JÖNKÖPING</t>
        </is>
      </c>
      <c r="G5045" t="n">
        <v>1.4</v>
      </c>
      <c r="H5045" t="n">
        <v>0</v>
      </c>
      <c r="I5045" t="n">
        <v>0</v>
      </c>
      <c r="J5045" t="n">
        <v>0</v>
      </c>
      <c r="K5045" t="n">
        <v>0</v>
      </c>
      <c r="L5045" t="n">
        <v>0</v>
      </c>
      <c r="M5045" t="n">
        <v>0</v>
      </c>
      <c r="N5045" t="n">
        <v>0</v>
      </c>
      <c r="O5045" t="n">
        <v>0</v>
      </c>
      <c r="P5045" t="n">
        <v>0</v>
      </c>
      <c r="Q5045" t="n">
        <v>0</v>
      </c>
      <c r="R5045" s="2" t="inlineStr"/>
    </row>
    <row r="5046" ht="15" customHeight="1">
      <c r="A5046" t="inlineStr">
        <is>
          <t>A 26839-2023</t>
        </is>
      </c>
      <c r="B5046" s="1" t="n">
        <v>45093.55341435185</v>
      </c>
      <c r="C5046" s="1" t="n">
        <v>45962</v>
      </c>
      <c r="D5046" t="inlineStr">
        <is>
          <t>JÖNKÖPINGS LÄN</t>
        </is>
      </c>
      <c r="E5046" t="inlineStr">
        <is>
          <t>VAGGERYD</t>
        </is>
      </c>
      <c r="G5046" t="n">
        <v>0.7</v>
      </c>
      <c r="H5046" t="n">
        <v>0</v>
      </c>
      <c r="I5046" t="n">
        <v>0</v>
      </c>
      <c r="J5046" t="n">
        <v>0</v>
      </c>
      <c r="K5046" t="n">
        <v>0</v>
      </c>
      <c r="L5046" t="n">
        <v>0</v>
      </c>
      <c r="M5046" t="n">
        <v>0</v>
      </c>
      <c r="N5046" t="n">
        <v>0</v>
      </c>
      <c r="O5046" t="n">
        <v>0</v>
      </c>
      <c r="P5046" t="n">
        <v>0</v>
      </c>
      <c r="Q5046" t="n">
        <v>0</v>
      </c>
      <c r="R5046" s="2" t="inlineStr"/>
    </row>
    <row r="5047" ht="15" customHeight="1">
      <c r="A5047" t="inlineStr">
        <is>
          <t>A 29842-2025</t>
        </is>
      </c>
      <c r="B5047" s="1" t="n">
        <v>45826.31435185186</v>
      </c>
      <c r="C5047" s="1" t="n">
        <v>45962</v>
      </c>
      <c r="D5047" t="inlineStr">
        <is>
          <t>JÖNKÖPINGS LÄN</t>
        </is>
      </c>
      <c r="E5047" t="inlineStr">
        <is>
          <t>GISLAVED</t>
        </is>
      </c>
      <c r="G5047" t="n">
        <v>2.5</v>
      </c>
      <c r="H5047" t="n">
        <v>0</v>
      </c>
      <c r="I5047" t="n">
        <v>0</v>
      </c>
      <c r="J5047" t="n">
        <v>0</v>
      </c>
      <c r="K5047" t="n">
        <v>0</v>
      </c>
      <c r="L5047" t="n">
        <v>0</v>
      </c>
      <c r="M5047" t="n">
        <v>0</v>
      </c>
      <c r="N5047" t="n">
        <v>0</v>
      </c>
      <c r="O5047" t="n">
        <v>0</v>
      </c>
      <c r="P5047" t="n">
        <v>0</v>
      </c>
      <c r="Q5047" t="n">
        <v>0</v>
      </c>
      <c r="R5047" s="2" t="inlineStr"/>
    </row>
    <row r="5048" ht="15" customHeight="1">
      <c r="A5048" t="inlineStr">
        <is>
          <t>A 9867-2024</t>
        </is>
      </c>
      <c r="B5048" s="1" t="n">
        <v>45363</v>
      </c>
      <c r="C5048" s="1" t="n">
        <v>45962</v>
      </c>
      <c r="D5048" t="inlineStr">
        <is>
          <t>JÖNKÖPINGS LÄN</t>
        </is>
      </c>
      <c r="E5048" t="inlineStr">
        <is>
          <t>VETLANDA</t>
        </is>
      </c>
      <c r="F5048" t="inlineStr">
        <is>
          <t>Kyrkan</t>
        </is>
      </c>
      <c r="G5048" t="n">
        <v>0.6</v>
      </c>
      <c r="H5048" t="n">
        <v>0</v>
      </c>
      <c r="I5048" t="n">
        <v>0</v>
      </c>
      <c r="J5048" t="n">
        <v>0</v>
      </c>
      <c r="K5048" t="n">
        <v>0</v>
      </c>
      <c r="L5048" t="n">
        <v>0</v>
      </c>
      <c r="M5048" t="n">
        <v>0</v>
      </c>
      <c r="N5048" t="n">
        <v>0</v>
      </c>
      <c r="O5048" t="n">
        <v>0</v>
      </c>
      <c r="P5048" t="n">
        <v>0</v>
      </c>
      <c r="Q5048" t="n">
        <v>0</v>
      </c>
      <c r="R5048" s="2" t="inlineStr"/>
    </row>
    <row r="5049" ht="15" customHeight="1">
      <c r="A5049" t="inlineStr">
        <is>
          <t>A 10044-2024</t>
        </is>
      </c>
      <c r="B5049" s="1" t="n">
        <v>45364.29489583334</v>
      </c>
      <c r="C5049" s="1" t="n">
        <v>45962</v>
      </c>
      <c r="D5049" t="inlineStr">
        <is>
          <t>JÖNKÖPINGS LÄN</t>
        </is>
      </c>
      <c r="E5049" t="inlineStr">
        <is>
          <t>VETLANDA</t>
        </is>
      </c>
      <c r="G5049" t="n">
        <v>1.2</v>
      </c>
      <c r="H5049" t="n">
        <v>0</v>
      </c>
      <c r="I5049" t="n">
        <v>0</v>
      </c>
      <c r="J5049" t="n">
        <v>0</v>
      </c>
      <c r="K5049" t="n">
        <v>0</v>
      </c>
      <c r="L5049" t="n">
        <v>0</v>
      </c>
      <c r="M5049" t="n">
        <v>0</v>
      </c>
      <c r="N5049" t="n">
        <v>0</v>
      </c>
      <c r="O5049" t="n">
        <v>0</v>
      </c>
      <c r="P5049" t="n">
        <v>0</v>
      </c>
      <c r="Q5049" t="n">
        <v>0</v>
      </c>
      <c r="R5049" s="2" t="inlineStr"/>
    </row>
    <row r="5050" ht="15" customHeight="1">
      <c r="A5050" t="inlineStr">
        <is>
          <t>A 27319-2021</t>
        </is>
      </c>
      <c r="B5050" s="1" t="n">
        <v>44351</v>
      </c>
      <c r="C5050" s="1" t="n">
        <v>45962</v>
      </c>
      <c r="D5050" t="inlineStr">
        <is>
          <t>JÖNKÖPINGS LÄN</t>
        </is>
      </c>
      <c r="E5050" t="inlineStr">
        <is>
          <t>VAGGERYD</t>
        </is>
      </c>
      <c r="G5050" t="n">
        <v>4.3</v>
      </c>
      <c r="H5050" t="n">
        <v>0</v>
      </c>
      <c r="I5050" t="n">
        <v>0</v>
      </c>
      <c r="J5050" t="n">
        <v>0</v>
      </c>
      <c r="K5050" t="n">
        <v>0</v>
      </c>
      <c r="L5050" t="n">
        <v>0</v>
      </c>
      <c r="M5050" t="n">
        <v>0</v>
      </c>
      <c r="N5050" t="n">
        <v>0</v>
      </c>
      <c r="O5050" t="n">
        <v>0</v>
      </c>
      <c r="P5050" t="n">
        <v>0</v>
      </c>
      <c r="Q5050" t="n">
        <v>0</v>
      </c>
      <c r="R5050" s="2" t="inlineStr"/>
    </row>
    <row r="5051" ht="15" customHeight="1">
      <c r="A5051" t="inlineStr">
        <is>
          <t>A 42079-2024</t>
        </is>
      </c>
      <c r="B5051" s="1" t="n">
        <v>45562</v>
      </c>
      <c r="C5051" s="1" t="n">
        <v>45962</v>
      </c>
      <c r="D5051" t="inlineStr">
        <is>
          <t>JÖNKÖPINGS LÄN</t>
        </is>
      </c>
      <c r="E5051" t="inlineStr">
        <is>
          <t>NÄSSJÖ</t>
        </is>
      </c>
      <c r="F5051" t="inlineStr">
        <is>
          <t>Kyrkan</t>
        </is>
      </c>
      <c r="G5051" t="n">
        <v>3.1</v>
      </c>
      <c r="H5051" t="n">
        <v>0</v>
      </c>
      <c r="I5051" t="n">
        <v>0</v>
      </c>
      <c r="J5051" t="n">
        <v>0</v>
      </c>
      <c r="K5051" t="n">
        <v>0</v>
      </c>
      <c r="L5051" t="n">
        <v>0</v>
      </c>
      <c r="M5051" t="n">
        <v>0</v>
      </c>
      <c r="N5051" t="n">
        <v>0</v>
      </c>
      <c r="O5051" t="n">
        <v>0</v>
      </c>
      <c r="P5051" t="n">
        <v>0</v>
      </c>
      <c r="Q5051" t="n">
        <v>0</v>
      </c>
      <c r="R5051" s="2" t="inlineStr"/>
    </row>
    <row r="5052" ht="15" customHeight="1">
      <c r="A5052" t="inlineStr">
        <is>
          <t>A 1753-2023</t>
        </is>
      </c>
      <c r="B5052" s="1" t="n">
        <v>44938.54009259259</v>
      </c>
      <c r="C5052" s="1" t="n">
        <v>45962</v>
      </c>
      <c r="D5052" t="inlineStr">
        <is>
          <t>JÖNKÖPINGS LÄN</t>
        </is>
      </c>
      <c r="E5052" t="inlineStr">
        <is>
          <t>GISLAVED</t>
        </is>
      </c>
      <c r="F5052" t="inlineStr">
        <is>
          <t>Kyrkan</t>
        </is>
      </c>
      <c r="G5052" t="n">
        <v>0.8</v>
      </c>
      <c r="H5052" t="n">
        <v>0</v>
      </c>
      <c r="I5052" t="n">
        <v>0</v>
      </c>
      <c r="J5052" t="n">
        <v>0</v>
      </c>
      <c r="K5052" t="n">
        <v>0</v>
      </c>
      <c r="L5052" t="n">
        <v>0</v>
      </c>
      <c r="M5052" t="n">
        <v>0</v>
      </c>
      <c r="N5052" t="n">
        <v>0</v>
      </c>
      <c r="O5052" t="n">
        <v>0</v>
      </c>
      <c r="P5052" t="n">
        <v>0</v>
      </c>
      <c r="Q5052" t="n">
        <v>0</v>
      </c>
      <c r="R5052" s="2" t="inlineStr"/>
    </row>
    <row r="5053" ht="15" customHeight="1">
      <c r="A5053" t="inlineStr">
        <is>
          <t>A 43538-2021</t>
        </is>
      </c>
      <c r="B5053" s="1" t="n">
        <v>44433</v>
      </c>
      <c r="C5053" s="1" t="n">
        <v>45962</v>
      </c>
      <c r="D5053" t="inlineStr">
        <is>
          <t>JÖNKÖPINGS LÄN</t>
        </is>
      </c>
      <c r="E5053" t="inlineStr">
        <is>
          <t>JÖNKÖPING</t>
        </is>
      </c>
      <c r="G5053" t="n">
        <v>1.2</v>
      </c>
      <c r="H5053" t="n">
        <v>0</v>
      </c>
      <c r="I5053" t="n">
        <v>0</v>
      </c>
      <c r="J5053" t="n">
        <v>0</v>
      </c>
      <c r="K5053" t="n">
        <v>0</v>
      </c>
      <c r="L5053" t="n">
        <v>0</v>
      </c>
      <c r="M5053" t="n">
        <v>0</v>
      </c>
      <c r="N5053" t="n">
        <v>0</v>
      </c>
      <c r="O5053" t="n">
        <v>0</v>
      </c>
      <c r="P5053" t="n">
        <v>0</v>
      </c>
      <c r="Q5053" t="n">
        <v>0</v>
      </c>
      <c r="R5053" s="2" t="inlineStr"/>
    </row>
    <row r="5054" ht="15" customHeight="1">
      <c r="A5054" t="inlineStr">
        <is>
          <t>A 30420-2025</t>
        </is>
      </c>
      <c r="B5054" s="1" t="n">
        <v>45827.60984953704</v>
      </c>
      <c r="C5054" s="1" t="n">
        <v>45962</v>
      </c>
      <c r="D5054" t="inlineStr">
        <is>
          <t>JÖNKÖPINGS LÄN</t>
        </is>
      </c>
      <c r="E5054" t="inlineStr">
        <is>
          <t>EKSJÖ</t>
        </is>
      </c>
      <c r="G5054" t="n">
        <v>1.2</v>
      </c>
      <c r="H5054" t="n">
        <v>0</v>
      </c>
      <c r="I5054" t="n">
        <v>0</v>
      </c>
      <c r="J5054" t="n">
        <v>0</v>
      </c>
      <c r="K5054" t="n">
        <v>0</v>
      </c>
      <c r="L5054" t="n">
        <v>0</v>
      </c>
      <c r="M5054" t="n">
        <v>0</v>
      </c>
      <c r="N5054" t="n">
        <v>0</v>
      </c>
      <c r="O5054" t="n">
        <v>0</v>
      </c>
      <c r="P5054" t="n">
        <v>0</v>
      </c>
      <c r="Q5054" t="n">
        <v>0</v>
      </c>
      <c r="R5054" s="2" t="inlineStr"/>
    </row>
    <row r="5055" ht="15" customHeight="1">
      <c r="A5055" t="inlineStr">
        <is>
          <t>A 30435-2025</t>
        </is>
      </c>
      <c r="B5055" s="1" t="n">
        <v>45827.63807870371</v>
      </c>
      <c r="C5055" s="1" t="n">
        <v>45962</v>
      </c>
      <c r="D5055" t="inlineStr">
        <is>
          <t>JÖNKÖPINGS LÄN</t>
        </is>
      </c>
      <c r="E5055" t="inlineStr">
        <is>
          <t>ANEBY</t>
        </is>
      </c>
      <c r="G5055" t="n">
        <v>3.8</v>
      </c>
      <c r="H5055" t="n">
        <v>0</v>
      </c>
      <c r="I5055" t="n">
        <v>0</v>
      </c>
      <c r="J5055" t="n">
        <v>0</v>
      </c>
      <c r="K5055" t="n">
        <v>0</v>
      </c>
      <c r="L5055" t="n">
        <v>0</v>
      </c>
      <c r="M5055" t="n">
        <v>0</v>
      </c>
      <c r="N5055" t="n">
        <v>0</v>
      </c>
      <c r="O5055" t="n">
        <v>0</v>
      </c>
      <c r="P5055" t="n">
        <v>0</v>
      </c>
      <c r="Q5055" t="n">
        <v>0</v>
      </c>
      <c r="R5055" s="2" t="inlineStr"/>
    </row>
    <row r="5056" ht="15" customHeight="1">
      <c r="A5056" t="inlineStr">
        <is>
          <t>A 30115-2025</t>
        </is>
      </c>
      <c r="B5056" s="1" t="n">
        <v>45826.72112268519</v>
      </c>
      <c r="C5056" s="1" t="n">
        <v>45962</v>
      </c>
      <c r="D5056" t="inlineStr">
        <is>
          <t>JÖNKÖPINGS LÄN</t>
        </is>
      </c>
      <c r="E5056" t="inlineStr">
        <is>
          <t>VETLANDA</t>
        </is>
      </c>
      <c r="G5056" t="n">
        <v>0.8</v>
      </c>
      <c r="H5056" t="n">
        <v>0</v>
      </c>
      <c r="I5056" t="n">
        <v>0</v>
      </c>
      <c r="J5056" t="n">
        <v>0</v>
      </c>
      <c r="K5056" t="n">
        <v>0</v>
      </c>
      <c r="L5056" t="n">
        <v>0</v>
      </c>
      <c r="M5056" t="n">
        <v>0</v>
      </c>
      <c r="N5056" t="n">
        <v>0</v>
      </c>
      <c r="O5056" t="n">
        <v>0</v>
      </c>
      <c r="P5056" t="n">
        <v>0</v>
      </c>
      <c r="Q5056" t="n">
        <v>0</v>
      </c>
      <c r="R5056" s="2" t="inlineStr"/>
    </row>
    <row r="5057" ht="15" customHeight="1">
      <c r="A5057" t="inlineStr">
        <is>
          <t>A 30137-2025</t>
        </is>
      </c>
      <c r="B5057" s="1" t="n">
        <v>45826</v>
      </c>
      <c r="C5057" s="1" t="n">
        <v>45962</v>
      </c>
      <c r="D5057" t="inlineStr">
        <is>
          <t>JÖNKÖPINGS LÄN</t>
        </is>
      </c>
      <c r="E5057" t="inlineStr">
        <is>
          <t>EKSJÖ</t>
        </is>
      </c>
      <c r="G5057" t="n">
        <v>2.2</v>
      </c>
      <c r="H5057" t="n">
        <v>0</v>
      </c>
      <c r="I5057" t="n">
        <v>0</v>
      </c>
      <c r="J5057" t="n">
        <v>0</v>
      </c>
      <c r="K5057" t="n">
        <v>0</v>
      </c>
      <c r="L5057" t="n">
        <v>0</v>
      </c>
      <c r="M5057" t="n">
        <v>0</v>
      </c>
      <c r="N5057" t="n">
        <v>0</v>
      </c>
      <c r="O5057" t="n">
        <v>0</v>
      </c>
      <c r="P5057" t="n">
        <v>0</v>
      </c>
      <c r="Q5057" t="n">
        <v>0</v>
      </c>
      <c r="R5057" s="2" t="inlineStr"/>
    </row>
    <row r="5058" ht="15" customHeight="1">
      <c r="A5058" t="inlineStr">
        <is>
          <t>A 30217-2025</t>
        </is>
      </c>
      <c r="B5058" s="1" t="n">
        <v>45826</v>
      </c>
      <c r="C5058" s="1" t="n">
        <v>45962</v>
      </c>
      <c r="D5058" t="inlineStr">
        <is>
          <t>JÖNKÖPINGS LÄN</t>
        </is>
      </c>
      <c r="E5058" t="inlineStr">
        <is>
          <t>JÖNKÖPING</t>
        </is>
      </c>
      <c r="G5058" t="n">
        <v>11.9</v>
      </c>
      <c r="H5058" t="n">
        <v>0</v>
      </c>
      <c r="I5058" t="n">
        <v>0</v>
      </c>
      <c r="J5058" t="n">
        <v>0</v>
      </c>
      <c r="K5058" t="n">
        <v>0</v>
      </c>
      <c r="L5058" t="n">
        <v>0</v>
      </c>
      <c r="M5058" t="n">
        <v>0</v>
      </c>
      <c r="N5058" t="n">
        <v>0</v>
      </c>
      <c r="O5058" t="n">
        <v>0</v>
      </c>
      <c r="P5058" t="n">
        <v>0</v>
      </c>
      <c r="Q5058" t="n">
        <v>0</v>
      </c>
      <c r="R5058" s="2" t="inlineStr"/>
    </row>
    <row r="5059" ht="15" customHeight="1">
      <c r="A5059" t="inlineStr">
        <is>
          <t>A 54694-2023</t>
        </is>
      </c>
      <c r="B5059" s="1" t="n">
        <v>45236.29085648148</v>
      </c>
      <c r="C5059" s="1" t="n">
        <v>45962</v>
      </c>
      <c r="D5059" t="inlineStr">
        <is>
          <t>JÖNKÖPINGS LÄN</t>
        </is>
      </c>
      <c r="E5059" t="inlineStr">
        <is>
          <t>NÄSSJÖ</t>
        </is>
      </c>
      <c r="G5059" t="n">
        <v>2.1</v>
      </c>
      <c r="H5059" t="n">
        <v>0</v>
      </c>
      <c r="I5059" t="n">
        <v>0</v>
      </c>
      <c r="J5059" t="n">
        <v>0</v>
      </c>
      <c r="K5059" t="n">
        <v>0</v>
      </c>
      <c r="L5059" t="n">
        <v>0</v>
      </c>
      <c r="M5059" t="n">
        <v>0</v>
      </c>
      <c r="N5059" t="n">
        <v>0</v>
      </c>
      <c r="O5059" t="n">
        <v>0</v>
      </c>
      <c r="P5059" t="n">
        <v>0</v>
      </c>
      <c r="Q5059" t="n">
        <v>0</v>
      </c>
      <c r="R5059" s="2" t="inlineStr"/>
    </row>
    <row r="5060" ht="15" customHeight="1">
      <c r="A5060" t="inlineStr">
        <is>
          <t>A 28841-2023</t>
        </is>
      </c>
      <c r="B5060" s="1" t="n">
        <v>45104</v>
      </c>
      <c r="C5060" s="1" t="n">
        <v>45962</v>
      </c>
      <c r="D5060" t="inlineStr">
        <is>
          <t>JÖNKÖPINGS LÄN</t>
        </is>
      </c>
      <c r="E5060" t="inlineStr">
        <is>
          <t>VETLANDA</t>
        </is>
      </c>
      <c r="G5060" t="n">
        <v>0.5</v>
      </c>
      <c r="H5060" t="n">
        <v>0</v>
      </c>
      <c r="I5060" t="n">
        <v>0</v>
      </c>
      <c r="J5060" t="n">
        <v>0</v>
      </c>
      <c r="K5060" t="n">
        <v>0</v>
      </c>
      <c r="L5060" t="n">
        <v>0</v>
      </c>
      <c r="M5060" t="n">
        <v>0</v>
      </c>
      <c r="N5060" t="n">
        <v>0</v>
      </c>
      <c r="O5060" t="n">
        <v>0</v>
      </c>
      <c r="P5060" t="n">
        <v>0</v>
      </c>
      <c r="Q5060" t="n">
        <v>0</v>
      </c>
      <c r="R5060" s="2" t="inlineStr"/>
    </row>
    <row r="5061" ht="15" customHeight="1">
      <c r="A5061" t="inlineStr">
        <is>
          <t>A 4744-2024</t>
        </is>
      </c>
      <c r="B5061" s="1" t="n">
        <v>45328.64667824074</v>
      </c>
      <c r="C5061" s="1" t="n">
        <v>45962</v>
      </c>
      <c r="D5061" t="inlineStr">
        <is>
          <t>JÖNKÖPINGS LÄN</t>
        </is>
      </c>
      <c r="E5061" t="inlineStr">
        <is>
          <t>EKSJÖ</t>
        </is>
      </c>
      <c r="G5061" t="n">
        <v>0.8</v>
      </c>
      <c r="H5061" t="n">
        <v>0</v>
      </c>
      <c r="I5061" t="n">
        <v>0</v>
      </c>
      <c r="J5061" t="n">
        <v>0</v>
      </c>
      <c r="K5061" t="n">
        <v>0</v>
      </c>
      <c r="L5061" t="n">
        <v>0</v>
      </c>
      <c r="M5061" t="n">
        <v>0</v>
      </c>
      <c r="N5061" t="n">
        <v>0</v>
      </c>
      <c r="O5061" t="n">
        <v>0</v>
      </c>
      <c r="P5061" t="n">
        <v>0</v>
      </c>
      <c r="Q5061" t="n">
        <v>0</v>
      </c>
      <c r="R5061" s="2" t="inlineStr"/>
    </row>
    <row r="5062" ht="15" customHeight="1">
      <c r="A5062" t="inlineStr">
        <is>
          <t>A 62327-2022</t>
        </is>
      </c>
      <c r="B5062" s="1" t="n">
        <v>44923.52548611111</v>
      </c>
      <c r="C5062" s="1" t="n">
        <v>45962</v>
      </c>
      <c r="D5062" t="inlineStr">
        <is>
          <t>JÖNKÖPINGS LÄN</t>
        </is>
      </c>
      <c r="E5062" t="inlineStr">
        <is>
          <t>VETLANDA</t>
        </is>
      </c>
      <c r="G5062" t="n">
        <v>2.3</v>
      </c>
      <c r="H5062" t="n">
        <v>0</v>
      </c>
      <c r="I5062" t="n">
        <v>0</v>
      </c>
      <c r="J5062" t="n">
        <v>0</v>
      </c>
      <c r="K5062" t="n">
        <v>0</v>
      </c>
      <c r="L5062" t="n">
        <v>0</v>
      </c>
      <c r="M5062" t="n">
        <v>0</v>
      </c>
      <c r="N5062" t="n">
        <v>0</v>
      </c>
      <c r="O5062" t="n">
        <v>0</v>
      </c>
      <c r="P5062" t="n">
        <v>0</v>
      </c>
      <c r="Q5062" t="n">
        <v>0</v>
      </c>
      <c r="R5062" s="2" t="inlineStr"/>
    </row>
    <row r="5063" ht="15" customHeight="1">
      <c r="A5063" t="inlineStr">
        <is>
          <t>A 62343-2022</t>
        </is>
      </c>
      <c r="B5063" s="1" t="n">
        <v>44916</v>
      </c>
      <c r="C5063" s="1" t="n">
        <v>45962</v>
      </c>
      <c r="D5063" t="inlineStr">
        <is>
          <t>JÖNKÖPINGS LÄN</t>
        </is>
      </c>
      <c r="E5063" t="inlineStr">
        <is>
          <t>VAGGERYD</t>
        </is>
      </c>
      <c r="F5063" t="inlineStr">
        <is>
          <t>Övriga Aktiebolag</t>
        </is>
      </c>
      <c r="G5063" t="n">
        <v>7.7</v>
      </c>
      <c r="H5063" t="n">
        <v>0</v>
      </c>
      <c r="I5063" t="n">
        <v>0</v>
      </c>
      <c r="J5063" t="n">
        <v>0</v>
      </c>
      <c r="K5063" t="n">
        <v>0</v>
      </c>
      <c r="L5063" t="n">
        <v>0</v>
      </c>
      <c r="M5063" t="n">
        <v>0</v>
      </c>
      <c r="N5063" t="n">
        <v>0</v>
      </c>
      <c r="O5063" t="n">
        <v>0</v>
      </c>
      <c r="P5063" t="n">
        <v>0</v>
      </c>
      <c r="Q5063" t="n">
        <v>0</v>
      </c>
      <c r="R5063" s="2" t="inlineStr"/>
    </row>
    <row r="5064" ht="15" customHeight="1">
      <c r="A5064" t="inlineStr">
        <is>
          <t>A 56473-2024</t>
        </is>
      </c>
      <c r="B5064" s="1" t="n">
        <v>45625.46094907408</v>
      </c>
      <c r="C5064" s="1" t="n">
        <v>45962</v>
      </c>
      <c r="D5064" t="inlineStr">
        <is>
          <t>JÖNKÖPINGS LÄN</t>
        </is>
      </c>
      <c r="E5064" t="inlineStr">
        <is>
          <t>NÄSSJÖ</t>
        </is>
      </c>
      <c r="G5064" t="n">
        <v>0.6</v>
      </c>
      <c r="H5064" t="n">
        <v>0</v>
      </c>
      <c r="I5064" t="n">
        <v>0</v>
      </c>
      <c r="J5064" t="n">
        <v>0</v>
      </c>
      <c r="K5064" t="n">
        <v>0</v>
      </c>
      <c r="L5064" t="n">
        <v>0</v>
      </c>
      <c r="M5064" t="n">
        <v>0</v>
      </c>
      <c r="N5064" t="n">
        <v>0</v>
      </c>
      <c r="O5064" t="n">
        <v>0</v>
      </c>
      <c r="P5064" t="n">
        <v>0</v>
      </c>
      <c r="Q5064" t="n">
        <v>0</v>
      </c>
      <c r="R5064" s="2" t="inlineStr"/>
    </row>
    <row r="5065" ht="15" customHeight="1">
      <c r="A5065" t="inlineStr">
        <is>
          <t>A 6584-2025</t>
        </is>
      </c>
      <c r="B5065" s="1" t="n">
        <v>45700.27564814815</v>
      </c>
      <c r="C5065" s="1" t="n">
        <v>45962</v>
      </c>
      <c r="D5065" t="inlineStr">
        <is>
          <t>JÖNKÖPINGS LÄN</t>
        </is>
      </c>
      <c r="E5065" t="inlineStr">
        <is>
          <t>VETLANDA</t>
        </is>
      </c>
      <c r="G5065" t="n">
        <v>2.2</v>
      </c>
      <c r="H5065" t="n">
        <v>0</v>
      </c>
      <c r="I5065" t="n">
        <v>0</v>
      </c>
      <c r="J5065" t="n">
        <v>0</v>
      </c>
      <c r="K5065" t="n">
        <v>0</v>
      </c>
      <c r="L5065" t="n">
        <v>0</v>
      </c>
      <c r="M5065" t="n">
        <v>0</v>
      </c>
      <c r="N5065" t="n">
        <v>0</v>
      </c>
      <c r="O5065" t="n">
        <v>0</v>
      </c>
      <c r="P5065" t="n">
        <v>0</v>
      </c>
      <c r="Q5065" t="n">
        <v>0</v>
      </c>
      <c r="R5065" s="2" t="inlineStr"/>
    </row>
    <row r="5066" ht="15" customHeight="1">
      <c r="A5066" t="inlineStr">
        <is>
          <t>A 23922-2023</t>
        </is>
      </c>
      <c r="B5066" s="1" t="n">
        <v>45078</v>
      </c>
      <c r="C5066" s="1" t="n">
        <v>45962</v>
      </c>
      <c r="D5066" t="inlineStr">
        <is>
          <t>JÖNKÖPINGS LÄN</t>
        </is>
      </c>
      <c r="E5066" t="inlineStr">
        <is>
          <t>VÄRNAMO</t>
        </is>
      </c>
      <c r="G5066" t="n">
        <v>1.2</v>
      </c>
      <c r="H5066" t="n">
        <v>0</v>
      </c>
      <c r="I5066" t="n">
        <v>0</v>
      </c>
      <c r="J5066" t="n">
        <v>0</v>
      </c>
      <c r="K5066" t="n">
        <v>0</v>
      </c>
      <c r="L5066" t="n">
        <v>0</v>
      </c>
      <c r="M5066" t="n">
        <v>0</v>
      </c>
      <c r="N5066" t="n">
        <v>0</v>
      </c>
      <c r="O5066" t="n">
        <v>0</v>
      </c>
      <c r="P5066" t="n">
        <v>0</v>
      </c>
      <c r="Q5066" t="n">
        <v>0</v>
      </c>
      <c r="R5066" s="2" t="inlineStr"/>
    </row>
    <row r="5067" ht="15" customHeight="1">
      <c r="A5067" t="inlineStr">
        <is>
          <t>A 64613-2023</t>
        </is>
      </c>
      <c r="B5067" s="1" t="n">
        <v>45281.52006944444</v>
      </c>
      <c r="C5067" s="1" t="n">
        <v>45962</v>
      </c>
      <c r="D5067" t="inlineStr">
        <is>
          <t>JÖNKÖPINGS LÄN</t>
        </is>
      </c>
      <c r="E5067" t="inlineStr">
        <is>
          <t>VETLANDA</t>
        </is>
      </c>
      <c r="G5067" t="n">
        <v>1.9</v>
      </c>
      <c r="H5067" t="n">
        <v>0</v>
      </c>
      <c r="I5067" t="n">
        <v>0</v>
      </c>
      <c r="J5067" t="n">
        <v>0</v>
      </c>
      <c r="K5067" t="n">
        <v>0</v>
      </c>
      <c r="L5067" t="n">
        <v>0</v>
      </c>
      <c r="M5067" t="n">
        <v>0</v>
      </c>
      <c r="N5067" t="n">
        <v>0</v>
      </c>
      <c r="O5067" t="n">
        <v>0</v>
      </c>
      <c r="P5067" t="n">
        <v>0</v>
      </c>
      <c r="Q5067" t="n">
        <v>0</v>
      </c>
      <c r="R5067" s="2" t="inlineStr"/>
    </row>
    <row r="5068" ht="15" customHeight="1">
      <c r="A5068" t="inlineStr">
        <is>
          <t>A 16049-2023</t>
        </is>
      </c>
      <c r="B5068" s="1" t="n">
        <v>45021</v>
      </c>
      <c r="C5068" s="1" t="n">
        <v>45962</v>
      </c>
      <c r="D5068" t="inlineStr">
        <is>
          <t>JÖNKÖPINGS LÄN</t>
        </is>
      </c>
      <c r="E5068" t="inlineStr">
        <is>
          <t>JÖNKÖPING</t>
        </is>
      </c>
      <c r="G5068" t="n">
        <v>6.9</v>
      </c>
      <c r="H5068" t="n">
        <v>0</v>
      </c>
      <c r="I5068" t="n">
        <v>0</v>
      </c>
      <c r="J5068" t="n">
        <v>0</v>
      </c>
      <c r="K5068" t="n">
        <v>0</v>
      </c>
      <c r="L5068" t="n">
        <v>0</v>
      </c>
      <c r="M5068" t="n">
        <v>0</v>
      </c>
      <c r="N5068" t="n">
        <v>0</v>
      </c>
      <c r="O5068" t="n">
        <v>0</v>
      </c>
      <c r="P5068" t="n">
        <v>0</v>
      </c>
      <c r="Q5068" t="n">
        <v>0</v>
      </c>
      <c r="R5068" s="2" t="inlineStr"/>
    </row>
    <row r="5069" ht="15" customHeight="1">
      <c r="A5069" t="inlineStr">
        <is>
          <t>A 329-2025</t>
        </is>
      </c>
      <c r="B5069" s="1" t="n">
        <v>45660.65958333333</v>
      </c>
      <c r="C5069" s="1" t="n">
        <v>45962</v>
      </c>
      <c r="D5069" t="inlineStr">
        <is>
          <t>JÖNKÖPINGS LÄN</t>
        </is>
      </c>
      <c r="E5069" t="inlineStr">
        <is>
          <t>VETLANDA</t>
        </is>
      </c>
      <c r="G5069" t="n">
        <v>2.4</v>
      </c>
      <c r="H5069" t="n">
        <v>0</v>
      </c>
      <c r="I5069" t="n">
        <v>0</v>
      </c>
      <c r="J5069" t="n">
        <v>0</v>
      </c>
      <c r="K5069" t="n">
        <v>0</v>
      </c>
      <c r="L5069" t="n">
        <v>0</v>
      </c>
      <c r="M5069" t="n">
        <v>0</v>
      </c>
      <c r="N5069" t="n">
        <v>0</v>
      </c>
      <c r="O5069" t="n">
        <v>0</v>
      </c>
      <c r="P5069" t="n">
        <v>0</v>
      </c>
      <c r="Q5069" t="n">
        <v>0</v>
      </c>
      <c r="R5069" s="2" t="inlineStr"/>
    </row>
    <row r="5070" ht="15" customHeight="1">
      <c r="A5070" t="inlineStr">
        <is>
          <t>A 6649-2024</t>
        </is>
      </c>
      <c r="B5070" s="1" t="n">
        <v>45341.67034722222</v>
      </c>
      <c r="C5070" s="1" t="n">
        <v>45962</v>
      </c>
      <c r="D5070" t="inlineStr">
        <is>
          <t>JÖNKÖPINGS LÄN</t>
        </is>
      </c>
      <c r="E5070" t="inlineStr">
        <is>
          <t>SÄVSJÖ</t>
        </is>
      </c>
      <c r="G5070" t="n">
        <v>0.6</v>
      </c>
      <c r="H5070" t="n">
        <v>0</v>
      </c>
      <c r="I5070" t="n">
        <v>0</v>
      </c>
      <c r="J5070" t="n">
        <v>0</v>
      </c>
      <c r="K5070" t="n">
        <v>0</v>
      </c>
      <c r="L5070" t="n">
        <v>0</v>
      </c>
      <c r="M5070" t="n">
        <v>0</v>
      </c>
      <c r="N5070" t="n">
        <v>0</v>
      </c>
      <c r="O5070" t="n">
        <v>0</v>
      </c>
      <c r="P5070" t="n">
        <v>0</v>
      </c>
      <c r="Q5070" t="n">
        <v>0</v>
      </c>
      <c r="R5070" s="2" t="inlineStr"/>
    </row>
    <row r="5071" ht="15" customHeight="1">
      <c r="A5071" t="inlineStr">
        <is>
          <t>A 6662-2024</t>
        </is>
      </c>
      <c r="B5071" s="1" t="n">
        <v>45341</v>
      </c>
      <c r="C5071" s="1" t="n">
        <v>45962</v>
      </c>
      <c r="D5071" t="inlineStr">
        <is>
          <t>JÖNKÖPINGS LÄN</t>
        </is>
      </c>
      <c r="E5071" t="inlineStr">
        <is>
          <t>GNOSJÖ</t>
        </is>
      </c>
      <c r="G5071" t="n">
        <v>0.2</v>
      </c>
      <c r="H5071" t="n">
        <v>0</v>
      </c>
      <c r="I5071" t="n">
        <v>0</v>
      </c>
      <c r="J5071" t="n">
        <v>0</v>
      </c>
      <c r="K5071" t="n">
        <v>0</v>
      </c>
      <c r="L5071" t="n">
        <v>0</v>
      </c>
      <c r="M5071" t="n">
        <v>0</v>
      </c>
      <c r="N5071" t="n">
        <v>0</v>
      </c>
      <c r="O5071" t="n">
        <v>0</v>
      </c>
      <c r="P5071" t="n">
        <v>0</v>
      </c>
      <c r="Q5071" t="n">
        <v>0</v>
      </c>
      <c r="R5071" s="2" t="inlineStr"/>
    </row>
    <row r="5072" ht="15" customHeight="1">
      <c r="A5072" t="inlineStr">
        <is>
          <t>A 30649-2025</t>
        </is>
      </c>
      <c r="B5072" s="1" t="n">
        <v>45831.4978125</v>
      </c>
      <c r="C5072" s="1" t="n">
        <v>45962</v>
      </c>
      <c r="D5072" t="inlineStr">
        <is>
          <t>JÖNKÖPINGS LÄN</t>
        </is>
      </c>
      <c r="E5072" t="inlineStr">
        <is>
          <t>GISLAVED</t>
        </is>
      </c>
      <c r="G5072" t="n">
        <v>3.4</v>
      </c>
      <c r="H5072" t="n">
        <v>0</v>
      </c>
      <c r="I5072" t="n">
        <v>0</v>
      </c>
      <c r="J5072" t="n">
        <v>0</v>
      </c>
      <c r="K5072" t="n">
        <v>0</v>
      </c>
      <c r="L5072" t="n">
        <v>0</v>
      </c>
      <c r="M5072" t="n">
        <v>0</v>
      </c>
      <c r="N5072" t="n">
        <v>0</v>
      </c>
      <c r="O5072" t="n">
        <v>0</v>
      </c>
      <c r="P5072" t="n">
        <v>0</v>
      </c>
      <c r="Q5072" t="n">
        <v>0</v>
      </c>
      <c r="R5072" s="2" t="inlineStr"/>
    </row>
    <row r="5073" ht="15" customHeight="1">
      <c r="A5073" t="inlineStr">
        <is>
          <t>A 16034-2025</t>
        </is>
      </c>
      <c r="B5073" s="1" t="n">
        <v>45748</v>
      </c>
      <c r="C5073" s="1" t="n">
        <v>45962</v>
      </c>
      <c r="D5073" t="inlineStr">
        <is>
          <t>JÖNKÖPINGS LÄN</t>
        </is>
      </c>
      <c r="E5073" t="inlineStr">
        <is>
          <t>SÄVSJÖ</t>
        </is>
      </c>
      <c r="F5073" t="inlineStr">
        <is>
          <t>Kyrkan</t>
        </is>
      </c>
      <c r="G5073" t="n">
        <v>0.6</v>
      </c>
      <c r="H5073" t="n">
        <v>0</v>
      </c>
      <c r="I5073" t="n">
        <v>0</v>
      </c>
      <c r="J5073" t="n">
        <v>0</v>
      </c>
      <c r="K5073" t="n">
        <v>0</v>
      </c>
      <c r="L5073" t="n">
        <v>0</v>
      </c>
      <c r="M5073" t="n">
        <v>0</v>
      </c>
      <c r="N5073" t="n">
        <v>0</v>
      </c>
      <c r="O5073" t="n">
        <v>0</v>
      </c>
      <c r="P5073" t="n">
        <v>0</v>
      </c>
      <c r="Q5073" t="n">
        <v>0</v>
      </c>
      <c r="R5073" s="2" t="inlineStr"/>
    </row>
    <row r="5074" ht="15" customHeight="1">
      <c r="A5074" t="inlineStr">
        <is>
          <t>A 63798-2020</t>
        </is>
      </c>
      <c r="B5074" s="1" t="n">
        <v>44166</v>
      </c>
      <c r="C5074" s="1" t="n">
        <v>45962</v>
      </c>
      <c r="D5074" t="inlineStr">
        <is>
          <t>JÖNKÖPINGS LÄN</t>
        </is>
      </c>
      <c r="E5074" t="inlineStr">
        <is>
          <t>GISLAVED</t>
        </is>
      </c>
      <c r="F5074" t="inlineStr">
        <is>
          <t>Kyrkan</t>
        </is>
      </c>
      <c r="G5074" t="n">
        <v>2.5</v>
      </c>
      <c r="H5074" t="n">
        <v>0</v>
      </c>
      <c r="I5074" t="n">
        <v>0</v>
      </c>
      <c r="J5074" t="n">
        <v>0</v>
      </c>
      <c r="K5074" t="n">
        <v>0</v>
      </c>
      <c r="L5074" t="n">
        <v>0</v>
      </c>
      <c r="M5074" t="n">
        <v>0</v>
      </c>
      <c r="N5074" t="n">
        <v>0</v>
      </c>
      <c r="O5074" t="n">
        <v>0</v>
      </c>
      <c r="P5074" t="n">
        <v>0</v>
      </c>
      <c r="Q5074" t="n">
        <v>0</v>
      </c>
      <c r="R5074" s="2" t="inlineStr"/>
    </row>
    <row r="5075" ht="15" customHeight="1">
      <c r="A5075" t="inlineStr">
        <is>
          <t>A 16038-2025</t>
        </is>
      </c>
      <c r="B5075" s="1" t="n">
        <v>45748</v>
      </c>
      <c r="C5075" s="1" t="n">
        <v>45962</v>
      </c>
      <c r="D5075" t="inlineStr">
        <is>
          <t>JÖNKÖPINGS LÄN</t>
        </is>
      </c>
      <c r="E5075" t="inlineStr">
        <is>
          <t>VETLANDA</t>
        </is>
      </c>
      <c r="F5075" t="inlineStr">
        <is>
          <t>Kyrkan</t>
        </is>
      </c>
      <c r="G5075" t="n">
        <v>1.4</v>
      </c>
      <c r="H5075" t="n">
        <v>0</v>
      </c>
      <c r="I5075" t="n">
        <v>0</v>
      </c>
      <c r="J5075" t="n">
        <v>0</v>
      </c>
      <c r="K5075" t="n">
        <v>0</v>
      </c>
      <c r="L5075" t="n">
        <v>0</v>
      </c>
      <c r="M5075" t="n">
        <v>0</v>
      </c>
      <c r="N5075" t="n">
        <v>0</v>
      </c>
      <c r="O5075" t="n">
        <v>0</v>
      </c>
      <c r="P5075" t="n">
        <v>0</v>
      </c>
      <c r="Q5075" t="n">
        <v>0</v>
      </c>
      <c r="R5075" s="2" t="inlineStr"/>
    </row>
    <row r="5076" ht="15" customHeight="1">
      <c r="A5076" t="inlineStr">
        <is>
          <t>A 16039-2025</t>
        </is>
      </c>
      <c r="B5076" s="1" t="n">
        <v>45748</v>
      </c>
      <c r="C5076" s="1" t="n">
        <v>45962</v>
      </c>
      <c r="D5076" t="inlineStr">
        <is>
          <t>JÖNKÖPINGS LÄN</t>
        </is>
      </c>
      <c r="E5076" t="inlineStr">
        <is>
          <t>VETLANDA</t>
        </is>
      </c>
      <c r="F5076" t="inlineStr">
        <is>
          <t>Kyrkan</t>
        </is>
      </c>
      <c r="G5076" t="n">
        <v>2.5</v>
      </c>
      <c r="H5076" t="n">
        <v>0</v>
      </c>
      <c r="I5076" t="n">
        <v>0</v>
      </c>
      <c r="J5076" t="n">
        <v>0</v>
      </c>
      <c r="K5076" t="n">
        <v>0</v>
      </c>
      <c r="L5076" t="n">
        <v>0</v>
      </c>
      <c r="M5076" t="n">
        <v>0</v>
      </c>
      <c r="N5076" t="n">
        <v>0</v>
      </c>
      <c r="O5076" t="n">
        <v>0</v>
      </c>
      <c r="P5076" t="n">
        <v>0</v>
      </c>
      <c r="Q5076" t="n">
        <v>0</v>
      </c>
      <c r="R5076" s="2" t="inlineStr"/>
    </row>
    <row r="5077" ht="15" customHeight="1">
      <c r="A5077" t="inlineStr">
        <is>
          <t>A 30516-2025</t>
        </is>
      </c>
      <c r="B5077" s="1" t="n">
        <v>45831.33459490741</v>
      </c>
      <c r="C5077" s="1" t="n">
        <v>45962</v>
      </c>
      <c r="D5077" t="inlineStr">
        <is>
          <t>JÖNKÖPINGS LÄN</t>
        </is>
      </c>
      <c r="E5077" t="inlineStr">
        <is>
          <t>GISLAVED</t>
        </is>
      </c>
      <c r="G5077" t="n">
        <v>1.3</v>
      </c>
      <c r="H5077" t="n">
        <v>0</v>
      </c>
      <c r="I5077" t="n">
        <v>0</v>
      </c>
      <c r="J5077" t="n">
        <v>0</v>
      </c>
      <c r="K5077" t="n">
        <v>0</v>
      </c>
      <c r="L5077" t="n">
        <v>0</v>
      </c>
      <c r="M5077" t="n">
        <v>0</v>
      </c>
      <c r="N5077" t="n">
        <v>0</v>
      </c>
      <c r="O5077" t="n">
        <v>0</v>
      </c>
      <c r="P5077" t="n">
        <v>0</v>
      </c>
      <c r="Q5077" t="n">
        <v>0</v>
      </c>
      <c r="R5077" s="2" t="inlineStr"/>
    </row>
    <row r="5078" ht="15" customHeight="1">
      <c r="A5078" t="inlineStr">
        <is>
          <t>A 34483-2024</t>
        </is>
      </c>
      <c r="B5078" s="1" t="n">
        <v>45525.60603009259</v>
      </c>
      <c r="C5078" s="1" t="n">
        <v>45962</v>
      </c>
      <c r="D5078" t="inlineStr">
        <is>
          <t>JÖNKÖPINGS LÄN</t>
        </is>
      </c>
      <c r="E5078" t="inlineStr">
        <is>
          <t>VETLANDA</t>
        </is>
      </c>
      <c r="G5078" t="n">
        <v>0.1</v>
      </c>
      <c r="H5078" t="n">
        <v>0</v>
      </c>
      <c r="I5078" t="n">
        <v>0</v>
      </c>
      <c r="J5078" t="n">
        <v>0</v>
      </c>
      <c r="K5078" t="n">
        <v>0</v>
      </c>
      <c r="L5078" t="n">
        <v>0</v>
      </c>
      <c r="M5078" t="n">
        <v>0</v>
      </c>
      <c r="N5078" t="n">
        <v>0</v>
      </c>
      <c r="O5078" t="n">
        <v>0</v>
      </c>
      <c r="P5078" t="n">
        <v>0</v>
      </c>
      <c r="Q5078" t="n">
        <v>0</v>
      </c>
      <c r="R5078" s="2" t="inlineStr"/>
    </row>
    <row r="5079" ht="15" customHeight="1">
      <c r="A5079" t="inlineStr">
        <is>
          <t>A 18823-2025</t>
        </is>
      </c>
      <c r="B5079" s="1" t="n">
        <v>45764.38414351852</v>
      </c>
      <c r="C5079" s="1" t="n">
        <v>45962</v>
      </c>
      <c r="D5079" t="inlineStr">
        <is>
          <t>JÖNKÖPINGS LÄN</t>
        </is>
      </c>
      <c r="E5079" t="inlineStr">
        <is>
          <t>GISLAVED</t>
        </is>
      </c>
      <c r="G5079" t="n">
        <v>5.4</v>
      </c>
      <c r="H5079" t="n">
        <v>0</v>
      </c>
      <c r="I5079" t="n">
        <v>0</v>
      </c>
      <c r="J5079" t="n">
        <v>0</v>
      </c>
      <c r="K5079" t="n">
        <v>0</v>
      </c>
      <c r="L5079" t="n">
        <v>0</v>
      </c>
      <c r="M5079" t="n">
        <v>0</v>
      </c>
      <c r="N5079" t="n">
        <v>0</v>
      </c>
      <c r="O5079" t="n">
        <v>0</v>
      </c>
      <c r="P5079" t="n">
        <v>0</v>
      </c>
      <c r="Q5079" t="n">
        <v>0</v>
      </c>
      <c r="R5079" s="2" t="inlineStr"/>
    </row>
    <row r="5080" ht="15" customHeight="1">
      <c r="A5080" t="inlineStr">
        <is>
          <t>A 5901-2023</t>
        </is>
      </c>
      <c r="B5080" s="1" t="n">
        <v>44963.66563657407</v>
      </c>
      <c r="C5080" s="1" t="n">
        <v>45962</v>
      </c>
      <c r="D5080" t="inlineStr">
        <is>
          <t>JÖNKÖPINGS LÄN</t>
        </is>
      </c>
      <c r="E5080" t="inlineStr">
        <is>
          <t>JÖNKÖPING</t>
        </is>
      </c>
      <c r="G5080" t="n">
        <v>0.7</v>
      </c>
      <c r="H5080" t="n">
        <v>0</v>
      </c>
      <c r="I5080" t="n">
        <v>0</v>
      </c>
      <c r="J5080" t="n">
        <v>0</v>
      </c>
      <c r="K5080" t="n">
        <v>0</v>
      </c>
      <c r="L5080" t="n">
        <v>0</v>
      </c>
      <c r="M5080" t="n">
        <v>0</v>
      </c>
      <c r="N5080" t="n">
        <v>0</v>
      </c>
      <c r="O5080" t="n">
        <v>0</v>
      </c>
      <c r="P5080" t="n">
        <v>0</v>
      </c>
      <c r="Q5080" t="n">
        <v>0</v>
      </c>
      <c r="R5080" s="2" t="inlineStr"/>
    </row>
    <row r="5081" ht="15" customHeight="1">
      <c r="A5081" t="inlineStr">
        <is>
          <t>A 18961-2024</t>
        </is>
      </c>
      <c r="B5081" s="1" t="n">
        <v>45427.53611111111</v>
      </c>
      <c r="C5081" s="1" t="n">
        <v>45962</v>
      </c>
      <c r="D5081" t="inlineStr">
        <is>
          <t>JÖNKÖPINGS LÄN</t>
        </is>
      </c>
      <c r="E5081" t="inlineStr">
        <is>
          <t>GISLAVED</t>
        </is>
      </c>
      <c r="G5081" t="n">
        <v>1.7</v>
      </c>
      <c r="H5081" t="n">
        <v>0</v>
      </c>
      <c r="I5081" t="n">
        <v>0</v>
      </c>
      <c r="J5081" t="n">
        <v>0</v>
      </c>
      <c r="K5081" t="n">
        <v>0</v>
      </c>
      <c r="L5081" t="n">
        <v>0</v>
      </c>
      <c r="M5081" t="n">
        <v>0</v>
      </c>
      <c r="N5081" t="n">
        <v>0</v>
      </c>
      <c r="O5081" t="n">
        <v>0</v>
      </c>
      <c r="P5081" t="n">
        <v>0</v>
      </c>
      <c r="Q5081" t="n">
        <v>0</v>
      </c>
      <c r="R5081" s="2" t="inlineStr"/>
    </row>
    <row r="5082" ht="15" customHeight="1">
      <c r="A5082" t="inlineStr">
        <is>
          <t>A 30654-2025</t>
        </is>
      </c>
      <c r="B5082" s="1" t="n">
        <v>45831.50364583333</v>
      </c>
      <c r="C5082" s="1" t="n">
        <v>45962</v>
      </c>
      <c r="D5082" t="inlineStr">
        <is>
          <t>JÖNKÖPINGS LÄN</t>
        </is>
      </c>
      <c r="E5082" t="inlineStr">
        <is>
          <t>GNOSJÖ</t>
        </is>
      </c>
      <c r="G5082" t="n">
        <v>2</v>
      </c>
      <c r="H5082" t="n">
        <v>0</v>
      </c>
      <c r="I5082" t="n">
        <v>0</v>
      </c>
      <c r="J5082" t="n">
        <v>0</v>
      </c>
      <c r="K5082" t="n">
        <v>0</v>
      </c>
      <c r="L5082" t="n">
        <v>0</v>
      </c>
      <c r="M5082" t="n">
        <v>0</v>
      </c>
      <c r="N5082" t="n">
        <v>0</v>
      </c>
      <c r="O5082" t="n">
        <v>0</v>
      </c>
      <c r="P5082" t="n">
        <v>0</v>
      </c>
      <c r="Q5082" t="n">
        <v>0</v>
      </c>
      <c r="R5082" s="2" t="inlineStr"/>
    </row>
    <row r="5083" ht="15" customHeight="1">
      <c r="A5083" t="inlineStr">
        <is>
          <t>A 30543-2025</t>
        </is>
      </c>
      <c r="B5083" s="1" t="n">
        <v>45831.37350694444</v>
      </c>
      <c r="C5083" s="1" t="n">
        <v>45962</v>
      </c>
      <c r="D5083" t="inlineStr">
        <is>
          <t>JÖNKÖPINGS LÄN</t>
        </is>
      </c>
      <c r="E5083" t="inlineStr">
        <is>
          <t>GISLAVED</t>
        </is>
      </c>
      <c r="G5083" t="n">
        <v>0.8</v>
      </c>
      <c r="H5083" t="n">
        <v>0</v>
      </c>
      <c r="I5083" t="n">
        <v>0</v>
      </c>
      <c r="J5083" t="n">
        <v>0</v>
      </c>
      <c r="K5083" t="n">
        <v>0</v>
      </c>
      <c r="L5083" t="n">
        <v>0</v>
      </c>
      <c r="M5083" t="n">
        <v>0</v>
      </c>
      <c r="N5083" t="n">
        <v>0</v>
      </c>
      <c r="O5083" t="n">
        <v>0</v>
      </c>
      <c r="P5083" t="n">
        <v>0</v>
      </c>
      <c r="Q5083" t="n">
        <v>0</v>
      </c>
      <c r="R5083" s="2" t="inlineStr"/>
    </row>
    <row r="5084" ht="15" customHeight="1">
      <c r="A5084" t="inlineStr">
        <is>
          <t>A 17830-2024</t>
        </is>
      </c>
      <c r="B5084" s="1" t="n">
        <v>45419.33035879629</v>
      </c>
      <c r="C5084" s="1" t="n">
        <v>45962</v>
      </c>
      <c r="D5084" t="inlineStr">
        <is>
          <t>JÖNKÖPINGS LÄN</t>
        </is>
      </c>
      <c r="E5084" t="inlineStr">
        <is>
          <t>NÄSSJÖ</t>
        </is>
      </c>
      <c r="G5084" t="n">
        <v>1.9</v>
      </c>
      <c r="H5084" t="n">
        <v>0</v>
      </c>
      <c r="I5084" t="n">
        <v>0</v>
      </c>
      <c r="J5084" t="n">
        <v>0</v>
      </c>
      <c r="K5084" t="n">
        <v>0</v>
      </c>
      <c r="L5084" t="n">
        <v>0</v>
      </c>
      <c r="M5084" t="n">
        <v>0</v>
      </c>
      <c r="N5084" t="n">
        <v>0</v>
      </c>
      <c r="O5084" t="n">
        <v>0</v>
      </c>
      <c r="P5084" t="n">
        <v>0</v>
      </c>
      <c r="Q5084" t="n">
        <v>0</v>
      </c>
      <c r="R5084" s="2" t="inlineStr"/>
    </row>
    <row r="5085" ht="15" customHeight="1">
      <c r="A5085" t="inlineStr">
        <is>
          <t>A 64419-2021</t>
        </is>
      </c>
      <c r="B5085" s="1" t="n">
        <v>44511</v>
      </c>
      <c r="C5085" s="1" t="n">
        <v>45962</v>
      </c>
      <c r="D5085" t="inlineStr">
        <is>
          <t>JÖNKÖPINGS LÄN</t>
        </is>
      </c>
      <c r="E5085" t="inlineStr">
        <is>
          <t>EKSJÖ</t>
        </is>
      </c>
      <c r="G5085" t="n">
        <v>4</v>
      </c>
      <c r="H5085" t="n">
        <v>0</v>
      </c>
      <c r="I5085" t="n">
        <v>0</v>
      </c>
      <c r="J5085" t="n">
        <v>0</v>
      </c>
      <c r="K5085" t="n">
        <v>0</v>
      </c>
      <c r="L5085" t="n">
        <v>0</v>
      </c>
      <c r="M5085" t="n">
        <v>0</v>
      </c>
      <c r="N5085" t="n">
        <v>0</v>
      </c>
      <c r="O5085" t="n">
        <v>0</v>
      </c>
      <c r="P5085" t="n">
        <v>0</v>
      </c>
      <c r="Q5085" t="n">
        <v>0</v>
      </c>
      <c r="R5085" s="2" t="inlineStr"/>
    </row>
    <row r="5086" ht="15" customHeight="1">
      <c r="A5086" t="inlineStr">
        <is>
          <t>A 30739-2025</t>
        </is>
      </c>
      <c r="B5086" s="1" t="n">
        <v>45831.57614583334</v>
      </c>
      <c r="C5086" s="1" t="n">
        <v>45962</v>
      </c>
      <c r="D5086" t="inlineStr">
        <is>
          <t>JÖNKÖPINGS LÄN</t>
        </is>
      </c>
      <c r="E5086" t="inlineStr">
        <is>
          <t>GISLAVED</t>
        </is>
      </c>
      <c r="G5086" t="n">
        <v>3.7</v>
      </c>
      <c r="H5086" t="n">
        <v>0</v>
      </c>
      <c r="I5086" t="n">
        <v>0</v>
      </c>
      <c r="J5086" t="n">
        <v>0</v>
      </c>
      <c r="K5086" t="n">
        <v>0</v>
      </c>
      <c r="L5086" t="n">
        <v>0</v>
      </c>
      <c r="M5086" t="n">
        <v>0</v>
      </c>
      <c r="N5086" t="n">
        <v>0</v>
      </c>
      <c r="O5086" t="n">
        <v>0</v>
      </c>
      <c r="P5086" t="n">
        <v>0</v>
      </c>
      <c r="Q5086" t="n">
        <v>0</v>
      </c>
      <c r="R5086" s="2" t="inlineStr"/>
    </row>
    <row r="5087" ht="15" customHeight="1">
      <c r="A5087" t="inlineStr">
        <is>
          <t>A 64583-2020</t>
        </is>
      </c>
      <c r="B5087" s="1" t="n">
        <v>44169</v>
      </c>
      <c r="C5087" s="1" t="n">
        <v>45962</v>
      </c>
      <c r="D5087" t="inlineStr">
        <is>
          <t>JÖNKÖPINGS LÄN</t>
        </is>
      </c>
      <c r="E5087" t="inlineStr">
        <is>
          <t>VETLANDA</t>
        </is>
      </c>
      <c r="G5087" t="n">
        <v>4.6</v>
      </c>
      <c r="H5087" t="n">
        <v>0</v>
      </c>
      <c r="I5087" t="n">
        <v>0</v>
      </c>
      <c r="J5087" t="n">
        <v>0</v>
      </c>
      <c r="K5087" t="n">
        <v>0</v>
      </c>
      <c r="L5087" t="n">
        <v>0</v>
      </c>
      <c r="M5087" t="n">
        <v>0</v>
      </c>
      <c r="N5087" t="n">
        <v>0</v>
      </c>
      <c r="O5087" t="n">
        <v>0</v>
      </c>
      <c r="P5087" t="n">
        <v>0</v>
      </c>
      <c r="Q5087" t="n">
        <v>0</v>
      </c>
      <c r="R5087" s="2" t="inlineStr"/>
    </row>
    <row r="5088" ht="15" customHeight="1">
      <c r="A5088" t="inlineStr">
        <is>
          <t>A 17294-2025</t>
        </is>
      </c>
      <c r="B5088" s="1" t="n">
        <v>45756.5894675926</v>
      </c>
      <c r="C5088" s="1" t="n">
        <v>45962</v>
      </c>
      <c r="D5088" t="inlineStr">
        <is>
          <t>JÖNKÖPINGS LÄN</t>
        </is>
      </c>
      <c r="E5088" t="inlineStr">
        <is>
          <t>HABO</t>
        </is>
      </c>
      <c r="G5088" t="n">
        <v>4.2</v>
      </c>
      <c r="H5088" t="n">
        <v>0</v>
      </c>
      <c r="I5088" t="n">
        <v>0</v>
      </c>
      <c r="J5088" t="n">
        <v>0</v>
      </c>
      <c r="K5088" t="n">
        <v>0</v>
      </c>
      <c r="L5088" t="n">
        <v>0</v>
      </c>
      <c r="M5088" t="n">
        <v>0</v>
      </c>
      <c r="N5088" t="n">
        <v>0</v>
      </c>
      <c r="O5088" t="n">
        <v>0</v>
      </c>
      <c r="P5088" t="n">
        <v>0</v>
      </c>
      <c r="Q5088" t="n">
        <v>0</v>
      </c>
      <c r="R5088" s="2" t="inlineStr"/>
    </row>
    <row r="5089" ht="15" customHeight="1">
      <c r="A5089" t="inlineStr">
        <is>
          <t>A 30669-2025</t>
        </is>
      </c>
      <c r="B5089" s="1" t="n">
        <v>45831.51761574074</v>
      </c>
      <c r="C5089" s="1" t="n">
        <v>45962</v>
      </c>
      <c r="D5089" t="inlineStr">
        <is>
          <t>JÖNKÖPINGS LÄN</t>
        </is>
      </c>
      <c r="E5089" t="inlineStr">
        <is>
          <t>GNOSJÖ</t>
        </is>
      </c>
      <c r="G5089" t="n">
        <v>0.7</v>
      </c>
      <c r="H5089" t="n">
        <v>0</v>
      </c>
      <c r="I5089" t="n">
        <v>0</v>
      </c>
      <c r="J5089" t="n">
        <v>0</v>
      </c>
      <c r="K5089" t="n">
        <v>0</v>
      </c>
      <c r="L5089" t="n">
        <v>0</v>
      </c>
      <c r="M5089" t="n">
        <v>0</v>
      </c>
      <c r="N5089" t="n">
        <v>0</v>
      </c>
      <c r="O5089" t="n">
        <v>0</v>
      </c>
      <c r="P5089" t="n">
        <v>0</v>
      </c>
      <c r="Q5089" t="n">
        <v>0</v>
      </c>
      <c r="R5089" s="2" t="inlineStr"/>
    </row>
    <row r="5090" ht="15" customHeight="1">
      <c r="A5090" t="inlineStr">
        <is>
          <t>A 65405-2021</t>
        </is>
      </c>
      <c r="B5090" s="1" t="n">
        <v>44515</v>
      </c>
      <c r="C5090" s="1" t="n">
        <v>45962</v>
      </c>
      <c r="D5090" t="inlineStr">
        <is>
          <t>JÖNKÖPINGS LÄN</t>
        </is>
      </c>
      <c r="E5090" t="inlineStr">
        <is>
          <t>EKSJÖ</t>
        </is>
      </c>
      <c r="G5090" t="n">
        <v>4.1</v>
      </c>
      <c r="H5090" t="n">
        <v>0</v>
      </c>
      <c r="I5090" t="n">
        <v>0</v>
      </c>
      <c r="J5090" t="n">
        <v>0</v>
      </c>
      <c r="K5090" t="n">
        <v>0</v>
      </c>
      <c r="L5090" t="n">
        <v>0</v>
      </c>
      <c r="M5090" t="n">
        <v>0</v>
      </c>
      <c r="N5090" t="n">
        <v>0</v>
      </c>
      <c r="O5090" t="n">
        <v>0</v>
      </c>
      <c r="P5090" t="n">
        <v>0</v>
      </c>
      <c r="Q5090" t="n">
        <v>0</v>
      </c>
      <c r="R5090" s="2" t="inlineStr"/>
    </row>
    <row r="5091" ht="15" customHeight="1">
      <c r="A5091" t="inlineStr">
        <is>
          <t>A 17319-2025</t>
        </is>
      </c>
      <c r="B5091" s="1" t="n">
        <v>45756</v>
      </c>
      <c r="C5091" s="1" t="n">
        <v>45962</v>
      </c>
      <c r="D5091" t="inlineStr">
        <is>
          <t>JÖNKÖPINGS LÄN</t>
        </is>
      </c>
      <c r="E5091" t="inlineStr">
        <is>
          <t>NÄSSJÖ</t>
        </is>
      </c>
      <c r="G5091" t="n">
        <v>3.3</v>
      </c>
      <c r="H5091" t="n">
        <v>0</v>
      </c>
      <c r="I5091" t="n">
        <v>0</v>
      </c>
      <c r="J5091" t="n">
        <v>0</v>
      </c>
      <c r="K5091" t="n">
        <v>0</v>
      </c>
      <c r="L5091" t="n">
        <v>0</v>
      </c>
      <c r="M5091" t="n">
        <v>0</v>
      </c>
      <c r="N5091" t="n">
        <v>0</v>
      </c>
      <c r="O5091" t="n">
        <v>0</v>
      </c>
      <c r="P5091" t="n">
        <v>0</v>
      </c>
      <c r="Q5091" t="n">
        <v>0</v>
      </c>
      <c r="R5091" s="2" t="inlineStr"/>
    </row>
    <row r="5092" ht="15" customHeight="1">
      <c r="A5092" t="inlineStr">
        <is>
          <t>A 7865-2022</t>
        </is>
      </c>
      <c r="B5092" s="1" t="n">
        <v>44608</v>
      </c>
      <c r="C5092" s="1" t="n">
        <v>45962</v>
      </c>
      <c r="D5092" t="inlineStr">
        <is>
          <t>JÖNKÖPINGS LÄN</t>
        </is>
      </c>
      <c r="E5092" t="inlineStr">
        <is>
          <t>JÖNKÖPING</t>
        </is>
      </c>
      <c r="G5092" t="n">
        <v>1.4</v>
      </c>
      <c r="H5092" t="n">
        <v>0</v>
      </c>
      <c r="I5092" t="n">
        <v>0</v>
      </c>
      <c r="J5092" t="n">
        <v>0</v>
      </c>
      <c r="K5092" t="n">
        <v>0</v>
      </c>
      <c r="L5092" t="n">
        <v>0</v>
      </c>
      <c r="M5092" t="n">
        <v>0</v>
      </c>
      <c r="N5092" t="n">
        <v>0</v>
      </c>
      <c r="O5092" t="n">
        <v>0</v>
      </c>
      <c r="P5092" t="n">
        <v>0</v>
      </c>
      <c r="Q5092" t="n">
        <v>0</v>
      </c>
      <c r="R5092" s="2" t="inlineStr"/>
    </row>
    <row r="5093" ht="15" customHeight="1">
      <c r="A5093" t="inlineStr">
        <is>
          <t>A 30519-2025</t>
        </is>
      </c>
      <c r="B5093" s="1" t="n">
        <v>45831.34222222222</v>
      </c>
      <c r="C5093" s="1" t="n">
        <v>45962</v>
      </c>
      <c r="D5093" t="inlineStr">
        <is>
          <t>JÖNKÖPINGS LÄN</t>
        </is>
      </c>
      <c r="E5093" t="inlineStr">
        <is>
          <t>GISLAVED</t>
        </is>
      </c>
      <c r="G5093" t="n">
        <v>0.8</v>
      </c>
      <c r="H5093" t="n">
        <v>0</v>
      </c>
      <c r="I5093" t="n">
        <v>0</v>
      </c>
      <c r="J5093" t="n">
        <v>0</v>
      </c>
      <c r="K5093" t="n">
        <v>0</v>
      </c>
      <c r="L5093" t="n">
        <v>0</v>
      </c>
      <c r="M5093" t="n">
        <v>0</v>
      </c>
      <c r="N5093" t="n">
        <v>0</v>
      </c>
      <c r="O5093" t="n">
        <v>0</v>
      </c>
      <c r="P5093" t="n">
        <v>0</v>
      </c>
      <c r="Q5093" t="n">
        <v>0</v>
      </c>
      <c r="R5093" s="2" t="inlineStr"/>
    </row>
    <row r="5094" ht="15" customHeight="1">
      <c r="A5094" t="inlineStr">
        <is>
          <t>A 56617-2022</t>
        </is>
      </c>
      <c r="B5094" s="1" t="n">
        <v>44893.59326388889</v>
      </c>
      <c r="C5094" s="1" t="n">
        <v>45962</v>
      </c>
      <c r="D5094" t="inlineStr">
        <is>
          <t>JÖNKÖPINGS LÄN</t>
        </is>
      </c>
      <c r="E5094" t="inlineStr">
        <is>
          <t>SÄVSJÖ</t>
        </is>
      </c>
      <c r="G5094" t="n">
        <v>1.6</v>
      </c>
      <c r="H5094" t="n">
        <v>0</v>
      </c>
      <c r="I5094" t="n">
        <v>0</v>
      </c>
      <c r="J5094" t="n">
        <v>0</v>
      </c>
      <c r="K5094" t="n">
        <v>0</v>
      </c>
      <c r="L5094" t="n">
        <v>0</v>
      </c>
      <c r="M5094" t="n">
        <v>0</v>
      </c>
      <c r="N5094" t="n">
        <v>0</v>
      </c>
      <c r="O5094" t="n">
        <v>0</v>
      </c>
      <c r="P5094" t="n">
        <v>0</v>
      </c>
      <c r="Q5094" t="n">
        <v>0</v>
      </c>
      <c r="R5094" s="2" t="inlineStr"/>
    </row>
    <row r="5095" ht="15" customHeight="1">
      <c r="A5095" t="inlineStr">
        <is>
          <t>A 982-2023</t>
        </is>
      </c>
      <c r="B5095" s="1" t="n">
        <v>44935.37284722222</v>
      </c>
      <c r="C5095" s="1" t="n">
        <v>45962</v>
      </c>
      <c r="D5095" t="inlineStr">
        <is>
          <t>JÖNKÖPINGS LÄN</t>
        </is>
      </c>
      <c r="E5095" t="inlineStr">
        <is>
          <t>JÖNKÖPING</t>
        </is>
      </c>
      <c r="G5095" t="n">
        <v>0.8</v>
      </c>
      <c r="H5095" t="n">
        <v>0</v>
      </c>
      <c r="I5095" t="n">
        <v>0</v>
      </c>
      <c r="J5095" t="n">
        <v>0</v>
      </c>
      <c r="K5095" t="n">
        <v>0</v>
      </c>
      <c r="L5095" t="n">
        <v>0</v>
      </c>
      <c r="M5095" t="n">
        <v>0</v>
      </c>
      <c r="N5095" t="n">
        <v>0</v>
      </c>
      <c r="O5095" t="n">
        <v>0</v>
      </c>
      <c r="P5095" t="n">
        <v>0</v>
      </c>
      <c r="Q5095" t="n">
        <v>0</v>
      </c>
      <c r="R5095" s="2" t="inlineStr"/>
    </row>
    <row r="5096" ht="15" customHeight="1">
      <c r="A5096" t="inlineStr">
        <is>
          <t>A 30536-2025</t>
        </is>
      </c>
      <c r="B5096" s="1" t="n">
        <v>45831.36633101852</v>
      </c>
      <c r="C5096" s="1" t="n">
        <v>45962</v>
      </c>
      <c r="D5096" t="inlineStr">
        <is>
          <t>JÖNKÖPINGS LÄN</t>
        </is>
      </c>
      <c r="E5096" t="inlineStr">
        <is>
          <t>NÄSSJÖ</t>
        </is>
      </c>
      <c r="G5096" t="n">
        <v>7.9</v>
      </c>
      <c r="H5096" t="n">
        <v>0</v>
      </c>
      <c r="I5096" t="n">
        <v>0</v>
      </c>
      <c r="J5096" t="n">
        <v>0</v>
      </c>
      <c r="K5096" t="n">
        <v>0</v>
      </c>
      <c r="L5096" t="n">
        <v>0</v>
      </c>
      <c r="M5096" t="n">
        <v>0</v>
      </c>
      <c r="N5096" t="n">
        <v>0</v>
      </c>
      <c r="O5096" t="n">
        <v>0</v>
      </c>
      <c r="P5096" t="n">
        <v>0</v>
      </c>
      <c r="Q5096" t="n">
        <v>0</v>
      </c>
      <c r="R5096" s="2" t="inlineStr"/>
    </row>
    <row r="5097" ht="15" customHeight="1">
      <c r="A5097" t="inlineStr">
        <is>
          <t>A 1613-2022</t>
        </is>
      </c>
      <c r="B5097" s="1" t="n">
        <v>44573</v>
      </c>
      <c r="C5097" s="1" t="n">
        <v>45962</v>
      </c>
      <c r="D5097" t="inlineStr">
        <is>
          <t>JÖNKÖPINGS LÄN</t>
        </is>
      </c>
      <c r="E5097" t="inlineStr">
        <is>
          <t>TRANÅS</t>
        </is>
      </c>
      <c r="F5097" t="inlineStr">
        <is>
          <t>Allmännings- och besparingsskogar</t>
        </is>
      </c>
      <c r="G5097" t="n">
        <v>5.4</v>
      </c>
      <c r="H5097" t="n">
        <v>0</v>
      </c>
      <c r="I5097" t="n">
        <v>0</v>
      </c>
      <c r="J5097" t="n">
        <v>0</v>
      </c>
      <c r="K5097" t="n">
        <v>0</v>
      </c>
      <c r="L5097" t="n">
        <v>0</v>
      </c>
      <c r="M5097" t="n">
        <v>0</v>
      </c>
      <c r="N5097" t="n">
        <v>0</v>
      </c>
      <c r="O5097" t="n">
        <v>0</v>
      </c>
      <c r="P5097" t="n">
        <v>0</v>
      </c>
      <c r="Q5097" t="n">
        <v>0</v>
      </c>
      <c r="R5097" s="2" t="inlineStr"/>
    </row>
    <row r="5098" ht="15" customHeight="1">
      <c r="A5098" t="inlineStr">
        <is>
          <t>A 57245-2022</t>
        </is>
      </c>
      <c r="B5098" s="1" t="n">
        <v>44895</v>
      </c>
      <c r="C5098" s="1" t="n">
        <v>45962</v>
      </c>
      <c r="D5098" t="inlineStr">
        <is>
          <t>JÖNKÖPINGS LÄN</t>
        </is>
      </c>
      <c r="E5098" t="inlineStr">
        <is>
          <t>VAGGERYD</t>
        </is>
      </c>
      <c r="G5098" t="n">
        <v>1.2</v>
      </c>
      <c r="H5098" t="n">
        <v>0</v>
      </c>
      <c r="I5098" t="n">
        <v>0</v>
      </c>
      <c r="J5098" t="n">
        <v>0</v>
      </c>
      <c r="K5098" t="n">
        <v>0</v>
      </c>
      <c r="L5098" t="n">
        <v>0</v>
      </c>
      <c r="M5098" t="n">
        <v>0</v>
      </c>
      <c r="N5098" t="n">
        <v>0</v>
      </c>
      <c r="O5098" t="n">
        <v>0</v>
      </c>
      <c r="P5098" t="n">
        <v>0</v>
      </c>
      <c r="Q5098" t="n">
        <v>0</v>
      </c>
      <c r="R5098" s="2" t="inlineStr"/>
    </row>
    <row r="5099" ht="15" customHeight="1">
      <c r="A5099" t="inlineStr">
        <is>
          <t>A 51876-2022</t>
        </is>
      </c>
      <c r="B5099" s="1" t="n">
        <v>44867</v>
      </c>
      <c r="C5099" s="1" t="n">
        <v>45962</v>
      </c>
      <c r="D5099" t="inlineStr">
        <is>
          <t>JÖNKÖPINGS LÄN</t>
        </is>
      </c>
      <c r="E5099" t="inlineStr">
        <is>
          <t>JÖNKÖPING</t>
        </is>
      </c>
      <c r="G5099" t="n">
        <v>1</v>
      </c>
      <c r="H5099" t="n">
        <v>0</v>
      </c>
      <c r="I5099" t="n">
        <v>0</v>
      </c>
      <c r="J5099" t="n">
        <v>0</v>
      </c>
      <c r="K5099" t="n">
        <v>0</v>
      </c>
      <c r="L5099" t="n">
        <v>0</v>
      </c>
      <c r="M5099" t="n">
        <v>0</v>
      </c>
      <c r="N5099" t="n">
        <v>0</v>
      </c>
      <c r="O5099" t="n">
        <v>0</v>
      </c>
      <c r="P5099" t="n">
        <v>0</v>
      </c>
      <c r="Q5099" t="n">
        <v>0</v>
      </c>
      <c r="R5099" s="2" t="inlineStr"/>
    </row>
    <row r="5100" ht="15" customHeight="1">
      <c r="A5100" t="inlineStr">
        <is>
          <t>A 37198-2024</t>
        </is>
      </c>
      <c r="B5100" s="1" t="n">
        <v>45539.67039351852</v>
      </c>
      <c r="C5100" s="1" t="n">
        <v>45962</v>
      </c>
      <c r="D5100" t="inlineStr">
        <is>
          <t>JÖNKÖPINGS LÄN</t>
        </is>
      </c>
      <c r="E5100" t="inlineStr">
        <is>
          <t>VÄRNAMO</t>
        </is>
      </c>
      <c r="G5100" t="n">
        <v>2.1</v>
      </c>
      <c r="H5100" t="n">
        <v>0</v>
      </c>
      <c r="I5100" t="n">
        <v>0</v>
      </c>
      <c r="J5100" t="n">
        <v>0</v>
      </c>
      <c r="K5100" t="n">
        <v>0</v>
      </c>
      <c r="L5100" t="n">
        <v>0</v>
      </c>
      <c r="M5100" t="n">
        <v>0</v>
      </c>
      <c r="N5100" t="n">
        <v>0</v>
      </c>
      <c r="O5100" t="n">
        <v>0</v>
      </c>
      <c r="P5100" t="n">
        <v>0</v>
      </c>
      <c r="Q5100" t="n">
        <v>0</v>
      </c>
      <c r="R5100" s="2" t="inlineStr"/>
    </row>
    <row r="5101" ht="15" customHeight="1">
      <c r="A5101" t="inlineStr">
        <is>
          <t>A 10155-2024</t>
        </is>
      </c>
      <c r="B5101" s="1" t="n">
        <v>45364.65658564815</v>
      </c>
      <c r="C5101" s="1" t="n">
        <v>45962</v>
      </c>
      <c r="D5101" t="inlineStr">
        <is>
          <t>JÖNKÖPINGS LÄN</t>
        </is>
      </c>
      <c r="E5101" t="inlineStr">
        <is>
          <t>ANEBY</t>
        </is>
      </c>
      <c r="G5101" t="n">
        <v>1.5</v>
      </c>
      <c r="H5101" t="n">
        <v>0</v>
      </c>
      <c r="I5101" t="n">
        <v>0</v>
      </c>
      <c r="J5101" t="n">
        <v>0</v>
      </c>
      <c r="K5101" t="n">
        <v>0</v>
      </c>
      <c r="L5101" t="n">
        <v>0</v>
      </c>
      <c r="M5101" t="n">
        <v>0</v>
      </c>
      <c r="N5101" t="n">
        <v>0</v>
      </c>
      <c r="O5101" t="n">
        <v>0</v>
      </c>
      <c r="P5101" t="n">
        <v>0</v>
      </c>
      <c r="Q5101" t="n">
        <v>0</v>
      </c>
      <c r="R5101" s="2" t="inlineStr"/>
    </row>
    <row r="5102" ht="15" customHeight="1">
      <c r="A5102" t="inlineStr">
        <is>
          <t>A 10284-2024</t>
        </is>
      </c>
      <c r="B5102" s="1" t="n">
        <v>45365.46722222222</v>
      </c>
      <c r="C5102" s="1" t="n">
        <v>45962</v>
      </c>
      <c r="D5102" t="inlineStr">
        <is>
          <t>JÖNKÖPINGS LÄN</t>
        </is>
      </c>
      <c r="E5102" t="inlineStr">
        <is>
          <t>SÄVSJÖ</t>
        </is>
      </c>
      <c r="G5102" t="n">
        <v>1.9</v>
      </c>
      <c r="H5102" t="n">
        <v>0</v>
      </c>
      <c r="I5102" t="n">
        <v>0</v>
      </c>
      <c r="J5102" t="n">
        <v>0</v>
      </c>
      <c r="K5102" t="n">
        <v>0</v>
      </c>
      <c r="L5102" t="n">
        <v>0</v>
      </c>
      <c r="M5102" t="n">
        <v>0</v>
      </c>
      <c r="N5102" t="n">
        <v>0</v>
      </c>
      <c r="O5102" t="n">
        <v>0</v>
      </c>
      <c r="P5102" t="n">
        <v>0</v>
      </c>
      <c r="Q5102" t="n">
        <v>0</v>
      </c>
      <c r="R5102" s="2" t="inlineStr"/>
    </row>
    <row r="5103" ht="15" customHeight="1">
      <c r="A5103" t="inlineStr">
        <is>
          <t>A 31087-2025</t>
        </is>
      </c>
      <c r="B5103" s="1" t="n">
        <v>45831</v>
      </c>
      <c r="C5103" s="1" t="n">
        <v>45962</v>
      </c>
      <c r="D5103" t="inlineStr">
        <is>
          <t>JÖNKÖPINGS LÄN</t>
        </is>
      </c>
      <c r="E5103" t="inlineStr">
        <is>
          <t>ANEBY</t>
        </is>
      </c>
      <c r="F5103" t="inlineStr">
        <is>
          <t>Övriga Aktiebolag</t>
        </is>
      </c>
      <c r="G5103" t="n">
        <v>6.4</v>
      </c>
      <c r="H5103" t="n">
        <v>0</v>
      </c>
      <c r="I5103" t="n">
        <v>0</v>
      </c>
      <c r="J5103" t="n">
        <v>0</v>
      </c>
      <c r="K5103" t="n">
        <v>0</v>
      </c>
      <c r="L5103" t="n">
        <v>0</v>
      </c>
      <c r="M5103" t="n">
        <v>0</v>
      </c>
      <c r="N5103" t="n">
        <v>0</v>
      </c>
      <c r="O5103" t="n">
        <v>0</v>
      </c>
      <c r="P5103" t="n">
        <v>0</v>
      </c>
      <c r="Q5103" t="n">
        <v>0</v>
      </c>
      <c r="R5103" s="2" t="inlineStr"/>
    </row>
    <row r="5104" ht="15" customHeight="1">
      <c r="A5104" t="inlineStr">
        <is>
          <t>A 14399-2023</t>
        </is>
      </c>
      <c r="B5104" s="1" t="n">
        <v>45012.47793981482</v>
      </c>
      <c r="C5104" s="1" t="n">
        <v>45962</v>
      </c>
      <c r="D5104" t="inlineStr">
        <is>
          <t>JÖNKÖPINGS LÄN</t>
        </is>
      </c>
      <c r="E5104" t="inlineStr">
        <is>
          <t>VAGGERYD</t>
        </is>
      </c>
      <c r="G5104" t="n">
        <v>5.3</v>
      </c>
      <c r="H5104" t="n">
        <v>0</v>
      </c>
      <c r="I5104" t="n">
        <v>0</v>
      </c>
      <c r="J5104" t="n">
        <v>0</v>
      </c>
      <c r="K5104" t="n">
        <v>0</v>
      </c>
      <c r="L5104" t="n">
        <v>0</v>
      </c>
      <c r="M5104" t="n">
        <v>0</v>
      </c>
      <c r="N5104" t="n">
        <v>0</v>
      </c>
      <c r="O5104" t="n">
        <v>0</v>
      </c>
      <c r="P5104" t="n">
        <v>0</v>
      </c>
      <c r="Q5104" t="n">
        <v>0</v>
      </c>
      <c r="R5104" s="2" t="inlineStr"/>
    </row>
    <row r="5105" ht="15" customHeight="1">
      <c r="A5105" t="inlineStr">
        <is>
          <t>A 30517-2025</t>
        </is>
      </c>
      <c r="B5105" s="1" t="n">
        <v>45831.33755787037</v>
      </c>
      <c r="C5105" s="1" t="n">
        <v>45962</v>
      </c>
      <c r="D5105" t="inlineStr">
        <is>
          <t>JÖNKÖPINGS LÄN</t>
        </is>
      </c>
      <c r="E5105" t="inlineStr">
        <is>
          <t>GISLAVED</t>
        </is>
      </c>
      <c r="G5105" t="n">
        <v>1.7</v>
      </c>
      <c r="H5105" t="n">
        <v>0</v>
      </c>
      <c r="I5105" t="n">
        <v>0</v>
      </c>
      <c r="J5105" t="n">
        <v>0</v>
      </c>
      <c r="K5105" t="n">
        <v>0</v>
      </c>
      <c r="L5105" t="n">
        <v>0</v>
      </c>
      <c r="M5105" t="n">
        <v>0</v>
      </c>
      <c r="N5105" t="n">
        <v>0</v>
      </c>
      <c r="O5105" t="n">
        <v>0</v>
      </c>
      <c r="P5105" t="n">
        <v>0</v>
      </c>
      <c r="Q5105" t="n">
        <v>0</v>
      </c>
      <c r="R5105" s="2" t="inlineStr"/>
    </row>
    <row r="5106" ht="15" customHeight="1">
      <c r="A5106" t="inlineStr">
        <is>
          <t>A 13644-2023</t>
        </is>
      </c>
      <c r="B5106" s="1" t="n">
        <v>45006.65795138889</v>
      </c>
      <c r="C5106" s="1" t="n">
        <v>45962</v>
      </c>
      <c r="D5106" t="inlineStr">
        <is>
          <t>JÖNKÖPINGS LÄN</t>
        </is>
      </c>
      <c r="E5106" t="inlineStr">
        <is>
          <t>VETLANDA</t>
        </is>
      </c>
      <c r="G5106" t="n">
        <v>0.8</v>
      </c>
      <c r="H5106" t="n">
        <v>0</v>
      </c>
      <c r="I5106" t="n">
        <v>0</v>
      </c>
      <c r="J5106" t="n">
        <v>0</v>
      </c>
      <c r="K5106" t="n">
        <v>0</v>
      </c>
      <c r="L5106" t="n">
        <v>0</v>
      </c>
      <c r="M5106" t="n">
        <v>0</v>
      </c>
      <c r="N5106" t="n">
        <v>0</v>
      </c>
      <c r="O5106" t="n">
        <v>0</v>
      </c>
      <c r="P5106" t="n">
        <v>0</v>
      </c>
      <c r="Q5106" t="n">
        <v>0</v>
      </c>
      <c r="R5106" s="2" t="inlineStr"/>
    </row>
    <row r="5107" ht="15" customHeight="1">
      <c r="A5107" t="inlineStr">
        <is>
          <t>A 60261-2022</t>
        </is>
      </c>
      <c r="B5107" s="1" t="n">
        <v>44910</v>
      </c>
      <c r="C5107" s="1" t="n">
        <v>45962</v>
      </c>
      <c r="D5107" t="inlineStr">
        <is>
          <t>JÖNKÖPINGS LÄN</t>
        </is>
      </c>
      <c r="E5107" t="inlineStr">
        <is>
          <t>GISLAVED</t>
        </is>
      </c>
      <c r="G5107" t="n">
        <v>0.5</v>
      </c>
      <c r="H5107" t="n">
        <v>0</v>
      </c>
      <c r="I5107" t="n">
        <v>0</v>
      </c>
      <c r="J5107" t="n">
        <v>0</v>
      </c>
      <c r="K5107" t="n">
        <v>0</v>
      </c>
      <c r="L5107" t="n">
        <v>0</v>
      </c>
      <c r="M5107" t="n">
        <v>0</v>
      </c>
      <c r="N5107" t="n">
        <v>0</v>
      </c>
      <c r="O5107" t="n">
        <v>0</v>
      </c>
      <c r="P5107" t="n">
        <v>0</v>
      </c>
      <c r="Q5107" t="n">
        <v>0</v>
      </c>
      <c r="R5107" s="2" t="inlineStr"/>
    </row>
    <row r="5108" ht="15" customHeight="1">
      <c r="A5108" t="inlineStr">
        <is>
          <t>A 8536-2024</t>
        </is>
      </c>
      <c r="B5108" s="1" t="n">
        <v>45355.51554398148</v>
      </c>
      <c r="C5108" s="1" t="n">
        <v>45962</v>
      </c>
      <c r="D5108" t="inlineStr">
        <is>
          <t>JÖNKÖPINGS LÄN</t>
        </is>
      </c>
      <c r="E5108" t="inlineStr">
        <is>
          <t>SÄVSJÖ</t>
        </is>
      </c>
      <c r="G5108" t="n">
        <v>6.5</v>
      </c>
      <c r="H5108" t="n">
        <v>0</v>
      </c>
      <c r="I5108" t="n">
        <v>0</v>
      </c>
      <c r="J5108" t="n">
        <v>0</v>
      </c>
      <c r="K5108" t="n">
        <v>0</v>
      </c>
      <c r="L5108" t="n">
        <v>0</v>
      </c>
      <c r="M5108" t="n">
        <v>0</v>
      </c>
      <c r="N5108" t="n">
        <v>0</v>
      </c>
      <c r="O5108" t="n">
        <v>0</v>
      </c>
      <c r="P5108" t="n">
        <v>0</v>
      </c>
      <c r="Q5108" t="n">
        <v>0</v>
      </c>
      <c r="R5108" s="2" t="inlineStr"/>
    </row>
    <row r="5109" ht="15" customHeight="1">
      <c r="A5109" t="inlineStr">
        <is>
          <t>A 38658-2022</t>
        </is>
      </c>
      <c r="B5109" s="1" t="n">
        <v>44813.75790509259</v>
      </c>
      <c r="C5109" s="1" t="n">
        <v>45962</v>
      </c>
      <c r="D5109" t="inlineStr">
        <is>
          <t>JÖNKÖPINGS LÄN</t>
        </is>
      </c>
      <c r="E5109" t="inlineStr">
        <is>
          <t>NÄSSJÖ</t>
        </is>
      </c>
      <c r="G5109" t="n">
        <v>1.8</v>
      </c>
      <c r="H5109" t="n">
        <v>0</v>
      </c>
      <c r="I5109" t="n">
        <v>0</v>
      </c>
      <c r="J5109" t="n">
        <v>0</v>
      </c>
      <c r="K5109" t="n">
        <v>0</v>
      </c>
      <c r="L5109" t="n">
        <v>0</v>
      </c>
      <c r="M5109" t="n">
        <v>0</v>
      </c>
      <c r="N5109" t="n">
        <v>0</v>
      </c>
      <c r="O5109" t="n">
        <v>0</v>
      </c>
      <c r="P5109" t="n">
        <v>0</v>
      </c>
      <c r="Q5109" t="n">
        <v>0</v>
      </c>
      <c r="R5109" s="2" t="inlineStr"/>
    </row>
    <row r="5110" ht="15" customHeight="1">
      <c r="A5110" t="inlineStr">
        <is>
          <t>A 59734-2022</t>
        </is>
      </c>
      <c r="B5110" s="1" t="n">
        <v>44908</v>
      </c>
      <c r="C5110" s="1" t="n">
        <v>45962</v>
      </c>
      <c r="D5110" t="inlineStr">
        <is>
          <t>JÖNKÖPINGS LÄN</t>
        </is>
      </c>
      <c r="E5110" t="inlineStr">
        <is>
          <t>EKSJÖ</t>
        </is>
      </c>
      <c r="G5110" t="n">
        <v>1.1</v>
      </c>
      <c r="H5110" t="n">
        <v>0</v>
      </c>
      <c r="I5110" t="n">
        <v>0</v>
      </c>
      <c r="J5110" t="n">
        <v>0</v>
      </c>
      <c r="K5110" t="n">
        <v>0</v>
      </c>
      <c r="L5110" t="n">
        <v>0</v>
      </c>
      <c r="M5110" t="n">
        <v>0</v>
      </c>
      <c r="N5110" t="n">
        <v>0</v>
      </c>
      <c r="O5110" t="n">
        <v>0</v>
      </c>
      <c r="P5110" t="n">
        <v>0</v>
      </c>
      <c r="Q5110" t="n">
        <v>0</v>
      </c>
      <c r="R5110" s="2" t="inlineStr"/>
    </row>
    <row r="5111" ht="15" customHeight="1">
      <c r="A5111" t="inlineStr">
        <is>
          <t>A 207-2023</t>
        </is>
      </c>
      <c r="B5111" s="1" t="n">
        <v>44928</v>
      </c>
      <c r="C5111" s="1" t="n">
        <v>45962</v>
      </c>
      <c r="D5111" t="inlineStr">
        <is>
          <t>JÖNKÖPINGS LÄN</t>
        </is>
      </c>
      <c r="E5111" t="inlineStr">
        <is>
          <t>NÄSSJÖ</t>
        </is>
      </c>
      <c r="G5111" t="n">
        <v>13.7</v>
      </c>
      <c r="H5111" t="n">
        <v>0</v>
      </c>
      <c r="I5111" t="n">
        <v>0</v>
      </c>
      <c r="J5111" t="n">
        <v>0</v>
      </c>
      <c r="K5111" t="n">
        <v>0</v>
      </c>
      <c r="L5111" t="n">
        <v>0</v>
      </c>
      <c r="M5111" t="n">
        <v>0</v>
      </c>
      <c r="N5111" t="n">
        <v>0</v>
      </c>
      <c r="O5111" t="n">
        <v>0</v>
      </c>
      <c r="P5111" t="n">
        <v>0</v>
      </c>
      <c r="Q5111" t="n">
        <v>0</v>
      </c>
      <c r="R5111" s="2" t="inlineStr"/>
    </row>
    <row r="5112" ht="15" customHeight="1">
      <c r="A5112" t="inlineStr">
        <is>
          <t>A 210-2023</t>
        </is>
      </c>
      <c r="B5112" s="1" t="n">
        <v>44928.61333333333</v>
      </c>
      <c r="C5112" s="1" t="n">
        <v>45962</v>
      </c>
      <c r="D5112" t="inlineStr">
        <is>
          <t>JÖNKÖPINGS LÄN</t>
        </is>
      </c>
      <c r="E5112" t="inlineStr">
        <is>
          <t>NÄSSJÖ</t>
        </is>
      </c>
      <c r="G5112" t="n">
        <v>1.2</v>
      </c>
      <c r="H5112" t="n">
        <v>0</v>
      </c>
      <c r="I5112" t="n">
        <v>0</v>
      </c>
      <c r="J5112" t="n">
        <v>0</v>
      </c>
      <c r="K5112" t="n">
        <v>0</v>
      </c>
      <c r="L5112" t="n">
        <v>0</v>
      </c>
      <c r="M5112" t="n">
        <v>0</v>
      </c>
      <c r="N5112" t="n">
        <v>0</v>
      </c>
      <c r="O5112" t="n">
        <v>0</v>
      </c>
      <c r="P5112" t="n">
        <v>0</v>
      </c>
      <c r="Q5112" t="n">
        <v>0</v>
      </c>
      <c r="R5112" s="2" t="inlineStr"/>
    </row>
    <row r="5113" ht="15" customHeight="1">
      <c r="A5113" t="inlineStr">
        <is>
          <t>A 47226-2023</t>
        </is>
      </c>
      <c r="B5113" s="1" t="n">
        <v>45202</v>
      </c>
      <c r="C5113" s="1" t="n">
        <v>45962</v>
      </c>
      <c r="D5113" t="inlineStr">
        <is>
          <t>JÖNKÖPINGS LÄN</t>
        </is>
      </c>
      <c r="E5113" t="inlineStr">
        <is>
          <t>VETLANDA</t>
        </is>
      </c>
      <c r="G5113" t="n">
        <v>0.6</v>
      </c>
      <c r="H5113" t="n">
        <v>0</v>
      </c>
      <c r="I5113" t="n">
        <v>0</v>
      </c>
      <c r="J5113" t="n">
        <v>0</v>
      </c>
      <c r="K5113" t="n">
        <v>0</v>
      </c>
      <c r="L5113" t="n">
        <v>0</v>
      </c>
      <c r="M5113" t="n">
        <v>0</v>
      </c>
      <c r="N5113" t="n">
        <v>0</v>
      </c>
      <c r="O5113" t="n">
        <v>0</v>
      </c>
      <c r="P5113" t="n">
        <v>0</v>
      </c>
      <c r="Q5113" t="n">
        <v>0</v>
      </c>
      <c r="R5113" s="2" t="inlineStr"/>
    </row>
    <row r="5114" ht="15" customHeight="1">
      <c r="A5114" t="inlineStr">
        <is>
          <t>A 297-2023</t>
        </is>
      </c>
      <c r="B5114" s="1" t="n">
        <v>44929.3241550926</v>
      </c>
      <c r="C5114" s="1" t="n">
        <v>45962</v>
      </c>
      <c r="D5114" t="inlineStr">
        <is>
          <t>JÖNKÖPINGS LÄN</t>
        </is>
      </c>
      <c r="E5114" t="inlineStr">
        <is>
          <t>SÄVSJÖ</t>
        </is>
      </c>
      <c r="G5114" t="n">
        <v>0.5</v>
      </c>
      <c r="H5114" t="n">
        <v>0</v>
      </c>
      <c r="I5114" t="n">
        <v>0</v>
      </c>
      <c r="J5114" t="n">
        <v>0</v>
      </c>
      <c r="K5114" t="n">
        <v>0</v>
      </c>
      <c r="L5114" t="n">
        <v>0</v>
      </c>
      <c r="M5114" t="n">
        <v>0</v>
      </c>
      <c r="N5114" t="n">
        <v>0</v>
      </c>
      <c r="O5114" t="n">
        <v>0</v>
      </c>
      <c r="P5114" t="n">
        <v>0</v>
      </c>
      <c r="Q5114" t="n">
        <v>0</v>
      </c>
      <c r="R5114" s="2" t="inlineStr"/>
    </row>
    <row r="5115" ht="15" customHeight="1">
      <c r="A5115" t="inlineStr">
        <is>
          <t>A 42431-2024</t>
        </is>
      </c>
      <c r="B5115" s="1" t="n">
        <v>45563</v>
      </c>
      <c r="C5115" s="1" t="n">
        <v>45962</v>
      </c>
      <c r="D5115" t="inlineStr">
        <is>
          <t>JÖNKÖPINGS LÄN</t>
        </is>
      </c>
      <c r="E5115" t="inlineStr">
        <is>
          <t>VETLANDA</t>
        </is>
      </c>
      <c r="F5115" t="inlineStr">
        <is>
          <t>Kyrkan</t>
        </is>
      </c>
      <c r="G5115" t="n">
        <v>3.2</v>
      </c>
      <c r="H5115" t="n">
        <v>0</v>
      </c>
      <c r="I5115" t="n">
        <v>0</v>
      </c>
      <c r="J5115" t="n">
        <v>0</v>
      </c>
      <c r="K5115" t="n">
        <v>0</v>
      </c>
      <c r="L5115" t="n">
        <v>0</v>
      </c>
      <c r="M5115" t="n">
        <v>0</v>
      </c>
      <c r="N5115" t="n">
        <v>0</v>
      </c>
      <c r="O5115" t="n">
        <v>0</v>
      </c>
      <c r="P5115" t="n">
        <v>0</v>
      </c>
      <c r="Q5115" t="n">
        <v>0</v>
      </c>
      <c r="R5115" s="2" t="inlineStr"/>
    </row>
    <row r="5116" ht="15" customHeight="1">
      <c r="A5116" t="inlineStr">
        <is>
          <t>A 57371-2023</t>
        </is>
      </c>
      <c r="B5116" s="1" t="n">
        <v>45245.84946759259</v>
      </c>
      <c r="C5116" s="1" t="n">
        <v>45962</v>
      </c>
      <c r="D5116" t="inlineStr">
        <is>
          <t>JÖNKÖPINGS LÄN</t>
        </is>
      </c>
      <c r="E5116" t="inlineStr">
        <is>
          <t>VÄRNAMO</t>
        </is>
      </c>
      <c r="G5116" t="n">
        <v>1.5</v>
      </c>
      <c r="H5116" t="n">
        <v>0</v>
      </c>
      <c r="I5116" t="n">
        <v>0</v>
      </c>
      <c r="J5116" t="n">
        <v>0</v>
      </c>
      <c r="K5116" t="n">
        <v>0</v>
      </c>
      <c r="L5116" t="n">
        <v>0</v>
      </c>
      <c r="M5116" t="n">
        <v>0</v>
      </c>
      <c r="N5116" t="n">
        <v>0</v>
      </c>
      <c r="O5116" t="n">
        <v>0</v>
      </c>
      <c r="P5116" t="n">
        <v>0</v>
      </c>
      <c r="Q5116" t="n">
        <v>0</v>
      </c>
      <c r="R5116" s="2" t="inlineStr"/>
    </row>
    <row r="5117" ht="15" customHeight="1">
      <c r="A5117" t="inlineStr">
        <is>
          <t>A 40023-2024</t>
        </is>
      </c>
      <c r="B5117" s="1" t="n">
        <v>45553.67296296296</v>
      </c>
      <c r="C5117" s="1" t="n">
        <v>45962</v>
      </c>
      <c r="D5117" t="inlineStr">
        <is>
          <t>JÖNKÖPINGS LÄN</t>
        </is>
      </c>
      <c r="E5117" t="inlineStr">
        <is>
          <t>GISLAVED</t>
        </is>
      </c>
      <c r="G5117" t="n">
        <v>9.4</v>
      </c>
      <c r="H5117" t="n">
        <v>0</v>
      </c>
      <c r="I5117" t="n">
        <v>0</v>
      </c>
      <c r="J5117" t="n">
        <v>0</v>
      </c>
      <c r="K5117" t="n">
        <v>0</v>
      </c>
      <c r="L5117" t="n">
        <v>0</v>
      </c>
      <c r="M5117" t="n">
        <v>0</v>
      </c>
      <c r="N5117" t="n">
        <v>0</v>
      </c>
      <c r="O5117" t="n">
        <v>0</v>
      </c>
      <c r="P5117" t="n">
        <v>0</v>
      </c>
      <c r="Q5117" t="n">
        <v>0</v>
      </c>
      <c r="R5117" s="2" t="inlineStr"/>
    </row>
    <row r="5118" ht="15" customHeight="1">
      <c r="A5118" t="inlineStr">
        <is>
          <t>A 30655-2025</t>
        </is>
      </c>
      <c r="B5118" s="1" t="n">
        <v>45831.50372685185</v>
      </c>
      <c r="C5118" s="1" t="n">
        <v>45962</v>
      </c>
      <c r="D5118" t="inlineStr">
        <is>
          <t>JÖNKÖPINGS LÄN</t>
        </is>
      </c>
      <c r="E5118" t="inlineStr">
        <is>
          <t>VETLANDA</t>
        </is>
      </c>
      <c r="G5118" t="n">
        <v>3.1</v>
      </c>
      <c r="H5118" t="n">
        <v>0</v>
      </c>
      <c r="I5118" t="n">
        <v>0</v>
      </c>
      <c r="J5118" t="n">
        <v>0</v>
      </c>
      <c r="K5118" t="n">
        <v>0</v>
      </c>
      <c r="L5118" t="n">
        <v>0</v>
      </c>
      <c r="M5118" t="n">
        <v>0</v>
      </c>
      <c r="N5118" t="n">
        <v>0</v>
      </c>
      <c r="O5118" t="n">
        <v>0</v>
      </c>
      <c r="P5118" t="n">
        <v>0</v>
      </c>
      <c r="Q5118" t="n">
        <v>0</v>
      </c>
      <c r="R5118" s="2" t="inlineStr"/>
    </row>
    <row r="5119" ht="15" customHeight="1">
      <c r="A5119" t="inlineStr">
        <is>
          <t>A 47312-2021</t>
        </is>
      </c>
      <c r="B5119" s="1" t="n">
        <v>44447.46810185185</v>
      </c>
      <c r="C5119" s="1" t="n">
        <v>45962</v>
      </c>
      <c r="D5119" t="inlineStr">
        <is>
          <t>JÖNKÖPINGS LÄN</t>
        </is>
      </c>
      <c r="E5119" t="inlineStr">
        <is>
          <t>VETLANDA</t>
        </is>
      </c>
      <c r="G5119" t="n">
        <v>2.3</v>
      </c>
      <c r="H5119" t="n">
        <v>0</v>
      </c>
      <c r="I5119" t="n">
        <v>0</v>
      </c>
      <c r="J5119" t="n">
        <v>0</v>
      </c>
      <c r="K5119" t="n">
        <v>0</v>
      </c>
      <c r="L5119" t="n">
        <v>0</v>
      </c>
      <c r="M5119" t="n">
        <v>0</v>
      </c>
      <c r="N5119" t="n">
        <v>0</v>
      </c>
      <c r="O5119" t="n">
        <v>0</v>
      </c>
      <c r="P5119" t="n">
        <v>0</v>
      </c>
      <c r="Q5119" t="n">
        <v>0</v>
      </c>
      <c r="R5119" s="2" t="inlineStr"/>
    </row>
    <row r="5120" ht="15" customHeight="1">
      <c r="A5120" t="inlineStr">
        <is>
          <t>A 50656-2024</t>
        </is>
      </c>
      <c r="B5120" s="1" t="n">
        <v>45601</v>
      </c>
      <c r="C5120" s="1" t="n">
        <v>45962</v>
      </c>
      <c r="D5120" t="inlineStr">
        <is>
          <t>JÖNKÖPINGS LÄN</t>
        </is>
      </c>
      <c r="E5120" t="inlineStr">
        <is>
          <t>NÄSSJÖ</t>
        </is>
      </c>
      <c r="G5120" t="n">
        <v>2</v>
      </c>
      <c r="H5120" t="n">
        <v>0</v>
      </c>
      <c r="I5120" t="n">
        <v>0</v>
      </c>
      <c r="J5120" t="n">
        <v>0</v>
      </c>
      <c r="K5120" t="n">
        <v>0</v>
      </c>
      <c r="L5120" t="n">
        <v>0</v>
      </c>
      <c r="M5120" t="n">
        <v>0</v>
      </c>
      <c r="N5120" t="n">
        <v>0</v>
      </c>
      <c r="O5120" t="n">
        <v>0</v>
      </c>
      <c r="P5120" t="n">
        <v>0</v>
      </c>
      <c r="Q5120" t="n">
        <v>0</v>
      </c>
      <c r="R5120" s="2" t="inlineStr"/>
    </row>
    <row r="5121" ht="15" customHeight="1">
      <c r="A5121" t="inlineStr">
        <is>
          <t>A 4185-2024</t>
        </is>
      </c>
      <c r="B5121" s="1" t="n">
        <v>45324</v>
      </c>
      <c r="C5121" s="1" t="n">
        <v>45962</v>
      </c>
      <c r="D5121" t="inlineStr">
        <is>
          <t>JÖNKÖPINGS LÄN</t>
        </is>
      </c>
      <c r="E5121" t="inlineStr">
        <is>
          <t>VÄRNAMO</t>
        </is>
      </c>
      <c r="G5121" t="n">
        <v>0.8</v>
      </c>
      <c r="H5121" t="n">
        <v>0</v>
      </c>
      <c r="I5121" t="n">
        <v>0</v>
      </c>
      <c r="J5121" t="n">
        <v>0</v>
      </c>
      <c r="K5121" t="n">
        <v>0</v>
      </c>
      <c r="L5121" t="n">
        <v>0</v>
      </c>
      <c r="M5121" t="n">
        <v>0</v>
      </c>
      <c r="N5121" t="n">
        <v>0</v>
      </c>
      <c r="O5121" t="n">
        <v>0</v>
      </c>
      <c r="P5121" t="n">
        <v>0</v>
      </c>
      <c r="Q5121" t="n">
        <v>0</v>
      </c>
      <c r="R5121" s="2" t="inlineStr"/>
    </row>
    <row r="5122" ht="15" customHeight="1">
      <c r="A5122" t="inlineStr">
        <is>
          <t>A 30685-2025</t>
        </is>
      </c>
      <c r="B5122" s="1" t="n">
        <v>45831.53251157407</v>
      </c>
      <c r="C5122" s="1" t="n">
        <v>45962</v>
      </c>
      <c r="D5122" t="inlineStr">
        <is>
          <t>JÖNKÖPINGS LÄN</t>
        </is>
      </c>
      <c r="E5122" t="inlineStr">
        <is>
          <t>VÄRNAMO</t>
        </is>
      </c>
      <c r="G5122" t="n">
        <v>2.4</v>
      </c>
      <c r="H5122" t="n">
        <v>0</v>
      </c>
      <c r="I5122" t="n">
        <v>0</v>
      </c>
      <c r="J5122" t="n">
        <v>0</v>
      </c>
      <c r="K5122" t="n">
        <v>0</v>
      </c>
      <c r="L5122" t="n">
        <v>0</v>
      </c>
      <c r="M5122" t="n">
        <v>0</v>
      </c>
      <c r="N5122" t="n">
        <v>0</v>
      </c>
      <c r="O5122" t="n">
        <v>0</v>
      </c>
      <c r="P5122" t="n">
        <v>0</v>
      </c>
      <c r="Q5122" t="n">
        <v>0</v>
      </c>
      <c r="R5122" s="2" t="inlineStr"/>
    </row>
    <row r="5123" ht="15" customHeight="1">
      <c r="A5123" t="inlineStr">
        <is>
          <t>A 8991-2024</t>
        </is>
      </c>
      <c r="B5123" s="1" t="n">
        <v>45357.54391203704</v>
      </c>
      <c r="C5123" s="1" t="n">
        <v>45962</v>
      </c>
      <c r="D5123" t="inlineStr">
        <is>
          <t>JÖNKÖPINGS LÄN</t>
        </is>
      </c>
      <c r="E5123" t="inlineStr">
        <is>
          <t>VETLANDA</t>
        </is>
      </c>
      <c r="G5123" t="n">
        <v>1.2</v>
      </c>
      <c r="H5123" t="n">
        <v>0</v>
      </c>
      <c r="I5123" t="n">
        <v>0</v>
      </c>
      <c r="J5123" t="n">
        <v>0</v>
      </c>
      <c r="K5123" t="n">
        <v>0</v>
      </c>
      <c r="L5123" t="n">
        <v>0</v>
      </c>
      <c r="M5123" t="n">
        <v>0</v>
      </c>
      <c r="N5123" t="n">
        <v>0</v>
      </c>
      <c r="O5123" t="n">
        <v>0</v>
      </c>
      <c r="P5123" t="n">
        <v>0</v>
      </c>
      <c r="Q5123" t="n">
        <v>0</v>
      </c>
      <c r="R5123" s="2" t="inlineStr"/>
    </row>
    <row r="5124" ht="15" customHeight="1">
      <c r="A5124" t="inlineStr">
        <is>
          <t>A 30702-2025</t>
        </is>
      </c>
      <c r="B5124" s="1" t="n">
        <v>45831.54814814815</v>
      </c>
      <c r="C5124" s="1" t="n">
        <v>45962</v>
      </c>
      <c r="D5124" t="inlineStr">
        <is>
          <t>JÖNKÖPINGS LÄN</t>
        </is>
      </c>
      <c r="E5124" t="inlineStr">
        <is>
          <t>VÄRNAMO</t>
        </is>
      </c>
      <c r="G5124" t="n">
        <v>2.3</v>
      </c>
      <c r="H5124" t="n">
        <v>0</v>
      </c>
      <c r="I5124" t="n">
        <v>0</v>
      </c>
      <c r="J5124" t="n">
        <v>0</v>
      </c>
      <c r="K5124" t="n">
        <v>0</v>
      </c>
      <c r="L5124" t="n">
        <v>0</v>
      </c>
      <c r="M5124" t="n">
        <v>0</v>
      </c>
      <c r="N5124" t="n">
        <v>0</v>
      </c>
      <c r="O5124" t="n">
        <v>0</v>
      </c>
      <c r="P5124" t="n">
        <v>0</v>
      </c>
      <c r="Q5124" t="n">
        <v>0</v>
      </c>
      <c r="R5124" s="2" t="inlineStr"/>
    </row>
    <row r="5125" ht="15" customHeight="1">
      <c r="A5125" t="inlineStr">
        <is>
          <t>A 8747-2024</t>
        </is>
      </c>
      <c r="B5125" s="1" t="n">
        <v>45356</v>
      </c>
      <c r="C5125" s="1" t="n">
        <v>45962</v>
      </c>
      <c r="D5125" t="inlineStr">
        <is>
          <t>JÖNKÖPINGS LÄN</t>
        </is>
      </c>
      <c r="E5125" t="inlineStr">
        <is>
          <t>GNOSJÖ</t>
        </is>
      </c>
      <c r="G5125" t="n">
        <v>2.4</v>
      </c>
      <c r="H5125" t="n">
        <v>0</v>
      </c>
      <c r="I5125" t="n">
        <v>0</v>
      </c>
      <c r="J5125" t="n">
        <v>0</v>
      </c>
      <c r="K5125" t="n">
        <v>0</v>
      </c>
      <c r="L5125" t="n">
        <v>0</v>
      </c>
      <c r="M5125" t="n">
        <v>0</v>
      </c>
      <c r="N5125" t="n">
        <v>0</v>
      </c>
      <c r="O5125" t="n">
        <v>0</v>
      </c>
      <c r="P5125" t="n">
        <v>0</v>
      </c>
      <c r="Q5125" t="n">
        <v>0</v>
      </c>
      <c r="R5125" s="2" t="inlineStr"/>
    </row>
    <row r="5126" ht="15" customHeight="1">
      <c r="A5126" t="inlineStr">
        <is>
          <t>A 30625-2025</t>
        </is>
      </c>
      <c r="B5126" s="1" t="n">
        <v>45831.47387731481</v>
      </c>
      <c r="C5126" s="1" t="n">
        <v>45962</v>
      </c>
      <c r="D5126" t="inlineStr">
        <is>
          <t>JÖNKÖPINGS LÄN</t>
        </is>
      </c>
      <c r="E5126" t="inlineStr">
        <is>
          <t>SÄVSJÖ</t>
        </is>
      </c>
      <c r="G5126" t="n">
        <v>2.3</v>
      </c>
      <c r="H5126" t="n">
        <v>0</v>
      </c>
      <c r="I5126" t="n">
        <v>0</v>
      </c>
      <c r="J5126" t="n">
        <v>0</v>
      </c>
      <c r="K5126" t="n">
        <v>0</v>
      </c>
      <c r="L5126" t="n">
        <v>0</v>
      </c>
      <c r="M5126" t="n">
        <v>0</v>
      </c>
      <c r="N5126" t="n">
        <v>0</v>
      </c>
      <c r="O5126" t="n">
        <v>0</v>
      </c>
      <c r="P5126" t="n">
        <v>0</v>
      </c>
      <c r="Q5126" t="n">
        <v>0</v>
      </c>
      <c r="R5126" s="2" t="inlineStr"/>
    </row>
    <row r="5127" ht="15" customHeight="1">
      <c r="A5127" t="inlineStr">
        <is>
          <t>A 12575-2025</t>
        </is>
      </c>
      <c r="B5127" s="1" t="n">
        <v>45732.43990740741</v>
      </c>
      <c r="C5127" s="1" t="n">
        <v>45962</v>
      </c>
      <c r="D5127" t="inlineStr">
        <is>
          <t>JÖNKÖPINGS LÄN</t>
        </is>
      </c>
      <c r="E5127" t="inlineStr">
        <is>
          <t>NÄSSJÖ</t>
        </is>
      </c>
      <c r="G5127" t="n">
        <v>0.5</v>
      </c>
      <c r="H5127" t="n">
        <v>0</v>
      </c>
      <c r="I5127" t="n">
        <v>0</v>
      </c>
      <c r="J5127" t="n">
        <v>0</v>
      </c>
      <c r="K5127" t="n">
        <v>0</v>
      </c>
      <c r="L5127" t="n">
        <v>0</v>
      </c>
      <c r="M5127" t="n">
        <v>0</v>
      </c>
      <c r="N5127" t="n">
        <v>0</v>
      </c>
      <c r="O5127" t="n">
        <v>0</v>
      </c>
      <c r="P5127" t="n">
        <v>0</v>
      </c>
      <c r="Q5127" t="n">
        <v>0</v>
      </c>
      <c r="R5127" s="2" t="inlineStr"/>
    </row>
    <row r="5128" ht="15" customHeight="1">
      <c r="A5128" t="inlineStr">
        <is>
          <t>A 38783-2022</t>
        </is>
      </c>
      <c r="B5128" s="1" t="n">
        <v>44816</v>
      </c>
      <c r="C5128" s="1" t="n">
        <v>45962</v>
      </c>
      <c r="D5128" t="inlineStr">
        <is>
          <t>JÖNKÖPINGS LÄN</t>
        </is>
      </c>
      <c r="E5128" t="inlineStr">
        <is>
          <t>NÄSSJÖ</t>
        </is>
      </c>
      <c r="G5128" t="n">
        <v>1.8</v>
      </c>
      <c r="H5128" t="n">
        <v>0</v>
      </c>
      <c r="I5128" t="n">
        <v>0</v>
      </c>
      <c r="J5128" t="n">
        <v>0</v>
      </c>
      <c r="K5128" t="n">
        <v>0</v>
      </c>
      <c r="L5128" t="n">
        <v>0</v>
      </c>
      <c r="M5128" t="n">
        <v>0</v>
      </c>
      <c r="N5128" t="n">
        <v>0</v>
      </c>
      <c r="O5128" t="n">
        <v>0</v>
      </c>
      <c r="P5128" t="n">
        <v>0</v>
      </c>
      <c r="Q5128" t="n">
        <v>0</v>
      </c>
      <c r="R5128" s="2" t="inlineStr"/>
    </row>
    <row r="5129" ht="15" customHeight="1">
      <c r="A5129" t="inlineStr">
        <is>
          <t>A 23838-2022</t>
        </is>
      </c>
      <c r="B5129" s="1" t="n">
        <v>44722</v>
      </c>
      <c r="C5129" s="1" t="n">
        <v>45962</v>
      </c>
      <c r="D5129" t="inlineStr">
        <is>
          <t>JÖNKÖPINGS LÄN</t>
        </is>
      </c>
      <c r="E5129" t="inlineStr">
        <is>
          <t>VÄRNAMO</t>
        </is>
      </c>
      <c r="G5129" t="n">
        <v>1.7</v>
      </c>
      <c r="H5129" t="n">
        <v>0</v>
      </c>
      <c r="I5129" t="n">
        <v>0</v>
      </c>
      <c r="J5129" t="n">
        <v>0</v>
      </c>
      <c r="K5129" t="n">
        <v>0</v>
      </c>
      <c r="L5129" t="n">
        <v>0</v>
      </c>
      <c r="M5129" t="n">
        <v>0</v>
      </c>
      <c r="N5129" t="n">
        <v>0</v>
      </c>
      <c r="O5129" t="n">
        <v>0</v>
      </c>
      <c r="P5129" t="n">
        <v>0</v>
      </c>
      <c r="Q5129" t="n">
        <v>0</v>
      </c>
      <c r="R5129" s="2" t="inlineStr"/>
    </row>
    <row r="5130" ht="15" customHeight="1">
      <c r="A5130" t="inlineStr">
        <is>
          <t>A 38779-2022</t>
        </is>
      </c>
      <c r="B5130" s="1" t="n">
        <v>44816.42069444444</v>
      </c>
      <c r="C5130" s="1" t="n">
        <v>45962</v>
      </c>
      <c r="D5130" t="inlineStr">
        <is>
          <t>JÖNKÖPINGS LÄN</t>
        </is>
      </c>
      <c r="E5130" t="inlineStr">
        <is>
          <t>HABO</t>
        </is>
      </c>
      <c r="G5130" t="n">
        <v>1.4</v>
      </c>
      <c r="H5130" t="n">
        <v>0</v>
      </c>
      <c r="I5130" t="n">
        <v>0</v>
      </c>
      <c r="J5130" t="n">
        <v>0</v>
      </c>
      <c r="K5130" t="n">
        <v>0</v>
      </c>
      <c r="L5130" t="n">
        <v>0</v>
      </c>
      <c r="M5130" t="n">
        <v>0</v>
      </c>
      <c r="N5130" t="n">
        <v>0</v>
      </c>
      <c r="O5130" t="n">
        <v>0</v>
      </c>
      <c r="P5130" t="n">
        <v>0</v>
      </c>
      <c r="Q5130" t="n">
        <v>0</v>
      </c>
      <c r="R5130" s="2" t="inlineStr"/>
    </row>
    <row r="5131" ht="15" customHeight="1">
      <c r="A5131" t="inlineStr">
        <is>
          <t>A 31597-2025</t>
        </is>
      </c>
      <c r="B5131" s="1" t="n">
        <v>45833.71021990741</v>
      </c>
      <c r="C5131" s="1" t="n">
        <v>45962</v>
      </c>
      <c r="D5131" t="inlineStr">
        <is>
          <t>JÖNKÖPINGS LÄN</t>
        </is>
      </c>
      <c r="E5131" t="inlineStr">
        <is>
          <t>HABO</t>
        </is>
      </c>
      <c r="G5131" t="n">
        <v>3.7</v>
      </c>
      <c r="H5131" t="n">
        <v>0</v>
      </c>
      <c r="I5131" t="n">
        <v>0</v>
      </c>
      <c r="J5131" t="n">
        <v>0</v>
      </c>
      <c r="K5131" t="n">
        <v>0</v>
      </c>
      <c r="L5131" t="n">
        <v>0</v>
      </c>
      <c r="M5131" t="n">
        <v>0</v>
      </c>
      <c r="N5131" t="n">
        <v>0</v>
      </c>
      <c r="O5131" t="n">
        <v>0</v>
      </c>
      <c r="P5131" t="n">
        <v>0</v>
      </c>
      <c r="Q5131" t="n">
        <v>0</v>
      </c>
      <c r="R5131" s="2" t="inlineStr"/>
    </row>
    <row r="5132" ht="15" customHeight="1">
      <c r="A5132" t="inlineStr">
        <is>
          <t>A 12518-2025</t>
        </is>
      </c>
      <c r="B5132" s="1" t="n">
        <v>45730.65831018519</v>
      </c>
      <c r="C5132" s="1" t="n">
        <v>45962</v>
      </c>
      <c r="D5132" t="inlineStr">
        <is>
          <t>JÖNKÖPINGS LÄN</t>
        </is>
      </c>
      <c r="E5132" t="inlineStr">
        <is>
          <t>JÖNKÖPING</t>
        </is>
      </c>
      <c r="G5132" t="n">
        <v>1.6</v>
      </c>
      <c r="H5132" t="n">
        <v>0</v>
      </c>
      <c r="I5132" t="n">
        <v>0</v>
      </c>
      <c r="J5132" t="n">
        <v>0</v>
      </c>
      <c r="K5132" t="n">
        <v>0</v>
      </c>
      <c r="L5132" t="n">
        <v>0</v>
      </c>
      <c r="M5132" t="n">
        <v>0</v>
      </c>
      <c r="N5132" t="n">
        <v>0</v>
      </c>
      <c r="O5132" t="n">
        <v>0</v>
      </c>
      <c r="P5132" t="n">
        <v>0</v>
      </c>
      <c r="Q5132" t="n">
        <v>0</v>
      </c>
      <c r="R5132" s="2" t="inlineStr"/>
    </row>
    <row r="5133" ht="15" customHeight="1">
      <c r="A5133" t="inlineStr">
        <is>
          <t>A 43251-2023</t>
        </is>
      </c>
      <c r="B5133" s="1" t="n">
        <v>45180</v>
      </c>
      <c r="C5133" s="1" t="n">
        <v>45962</v>
      </c>
      <c r="D5133" t="inlineStr">
        <is>
          <t>JÖNKÖPINGS LÄN</t>
        </is>
      </c>
      <c r="E5133" t="inlineStr">
        <is>
          <t>JÖNKÖPING</t>
        </is>
      </c>
      <c r="G5133" t="n">
        <v>0.9</v>
      </c>
      <c r="H5133" t="n">
        <v>0</v>
      </c>
      <c r="I5133" t="n">
        <v>0</v>
      </c>
      <c r="J5133" t="n">
        <v>0</v>
      </c>
      <c r="K5133" t="n">
        <v>0</v>
      </c>
      <c r="L5133" t="n">
        <v>0</v>
      </c>
      <c r="M5133" t="n">
        <v>0</v>
      </c>
      <c r="N5133" t="n">
        <v>0</v>
      </c>
      <c r="O5133" t="n">
        <v>0</v>
      </c>
      <c r="P5133" t="n">
        <v>0</v>
      </c>
      <c r="Q5133" t="n">
        <v>0</v>
      </c>
      <c r="R5133" s="2" t="inlineStr"/>
    </row>
    <row r="5134" ht="15" customHeight="1">
      <c r="A5134" t="inlineStr">
        <is>
          <t>A 30941-2025</t>
        </is>
      </c>
      <c r="B5134" s="1" t="n">
        <v>45832.40869212963</v>
      </c>
      <c r="C5134" s="1" t="n">
        <v>45962</v>
      </c>
      <c r="D5134" t="inlineStr">
        <is>
          <t>JÖNKÖPINGS LÄN</t>
        </is>
      </c>
      <c r="E5134" t="inlineStr">
        <is>
          <t>VAGGERYD</t>
        </is>
      </c>
      <c r="G5134" t="n">
        <v>1</v>
      </c>
      <c r="H5134" t="n">
        <v>0</v>
      </c>
      <c r="I5134" t="n">
        <v>0</v>
      </c>
      <c r="J5134" t="n">
        <v>0</v>
      </c>
      <c r="K5134" t="n">
        <v>0</v>
      </c>
      <c r="L5134" t="n">
        <v>0</v>
      </c>
      <c r="M5134" t="n">
        <v>0</v>
      </c>
      <c r="N5134" t="n">
        <v>0</v>
      </c>
      <c r="O5134" t="n">
        <v>0</v>
      </c>
      <c r="P5134" t="n">
        <v>0</v>
      </c>
      <c r="Q5134" t="n">
        <v>0</v>
      </c>
      <c r="R5134" s="2" t="inlineStr"/>
    </row>
    <row r="5135" ht="15" customHeight="1">
      <c r="A5135" t="inlineStr">
        <is>
          <t>A 8913-2024</t>
        </is>
      </c>
      <c r="B5135" s="1" t="n">
        <v>45357.36957175926</v>
      </c>
      <c r="C5135" s="1" t="n">
        <v>45962</v>
      </c>
      <c r="D5135" t="inlineStr">
        <is>
          <t>JÖNKÖPINGS LÄN</t>
        </is>
      </c>
      <c r="E5135" t="inlineStr">
        <is>
          <t>VÄRNAMO</t>
        </is>
      </c>
      <c r="G5135" t="n">
        <v>2.6</v>
      </c>
      <c r="H5135" t="n">
        <v>0</v>
      </c>
      <c r="I5135" t="n">
        <v>0</v>
      </c>
      <c r="J5135" t="n">
        <v>0</v>
      </c>
      <c r="K5135" t="n">
        <v>0</v>
      </c>
      <c r="L5135" t="n">
        <v>0</v>
      </c>
      <c r="M5135" t="n">
        <v>0</v>
      </c>
      <c r="N5135" t="n">
        <v>0</v>
      </c>
      <c r="O5135" t="n">
        <v>0</v>
      </c>
      <c r="P5135" t="n">
        <v>0</v>
      </c>
      <c r="Q5135" t="n">
        <v>0</v>
      </c>
      <c r="R5135" s="2" t="inlineStr"/>
    </row>
    <row r="5136" ht="15" customHeight="1">
      <c r="A5136" t="inlineStr">
        <is>
          <t>A 64815-2023</t>
        </is>
      </c>
      <c r="B5136" s="1" t="n">
        <v>45282</v>
      </c>
      <c r="C5136" s="1" t="n">
        <v>45962</v>
      </c>
      <c r="D5136" t="inlineStr">
        <is>
          <t>JÖNKÖPINGS LÄN</t>
        </is>
      </c>
      <c r="E5136" t="inlineStr">
        <is>
          <t>GISLAVED</t>
        </is>
      </c>
      <c r="G5136" t="n">
        <v>2</v>
      </c>
      <c r="H5136" t="n">
        <v>0</v>
      </c>
      <c r="I5136" t="n">
        <v>0</v>
      </c>
      <c r="J5136" t="n">
        <v>0</v>
      </c>
      <c r="K5136" t="n">
        <v>0</v>
      </c>
      <c r="L5136" t="n">
        <v>0</v>
      </c>
      <c r="M5136" t="n">
        <v>0</v>
      </c>
      <c r="N5136" t="n">
        <v>0</v>
      </c>
      <c r="O5136" t="n">
        <v>0</v>
      </c>
      <c r="P5136" t="n">
        <v>0</v>
      </c>
      <c r="Q5136" t="n">
        <v>0</v>
      </c>
      <c r="R5136" s="2" t="inlineStr"/>
    </row>
    <row r="5137" ht="15" customHeight="1">
      <c r="A5137" t="inlineStr">
        <is>
          <t>A 6377-2023</t>
        </is>
      </c>
      <c r="B5137" s="1" t="n">
        <v>44965.62542824074</v>
      </c>
      <c r="C5137" s="1" t="n">
        <v>45962</v>
      </c>
      <c r="D5137" t="inlineStr">
        <is>
          <t>JÖNKÖPINGS LÄN</t>
        </is>
      </c>
      <c r="E5137" t="inlineStr">
        <is>
          <t>VETLANDA</t>
        </is>
      </c>
      <c r="G5137" t="n">
        <v>1.3</v>
      </c>
      <c r="H5137" t="n">
        <v>0</v>
      </c>
      <c r="I5137" t="n">
        <v>0</v>
      </c>
      <c r="J5137" t="n">
        <v>0</v>
      </c>
      <c r="K5137" t="n">
        <v>0</v>
      </c>
      <c r="L5137" t="n">
        <v>0</v>
      </c>
      <c r="M5137" t="n">
        <v>0</v>
      </c>
      <c r="N5137" t="n">
        <v>0</v>
      </c>
      <c r="O5137" t="n">
        <v>0</v>
      </c>
      <c r="P5137" t="n">
        <v>0</v>
      </c>
      <c r="Q5137" t="n">
        <v>0</v>
      </c>
      <c r="R5137" s="2" t="inlineStr"/>
    </row>
    <row r="5138" ht="15" customHeight="1">
      <c r="A5138" t="inlineStr">
        <is>
          <t>A 59312-2022</t>
        </is>
      </c>
      <c r="B5138" s="1" t="n">
        <v>44904</v>
      </c>
      <c r="C5138" s="1" t="n">
        <v>45962</v>
      </c>
      <c r="D5138" t="inlineStr">
        <is>
          <t>JÖNKÖPINGS LÄN</t>
        </is>
      </c>
      <c r="E5138" t="inlineStr">
        <is>
          <t>JÖNKÖPING</t>
        </is>
      </c>
      <c r="G5138" t="n">
        <v>1.2</v>
      </c>
      <c r="H5138" t="n">
        <v>0</v>
      </c>
      <c r="I5138" t="n">
        <v>0</v>
      </c>
      <c r="J5138" t="n">
        <v>0</v>
      </c>
      <c r="K5138" t="n">
        <v>0</v>
      </c>
      <c r="L5138" t="n">
        <v>0</v>
      </c>
      <c r="M5138" t="n">
        <v>0</v>
      </c>
      <c r="N5138" t="n">
        <v>0</v>
      </c>
      <c r="O5138" t="n">
        <v>0</v>
      </c>
      <c r="P5138" t="n">
        <v>0</v>
      </c>
      <c r="Q5138" t="n">
        <v>0</v>
      </c>
      <c r="R5138" s="2" t="inlineStr"/>
    </row>
    <row r="5139" ht="15" customHeight="1">
      <c r="A5139" t="inlineStr">
        <is>
          <t>A 14338-2024</t>
        </is>
      </c>
      <c r="B5139" s="1" t="n">
        <v>45393.72498842593</v>
      </c>
      <c r="C5139" s="1" t="n">
        <v>45962</v>
      </c>
      <c r="D5139" t="inlineStr">
        <is>
          <t>JÖNKÖPINGS LÄN</t>
        </is>
      </c>
      <c r="E5139" t="inlineStr">
        <is>
          <t>ANEBY</t>
        </is>
      </c>
      <c r="G5139" t="n">
        <v>1.9</v>
      </c>
      <c r="H5139" t="n">
        <v>0</v>
      </c>
      <c r="I5139" t="n">
        <v>0</v>
      </c>
      <c r="J5139" t="n">
        <v>0</v>
      </c>
      <c r="K5139" t="n">
        <v>0</v>
      </c>
      <c r="L5139" t="n">
        <v>0</v>
      </c>
      <c r="M5139" t="n">
        <v>0</v>
      </c>
      <c r="N5139" t="n">
        <v>0</v>
      </c>
      <c r="O5139" t="n">
        <v>0</v>
      </c>
      <c r="P5139" t="n">
        <v>0</v>
      </c>
      <c r="Q5139" t="n">
        <v>0</v>
      </c>
      <c r="R5139" s="2" t="inlineStr"/>
    </row>
    <row r="5140" ht="15" customHeight="1">
      <c r="A5140" t="inlineStr">
        <is>
          <t>A 59348-2022</t>
        </is>
      </c>
      <c r="B5140" s="1" t="n">
        <v>44904.68769675926</v>
      </c>
      <c r="C5140" s="1" t="n">
        <v>45962</v>
      </c>
      <c r="D5140" t="inlineStr">
        <is>
          <t>JÖNKÖPINGS LÄN</t>
        </is>
      </c>
      <c r="E5140" t="inlineStr">
        <is>
          <t>NÄSSJÖ</t>
        </is>
      </c>
      <c r="G5140" t="n">
        <v>2.4</v>
      </c>
      <c r="H5140" t="n">
        <v>0</v>
      </c>
      <c r="I5140" t="n">
        <v>0</v>
      </c>
      <c r="J5140" t="n">
        <v>0</v>
      </c>
      <c r="K5140" t="n">
        <v>0</v>
      </c>
      <c r="L5140" t="n">
        <v>0</v>
      </c>
      <c r="M5140" t="n">
        <v>0</v>
      </c>
      <c r="N5140" t="n">
        <v>0</v>
      </c>
      <c r="O5140" t="n">
        <v>0</v>
      </c>
      <c r="P5140" t="n">
        <v>0</v>
      </c>
      <c r="Q5140" t="n">
        <v>0</v>
      </c>
      <c r="R5140" s="2" t="inlineStr"/>
    </row>
    <row r="5141" ht="15" customHeight="1">
      <c r="A5141" t="inlineStr">
        <is>
          <t>A 7954-2025</t>
        </is>
      </c>
      <c r="B5141" s="1" t="n">
        <v>45707.42396990741</v>
      </c>
      <c r="C5141" s="1" t="n">
        <v>45962</v>
      </c>
      <c r="D5141" t="inlineStr">
        <is>
          <t>JÖNKÖPINGS LÄN</t>
        </is>
      </c>
      <c r="E5141" t="inlineStr">
        <is>
          <t>ANEBY</t>
        </is>
      </c>
      <c r="G5141" t="n">
        <v>1.6</v>
      </c>
      <c r="H5141" t="n">
        <v>0</v>
      </c>
      <c r="I5141" t="n">
        <v>0</v>
      </c>
      <c r="J5141" t="n">
        <v>0</v>
      </c>
      <c r="K5141" t="n">
        <v>0</v>
      </c>
      <c r="L5141" t="n">
        <v>0</v>
      </c>
      <c r="M5141" t="n">
        <v>0</v>
      </c>
      <c r="N5141" t="n">
        <v>0</v>
      </c>
      <c r="O5141" t="n">
        <v>0</v>
      </c>
      <c r="P5141" t="n">
        <v>0</v>
      </c>
      <c r="Q5141" t="n">
        <v>0</v>
      </c>
      <c r="R5141" s="2" t="inlineStr"/>
    </row>
    <row r="5142" ht="15" customHeight="1">
      <c r="A5142" t="inlineStr">
        <is>
          <t>A 2066-2022</t>
        </is>
      </c>
      <c r="B5142" s="1" t="n">
        <v>44575.80709490741</v>
      </c>
      <c r="C5142" s="1" t="n">
        <v>45962</v>
      </c>
      <c r="D5142" t="inlineStr">
        <is>
          <t>JÖNKÖPINGS LÄN</t>
        </is>
      </c>
      <c r="E5142" t="inlineStr">
        <is>
          <t>JÖNKÖPING</t>
        </is>
      </c>
      <c r="G5142" t="n">
        <v>1.8</v>
      </c>
      <c r="H5142" t="n">
        <v>0</v>
      </c>
      <c r="I5142" t="n">
        <v>0</v>
      </c>
      <c r="J5142" t="n">
        <v>0</v>
      </c>
      <c r="K5142" t="n">
        <v>0</v>
      </c>
      <c r="L5142" t="n">
        <v>0</v>
      </c>
      <c r="M5142" t="n">
        <v>0</v>
      </c>
      <c r="N5142" t="n">
        <v>0</v>
      </c>
      <c r="O5142" t="n">
        <v>0</v>
      </c>
      <c r="P5142" t="n">
        <v>0</v>
      </c>
      <c r="Q5142" t="n">
        <v>0</v>
      </c>
      <c r="R5142" s="2" t="inlineStr"/>
    </row>
    <row r="5143" ht="15" customHeight="1">
      <c r="A5143" t="inlineStr">
        <is>
          <t>A 7107-2025</t>
        </is>
      </c>
      <c r="B5143" s="1" t="n">
        <v>45701.97775462963</v>
      </c>
      <c r="C5143" s="1" t="n">
        <v>45962</v>
      </c>
      <c r="D5143" t="inlineStr">
        <is>
          <t>JÖNKÖPINGS LÄN</t>
        </is>
      </c>
      <c r="E5143" t="inlineStr">
        <is>
          <t>VÄRNAMO</t>
        </is>
      </c>
      <c r="G5143" t="n">
        <v>0.6</v>
      </c>
      <c r="H5143" t="n">
        <v>0</v>
      </c>
      <c r="I5143" t="n">
        <v>0</v>
      </c>
      <c r="J5143" t="n">
        <v>0</v>
      </c>
      <c r="K5143" t="n">
        <v>0</v>
      </c>
      <c r="L5143" t="n">
        <v>0</v>
      </c>
      <c r="M5143" t="n">
        <v>0</v>
      </c>
      <c r="N5143" t="n">
        <v>0</v>
      </c>
      <c r="O5143" t="n">
        <v>0</v>
      </c>
      <c r="P5143" t="n">
        <v>0</v>
      </c>
      <c r="Q5143" t="n">
        <v>0</v>
      </c>
      <c r="R5143" s="2" t="inlineStr"/>
    </row>
    <row r="5144" ht="15" customHeight="1">
      <c r="A5144" t="inlineStr">
        <is>
          <t>A 23145-2024</t>
        </is>
      </c>
      <c r="B5144" s="1" t="n">
        <v>45450.63736111111</v>
      </c>
      <c r="C5144" s="1" t="n">
        <v>45962</v>
      </c>
      <c r="D5144" t="inlineStr">
        <is>
          <t>JÖNKÖPINGS LÄN</t>
        </is>
      </c>
      <c r="E5144" t="inlineStr">
        <is>
          <t>HABO</t>
        </is>
      </c>
      <c r="G5144" t="n">
        <v>1</v>
      </c>
      <c r="H5144" t="n">
        <v>0</v>
      </c>
      <c r="I5144" t="n">
        <v>0</v>
      </c>
      <c r="J5144" t="n">
        <v>0</v>
      </c>
      <c r="K5144" t="n">
        <v>0</v>
      </c>
      <c r="L5144" t="n">
        <v>0</v>
      </c>
      <c r="M5144" t="n">
        <v>0</v>
      </c>
      <c r="N5144" t="n">
        <v>0</v>
      </c>
      <c r="O5144" t="n">
        <v>0</v>
      </c>
      <c r="P5144" t="n">
        <v>0</v>
      </c>
      <c r="Q5144" t="n">
        <v>0</v>
      </c>
      <c r="R5144" s="2" t="inlineStr"/>
    </row>
    <row r="5145" ht="15" customHeight="1">
      <c r="A5145" t="inlineStr">
        <is>
          <t>A 23156-2024</t>
        </is>
      </c>
      <c r="B5145" s="1" t="n">
        <v>45450.6659375</v>
      </c>
      <c r="C5145" s="1" t="n">
        <v>45962</v>
      </c>
      <c r="D5145" t="inlineStr">
        <is>
          <t>JÖNKÖPINGS LÄN</t>
        </is>
      </c>
      <c r="E5145" t="inlineStr">
        <is>
          <t>HABO</t>
        </is>
      </c>
      <c r="G5145" t="n">
        <v>7.5</v>
      </c>
      <c r="H5145" t="n">
        <v>0</v>
      </c>
      <c r="I5145" t="n">
        <v>0</v>
      </c>
      <c r="J5145" t="n">
        <v>0</v>
      </c>
      <c r="K5145" t="n">
        <v>0</v>
      </c>
      <c r="L5145" t="n">
        <v>0</v>
      </c>
      <c r="M5145" t="n">
        <v>0</v>
      </c>
      <c r="N5145" t="n">
        <v>0</v>
      </c>
      <c r="O5145" t="n">
        <v>0</v>
      </c>
      <c r="P5145" t="n">
        <v>0</v>
      </c>
      <c r="Q5145" t="n">
        <v>0</v>
      </c>
      <c r="R5145" s="2" t="inlineStr"/>
    </row>
    <row r="5146" ht="15" customHeight="1">
      <c r="A5146" t="inlineStr">
        <is>
          <t>A 57918-2021</t>
        </is>
      </c>
      <c r="B5146" s="1" t="n">
        <v>44487.27475694445</v>
      </c>
      <c r="C5146" s="1" t="n">
        <v>45962</v>
      </c>
      <c r="D5146" t="inlineStr">
        <is>
          <t>JÖNKÖPINGS LÄN</t>
        </is>
      </c>
      <c r="E5146" t="inlineStr">
        <is>
          <t>NÄSSJÖ</t>
        </is>
      </c>
      <c r="G5146" t="n">
        <v>2.6</v>
      </c>
      <c r="H5146" t="n">
        <v>0</v>
      </c>
      <c r="I5146" t="n">
        <v>0</v>
      </c>
      <c r="J5146" t="n">
        <v>0</v>
      </c>
      <c r="K5146" t="n">
        <v>0</v>
      </c>
      <c r="L5146" t="n">
        <v>0</v>
      </c>
      <c r="M5146" t="n">
        <v>0</v>
      </c>
      <c r="N5146" t="n">
        <v>0</v>
      </c>
      <c r="O5146" t="n">
        <v>0</v>
      </c>
      <c r="P5146" t="n">
        <v>0</v>
      </c>
      <c r="Q5146" t="n">
        <v>0</v>
      </c>
      <c r="R5146" s="2" t="inlineStr"/>
    </row>
    <row r="5147" ht="15" customHeight="1">
      <c r="A5147" t="inlineStr">
        <is>
          <t>A 26206-2022</t>
        </is>
      </c>
      <c r="B5147" s="1" t="n">
        <v>44734</v>
      </c>
      <c r="C5147" s="1" t="n">
        <v>45962</v>
      </c>
      <c r="D5147" t="inlineStr">
        <is>
          <t>JÖNKÖPINGS LÄN</t>
        </is>
      </c>
      <c r="E5147" t="inlineStr">
        <is>
          <t>JÖNKÖPING</t>
        </is>
      </c>
      <c r="F5147" t="inlineStr">
        <is>
          <t>Kyrkan</t>
        </is>
      </c>
      <c r="G5147" t="n">
        <v>3.3</v>
      </c>
      <c r="H5147" t="n">
        <v>0</v>
      </c>
      <c r="I5147" t="n">
        <v>0</v>
      </c>
      <c r="J5147" t="n">
        <v>0</v>
      </c>
      <c r="K5147" t="n">
        <v>0</v>
      </c>
      <c r="L5147" t="n">
        <v>0</v>
      </c>
      <c r="M5147" t="n">
        <v>0</v>
      </c>
      <c r="N5147" t="n">
        <v>0</v>
      </c>
      <c r="O5147" t="n">
        <v>0</v>
      </c>
      <c r="P5147" t="n">
        <v>0</v>
      </c>
      <c r="Q5147" t="n">
        <v>0</v>
      </c>
      <c r="R5147" s="2" t="inlineStr"/>
    </row>
    <row r="5148" ht="15" customHeight="1">
      <c r="A5148" t="inlineStr">
        <is>
          <t>A 26213-2022</t>
        </is>
      </c>
      <c r="B5148" s="1" t="n">
        <v>44734</v>
      </c>
      <c r="C5148" s="1" t="n">
        <v>45962</v>
      </c>
      <c r="D5148" t="inlineStr">
        <is>
          <t>JÖNKÖPINGS LÄN</t>
        </is>
      </c>
      <c r="E5148" t="inlineStr">
        <is>
          <t>JÖNKÖPING</t>
        </is>
      </c>
      <c r="F5148" t="inlineStr">
        <is>
          <t>Kyrkan</t>
        </is>
      </c>
      <c r="G5148" t="n">
        <v>0.4</v>
      </c>
      <c r="H5148" t="n">
        <v>0</v>
      </c>
      <c r="I5148" t="n">
        <v>0</v>
      </c>
      <c r="J5148" t="n">
        <v>0</v>
      </c>
      <c r="K5148" t="n">
        <v>0</v>
      </c>
      <c r="L5148" t="n">
        <v>0</v>
      </c>
      <c r="M5148" t="n">
        <v>0</v>
      </c>
      <c r="N5148" t="n">
        <v>0</v>
      </c>
      <c r="O5148" t="n">
        <v>0</v>
      </c>
      <c r="P5148" t="n">
        <v>0</v>
      </c>
      <c r="Q5148" t="n">
        <v>0</v>
      </c>
      <c r="R5148" s="2" t="inlineStr"/>
    </row>
    <row r="5149" ht="15" customHeight="1">
      <c r="A5149" t="inlineStr">
        <is>
          <t>A 30970-2025</t>
        </is>
      </c>
      <c r="B5149" s="1" t="n">
        <v>45832</v>
      </c>
      <c r="C5149" s="1" t="n">
        <v>45962</v>
      </c>
      <c r="D5149" t="inlineStr">
        <is>
          <t>JÖNKÖPINGS LÄN</t>
        </is>
      </c>
      <c r="E5149" t="inlineStr">
        <is>
          <t>NÄSSJÖ</t>
        </is>
      </c>
      <c r="G5149" t="n">
        <v>3.4</v>
      </c>
      <c r="H5149" t="n">
        <v>0</v>
      </c>
      <c r="I5149" t="n">
        <v>0</v>
      </c>
      <c r="J5149" t="n">
        <v>0</v>
      </c>
      <c r="K5149" t="n">
        <v>0</v>
      </c>
      <c r="L5149" t="n">
        <v>0</v>
      </c>
      <c r="M5149" t="n">
        <v>0</v>
      </c>
      <c r="N5149" t="n">
        <v>0</v>
      </c>
      <c r="O5149" t="n">
        <v>0</v>
      </c>
      <c r="P5149" t="n">
        <v>0</v>
      </c>
      <c r="Q5149" t="n">
        <v>0</v>
      </c>
      <c r="R5149" s="2" t="inlineStr"/>
    </row>
    <row r="5150" ht="15" customHeight="1">
      <c r="A5150" t="inlineStr">
        <is>
          <t>A 49398-2022</t>
        </is>
      </c>
      <c r="B5150" s="1" t="n">
        <v>44859</v>
      </c>
      <c r="C5150" s="1" t="n">
        <v>45962</v>
      </c>
      <c r="D5150" t="inlineStr">
        <is>
          <t>JÖNKÖPINGS LÄN</t>
        </is>
      </c>
      <c r="E5150" t="inlineStr">
        <is>
          <t>ANEBY</t>
        </is>
      </c>
      <c r="F5150" t="inlineStr">
        <is>
          <t>Övriga Aktiebolag</t>
        </is>
      </c>
      <c r="G5150" t="n">
        <v>2.6</v>
      </c>
      <c r="H5150" t="n">
        <v>0</v>
      </c>
      <c r="I5150" t="n">
        <v>0</v>
      </c>
      <c r="J5150" t="n">
        <v>0</v>
      </c>
      <c r="K5150" t="n">
        <v>0</v>
      </c>
      <c r="L5150" t="n">
        <v>0</v>
      </c>
      <c r="M5150" t="n">
        <v>0</v>
      </c>
      <c r="N5150" t="n">
        <v>0</v>
      </c>
      <c r="O5150" t="n">
        <v>0</v>
      </c>
      <c r="P5150" t="n">
        <v>0</v>
      </c>
      <c r="Q5150" t="n">
        <v>0</v>
      </c>
      <c r="R5150" s="2" t="inlineStr"/>
    </row>
    <row r="5151" ht="15" customHeight="1">
      <c r="A5151" t="inlineStr">
        <is>
          <t>A 182-2025</t>
        </is>
      </c>
      <c r="B5151" s="1" t="n">
        <v>45649</v>
      </c>
      <c r="C5151" s="1" t="n">
        <v>45962</v>
      </c>
      <c r="D5151" t="inlineStr">
        <is>
          <t>JÖNKÖPINGS LÄN</t>
        </is>
      </c>
      <c r="E5151" t="inlineStr">
        <is>
          <t>VÄRNAMO</t>
        </is>
      </c>
      <c r="F5151" t="inlineStr">
        <is>
          <t>Kyrkan</t>
        </is>
      </c>
      <c r="G5151" t="n">
        <v>9.199999999999999</v>
      </c>
      <c r="H5151" t="n">
        <v>0</v>
      </c>
      <c r="I5151" t="n">
        <v>0</v>
      </c>
      <c r="J5151" t="n">
        <v>0</v>
      </c>
      <c r="K5151" t="n">
        <v>0</v>
      </c>
      <c r="L5151" t="n">
        <v>0</v>
      </c>
      <c r="M5151" t="n">
        <v>0</v>
      </c>
      <c r="N5151" t="n">
        <v>0</v>
      </c>
      <c r="O5151" t="n">
        <v>0</v>
      </c>
      <c r="P5151" t="n">
        <v>0</v>
      </c>
      <c r="Q5151" t="n">
        <v>0</v>
      </c>
      <c r="R5151" s="2" t="inlineStr"/>
    </row>
    <row r="5152" ht="15" customHeight="1">
      <c r="A5152" t="inlineStr">
        <is>
          <t>A 45601-2022</t>
        </is>
      </c>
      <c r="B5152" s="1" t="n">
        <v>44845.56953703704</v>
      </c>
      <c r="C5152" s="1" t="n">
        <v>45962</v>
      </c>
      <c r="D5152" t="inlineStr">
        <is>
          <t>JÖNKÖPINGS LÄN</t>
        </is>
      </c>
      <c r="E5152" t="inlineStr">
        <is>
          <t>HABO</t>
        </is>
      </c>
      <c r="G5152" t="n">
        <v>3</v>
      </c>
      <c r="H5152" t="n">
        <v>0</v>
      </c>
      <c r="I5152" t="n">
        <v>0</v>
      </c>
      <c r="J5152" t="n">
        <v>0</v>
      </c>
      <c r="K5152" t="n">
        <v>0</v>
      </c>
      <c r="L5152" t="n">
        <v>0</v>
      </c>
      <c r="M5152" t="n">
        <v>0</v>
      </c>
      <c r="N5152" t="n">
        <v>0</v>
      </c>
      <c r="O5152" t="n">
        <v>0</v>
      </c>
      <c r="P5152" t="n">
        <v>0</v>
      </c>
      <c r="Q5152" t="n">
        <v>0</v>
      </c>
      <c r="R5152" s="2" t="inlineStr"/>
    </row>
    <row r="5153" ht="15" customHeight="1">
      <c r="A5153" t="inlineStr">
        <is>
          <t>A 43483-2023</t>
        </is>
      </c>
      <c r="B5153" s="1" t="n">
        <v>45184</v>
      </c>
      <c r="C5153" s="1" t="n">
        <v>45962</v>
      </c>
      <c r="D5153" t="inlineStr">
        <is>
          <t>JÖNKÖPINGS LÄN</t>
        </is>
      </c>
      <c r="E5153" t="inlineStr">
        <is>
          <t>EKSJÖ</t>
        </is>
      </c>
      <c r="G5153" t="n">
        <v>1.2</v>
      </c>
      <c r="H5153" t="n">
        <v>0</v>
      </c>
      <c r="I5153" t="n">
        <v>0</v>
      </c>
      <c r="J5153" t="n">
        <v>0</v>
      </c>
      <c r="K5153" t="n">
        <v>0</v>
      </c>
      <c r="L5153" t="n">
        <v>0</v>
      </c>
      <c r="M5153" t="n">
        <v>0</v>
      </c>
      <c r="N5153" t="n">
        <v>0</v>
      </c>
      <c r="O5153" t="n">
        <v>0</v>
      </c>
      <c r="P5153" t="n">
        <v>0</v>
      </c>
      <c r="Q5153" t="n">
        <v>0</v>
      </c>
      <c r="R5153" s="2" t="inlineStr"/>
    </row>
    <row r="5154" ht="15" customHeight="1">
      <c r="A5154" t="inlineStr">
        <is>
          <t>A 22073-2023</t>
        </is>
      </c>
      <c r="B5154" s="1" t="n">
        <v>45069.46366898148</v>
      </c>
      <c r="C5154" s="1" t="n">
        <v>45962</v>
      </c>
      <c r="D5154" t="inlineStr">
        <is>
          <t>JÖNKÖPINGS LÄN</t>
        </is>
      </c>
      <c r="E5154" t="inlineStr">
        <is>
          <t>VÄRNAMO</t>
        </is>
      </c>
      <c r="G5154" t="n">
        <v>1.6</v>
      </c>
      <c r="H5154" t="n">
        <v>0</v>
      </c>
      <c r="I5154" t="n">
        <v>0</v>
      </c>
      <c r="J5154" t="n">
        <v>0</v>
      </c>
      <c r="K5154" t="n">
        <v>0</v>
      </c>
      <c r="L5154" t="n">
        <v>0</v>
      </c>
      <c r="M5154" t="n">
        <v>0</v>
      </c>
      <c r="N5154" t="n">
        <v>0</v>
      </c>
      <c r="O5154" t="n">
        <v>0</v>
      </c>
      <c r="P5154" t="n">
        <v>0</v>
      </c>
      <c r="Q5154" t="n">
        <v>0</v>
      </c>
      <c r="R5154" s="2" t="inlineStr"/>
    </row>
    <row r="5155" ht="15" customHeight="1">
      <c r="A5155" t="inlineStr">
        <is>
          <t>A 59989-2024</t>
        </is>
      </c>
      <c r="B5155" s="1" t="n">
        <v>45642.39471064815</v>
      </c>
      <c r="C5155" s="1" t="n">
        <v>45962</v>
      </c>
      <c r="D5155" t="inlineStr">
        <is>
          <t>JÖNKÖPINGS LÄN</t>
        </is>
      </c>
      <c r="E5155" t="inlineStr">
        <is>
          <t>VETLANDA</t>
        </is>
      </c>
      <c r="G5155" t="n">
        <v>3.7</v>
      </c>
      <c r="H5155" t="n">
        <v>0</v>
      </c>
      <c r="I5155" t="n">
        <v>0</v>
      </c>
      <c r="J5155" t="n">
        <v>0</v>
      </c>
      <c r="K5155" t="n">
        <v>0</v>
      </c>
      <c r="L5155" t="n">
        <v>0</v>
      </c>
      <c r="M5155" t="n">
        <v>0</v>
      </c>
      <c r="N5155" t="n">
        <v>0</v>
      </c>
      <c r="O5155" t="n">
        <v>0</v>
      </c>
      <c r="P5155" t="n">
        <v>0</v>
      </c>
      <c r="Q5155" t="n">
        <v>0</v>
      </c>
      <c r="R5155" s="2" t="inlineStr"/>
    </row>
    <row r="5156" ht="15" customHeight="1">
      <c r="A5156" t="inlineStr">
        <is>
          <t>A 4083-2023</t>
        </is>
      </c>
      <c r="B5156" s="1" t="n">
        <v>44952</v>
      </c>
      <c r="C5156" s="1" t="n">
        <v>45962</v>
      </c>
      <c r="D5156" t="inlineStr">
        <is>
          <t>JÖNKÖPINGS LÄN</t>
        </is>
      </c>
      <c r="E5156" t="inlineStr">
        <is>
          <t>GISLAVED</t>
        </is>
      </c>
      <c r="G5156" t="n">
        <v>9</v>
      </c>
      <c r="H5156" t="n">
        <v>0</v>
      </c>
      <c r="I5156" t="n">
        <v>0</v>
      </c>
      <c r="J5156" t="n">
        <v>0</v>
      </c>
      <c r="K5156" t="n">
        <v>0</v>
      </c>
      <c r="L5156" t="n">
        <v>0</v>
      </c>
      <c r="M5156" t="n">
        <v>0</v>
      </c>
      <c r="N5156" t="n">
        <v>0</v>
      </c>
      <c r="O5156" t="n">
        <v>0</v>
      </c>
      <c r="P5156" t="n">
        <v>0</v>
      </c>
      <c r="Q5156" t="n">
        <v>0</v>
      </c>
      <c r="R5156" s="2" t="inlineStr"/>
    </row>
    <row r="5157" ht="15" customHeight="1">
      <c r="A5157" t="inlineStr">
        <is>
          <t>A 31236-2025</t>
        </is>
      </c>
      <c r="B5157" s="1" t="n">
        <v>45832.84189814814</v>
      </c>
      <c r="C5157" s="1" t="n">
        <v>45962</v>
      </c>
      <c r="D5157" t="inlineStr">
        <is>
          <t>JÖNKÖPINGS LÄN</t>
        </is>
      </c>
      <c r="E5157" t="inlineStr">
        <is>
          <t>VÄRNAMO</t>
        </is>
      </c>
      <c r="G5157" t="n">
        <v>1.3</v>
      </c>
      <c r="H5157" t="n">
        <v>0</v>
      </c>
      <c r="I5157" t="n">
        <v>0</v>
      </c>
      <c r="J5157" t="n">
        <v>0</v>
      </c>
      <c r="K5157" t="n">
        <v>0</v>
      </c>
      <c r="L5157" t="n">
        <v>0</v>
      </c>
      <c r="M5157" t="n">
        <v>0</v>
      </c>
      <c r="N5157" t="n">
        <v>0</v>
      </c>
      <c r="O5157" t="n">
        <v>0</v>
      </c>
      <c r="P5157" t="n">
        <v>0</v>
      </c>
      <c r="Q5157" t="n">
        <v>0</v>
      </c>
      <c r="R5157" s="2" t="inlineStr"/>
    </row>
    <row r="5158" ht="15" customHeight="1">
      <c r="A5158" t="inlineStr">
        <is>
          <t>A 31238-2025</t>
        </is>
      </c>
      <c r="B5158" s="1" t="n">
        <v>45832.85254629629</v>
      </c>
      <c r="C5158" s="1" t="n">
        <v>45962</v>
      </c>
      <c r="D5158" t="inlineStr">
        <is>
          <t>JÖNKÖPINGS LÄN</t>
        </is>
      </c>
      <c r="E5158" t="inlineStr">
        <is>
          <t>VÄRNAMO</t>
        </is>
      </c>
      <c r="G5158" t="n">
        <v>0.7</v>
      </c>
      <c r="H5158" t="n">
        <v>0</v>
      </c>
      <c r="I5158" t="n">
        <v>0</v>
      </c>
      <c r="J5158" t="n">
        <v>0</v>
      </c>
      <c r="K5158" t="n">
        <v>0</v>
      </c>
      <c r="L5158" t="n">
        <v>0</v>
      </c>
      <c r="M5158" t="n">
        <v>0</v>
      </c>
      <c r="N5158" t="n">
        <v>0</v>
      </c>
      <c r="O5158" t="n">
        <v>0</v>
      </c>
      <c r="P5158" t="n">
        <v>0</v>
      </c>
      <c r="Q5158" t="n">
        <v>0</v>
      </c>
      <c r="R5158" s="2" t="inlineStr"/>
    </row>
    <row r="5159" ht="15" customHeight="1">
      <c r="A5159" t="inlineStr">
        <is>
          <t>A 31240-2025</t>
        </is>
      </c>
      <c r="B5159" s="1" t="n">
        <v>45832.85799768518</v>
      </c>
      <c r="C5159" s="1" t="n">
        <v>45962</v>
      </c>
      <c r="D5159" t="inlineStr">
        <is>
          <t>JÖNKÖPINGS LÄN</t>
        </is>
      </c>
      <c r="E5159" t="inlineStr">
        <is>
          <t>GISLAVED</t>
        </is>
      </c>
      <c r="G5159" t="n">
        <v>1.3</v>
      </c>
      <c r="H5159" t="n">
        <v>0</v>
      </c>
      <c r="I5159" t="n">
        <v>0</v>
      </c>
      <c r="J5159" t="n">
        <v>0</v>
      </c>
      <c r="K5159" t="n">
        <v>0</v>
      </c>
      <c r="L5159" t="n">
        <v>0</v>
      </c>
      <c r="M5159" t="n">
        <v>0</v>
      </c>
      <c r="N5159" t="n">
        <v>0</v>
      </c>
      <c r="O5159" t="n">
        <v>0</v>
      </c>
      <c r="P5159" t="n">
        <v>0</v>
      </c>
      <c r="Q5159" t="n">
        <v>0</v>
      </c>
      <c r="R5159" s="2" t="inlineStr"/>
    </row>
    <row r="5160" ht="15" customHeight="1">
      <c r="A5160" t="inlineStr">
        <is>
          <t>A 57500-2022</t>
        </is>
      </c>
      <c r="B5160" s="1" t="n">
        <v>44896.63857638889</v>
      </c>
      <c r="C5160" s="1" t="n">
        <v>45962</v>
      </c>
      <c r="D5160" t="inlineStr">
        <is>
          <t>JÖNKÖPINGS LÄN</t>
        </is>
      </c>
      <c r="E5160" t="inlineStr">
        <is>
          <t>MULLSJÖ</t>
        </is>
      </c>
      <c r="G5160" t="n">
        <v>0.6</v>
      </c>
      <c r="H5160" t="n">
        <v>0</v>
      </c>
      <c r="I5160" t="n">
        <v>0</v>
      </c>
      <c r="J5160" t="n">
        <v>0</v>
      </c>
      <c r="K5160" t="n">
        <v>0</v>
      </c>
      <c r="L5160" t="n">
        <v>0</v>
      </c>
      <c r="M5160" t="n">
        <v>0</v>
      </c>
      <c r="N5160" t="n">
        <v>0</v>
      </c>
      <c r="O5160" t="n">
        <v>0</v>
      </c>
      <c r="P5160" t="n">
        <v>0</v>
      </c>
      <c r="Q5160" t="n">
        <v>0</v>
      </c>
      <c r="R5160" s="2" t="inlineStr"/>
    </row>
    <row r="5161" ht="15" customHeight="1">
      <c r="A5161" t="inlineStr">
        <is>
          <t>A 1655-2025</t>
        </is>
      </c>
      <c r="B5161" s="1" t="n">
        <v>45670.65989583333</v>
      </c>
      <c r="C5161" s="1" t="n">
        <v>45962</v>
      </c>
      <c r="D5161" t="inlineStr">
        <is>
          <t>JÖNKÖPINGS LÄN</t>
        </is>
      </c>
      <c r="E5161" t="inlineStr">
        <is>
          <t>VÄRNAMO</t>
        </is>
      </c>
      <c r="G5161" t="n">
        <v>0.6</v>
      </c>
      <c r="H5161" t="n">
        <v>0</v>
      </c>
      <c r="I5161" t="n">
        <v>0</v>
      </c>
      <c r="J5161" t="n">
        <v>0</v>
      </c>
      <c r="K5161" t="n">
        <v>0</v>
      </c>
      <c r="L5161" t="n">
        <v>0</v>
      </c>
      <c r="M5161" t="n">
        <v>0</v>
      </c>
      <c r="N5161" t="n">
        <v>0</v>
      </c>
      <c r="O5161" t="n">
        <v>0</v>
      </c>
      <c r="P5161" t="n">
        <v>0</v>
      </c>
      <c r="Q5161" t="n">
        <v>0</v>
      </c>
      <c r="R5161" s="2" t="inlineStr"/>
    </row>
    <row r="5162" ht="15" customHeight="1">
      <c r="A5162" t="inlineStr">
        <is>
          <t>A 30843-2024</t>
        </is>
      </c>
      <c r="B5162" s="1" t="n">
        <v>45497</v>
      </c>
      <c r="C5162" s="1" t="n">
        <v>45962</v>
      </c>
      <c r="D5162" t="inlineStr">
        <is>
          <t>JÖNKÖPINGS LÄN</t>
        </is>
      </c>
      <c r="E5162" t="inlineStr">
        <is>
          <t>JÖNKÖPING</t>
        </is>
      </c>
      <c r="G5162" t="n">
        <v>5</v>
      </c>
      <c r="H5162" t="n">
        <v>0</v>
      </c>
      <c r="I5162" t="n">
        <v>0</v>
      </c>
      <c r="J5162" t="n">
        <v>0</v>
      </c>
      <c r="K5162" t="n">
        <v>0</v>
      </c>
      <c r="L5162" t="n">
        <v>0</v>
      </c>
      <c r="M5162" t="n">
        <v>0</v>
      </c>
      <c r="N5162" t="n">
        <v>0</v>
      </c>
      <c r="O5162" t="n">
        <v>0</v>
      </c>
      <c r="P5162" t="n">
        <v>0</v>
      </c>
      <c r="Q5162" t="n">
        <v>0</v>
      </c>
      <c r="R5162" s="2" t="inlineStr"/>
    </row>
    <row r="5163" ht="15" customHeight="1">
      <c r="A5163" t="inlineStr">
        <is>
          <t>A 30845-2024</t>
        </is>
      </c>
      <c r="B5163" s="1" t="n">
        <v>45497.58564814815</v>
      </c>
      <c r="C5163" s="1" t="n">
        <v>45962</v>
      </c>
      <c r="D5163" t="inlineStr">
        <is>
          <t>JÖNKÖPINGS LÄN</t>
        </is>
      </c>
      <c r="E5163" t="inlineStr">
        <is>
          <t>GISLAVED</t>
        </is>
      </c>
      <c r="G5163" t="n">
        <v>2.1</v>
      </c>
      <c r="H5163" t="n">
        <v>0</v>
      </c>
      <c r="I5163" t="n">
        <v>0</v>
      </c>
      <c r="J5163" t="n">
        <v>0</v>
      </c>
      <c r="K5163" t="n">
        <v>0</v>
      </c>
      <c r="L5163" t="n">
        <v>0</v>
      </c>
      <c r="M5163" t="n">
        <v>0</v>
      </c>
      <c r="N5163" t="n">
        <v>0</v>
      </c>
      <c r="O5163" t="n">
        <v>0</v>
      </c>
      <c r="P5163" t="n">
        <v>0</v>
      </c>
      <c r="Q5163" t="n">
        <v>0</v>
      </c>
      <c r="R5163" s="2" t="inlineStr"/>
    </row>
    <row r="5164" ht="15" customHeight="1">
      <c r="A5164" t="inlineStr">
        <is>
          <t>A 4986-2025</t>
        </is>
      </c>
      <c r="B5164" s="1" t="n">
        <v>45691.31946759259</v>
      </c>
      <c r="C5164" s="1" t="n">
        <v>45962</v>
      </c>
      <c r="D5164" t="inlineStr">
        <is>
          <t>JÖNKÖPINGS LÄN</t>
        </is>
      </c>
      <c r="E5164" t="inlineStr">
        <is>
          <t>ANEBY</t>
        </is>
      </c>
      <c r="G5164" t="n">
        <v>0.7</v>
      </c>
      <c r="H5164" t="n">
        <v>0</v>
      </c>
      <c r="I5164" t="n">
        <v>0</v>
      </c>
      <c r="J5164" t="n">
        <v>0</v>
      </c>
      <c r="K5164" t="n">
        <v>0</v>
      </c>
      <c r="L5164" t="n">
        <v>0</v>
      </c>
      <c r="M5164" t="n">
        <v>0</v>
      </c>
      <c r="N5164" t="n">
        <v>0</v>
      </c>
      <c r="O5164" t="n">
        <v>0</v>
      </c>
      <c r="P5164" t="n">
        <v>0</v>
      </c>
      <c r="Q5164" t="n">
        <v>0</v>
      </c>
      <c r="R5164" s="2" t="inlineStr"/>
    </row>
    <row r="5165" ht="15" customHeight="1">
      <c r="A5165" t="inlineStr">
        <is>
          <t>A 30289-2025</t>
        </is>
      </c>
      <c r="B5165" s="1" t="n">
        <v>45827.46755787037</v>
      </c>
      <c r="C5165" s="1" t="n">
        <v>45962</v>
      </c>
      <c r="D5165" t="inlineStr">
        <is>
          <t>JÖNKÖPINGS LÄN</t>
        </is>
      </c>
      <c r="E5165" t="inlineStr">
        <is>
          <t>GNOSJÖ</t>
        </is>
      </c>
      <c r="G5165" t="n">
        <v>2.5</v>
      </c>
      <c r="H5165" t="n">
        <v>0</v>
      </c>
      <c r="I5165" t="n">
        <v>0</v>
      </c>
      <c r="J5165" t="n">
        <v>0</v>
      </c>
      <c r="K5165" t="n">
        <v>0</v>
      </c>
      <c r="L5165" t="n">
        <v>0</v>
      </c>
      <c r="M5165" t="n">
        <v>0</v>
      </c>
      <c r="N5165" t="n">
        <v>0</v>
      </c>
      <c r="O5165" t="n">
        <v>0</v>
      </c>
      <c r="P5165" t="n">
        <v>0</v>
      </c>
      <c r="Q5165" t="n">
        <v>0</v>
      </c>
      <c r="R5165" s="2" t="inlineStr"/>
    </row>
    <row r="5166" ht="15" customHeight="1">
      <c r="A5166" t="inlineStr">
        <is>
          <t>A 59318-2022</t>
        </is>
      </c>
      <c r="B5166" s="1" t="n">
        <v>44904</v>
      </c>
      <c r="C5166" s="1" t="n">
        <v>45962</v>
      </c>
      <c r="D5166" t="inlineStr">
        <is>
          <t>JÖNKÖPINGS LÄN</t>
        </is>
      </c>
      <c r="E5166" t="inlineStr">
        <is>
          <t>JÖNKÖPING</t>
        </is>
      </c>
      <c r="G5166" t="n">
        <v>1.2</v>
      </c>
      <c r="H5166" t="n">
        <v>0</v>
      </c>
      <c r="I5166" t="n">
        <v>0</v>
      </c>
      <c r="J5166" t="n">
        <v>0</v>
      </c>
      <c r="K5166" t="n">
        <v>0</v>
      </c>
      <c r="L5166" t="n">
        <v>0</v>
      </c>
      <c r="M5166" t="n">
        <v>0</v>
      </c>
      <c r="N5166" t="n">
        <v>0</v>
      </c>
      <c r="O5166" t="n">
        <v>0</v>
      </c>
      <c r="P5166" t="n">
        <v>0</v>
      </c>
      <c r="Q5166" t="n">
        <v>0</v>
      </c>
      <c r="R5166" s="2" t="inlineStr"/>
    </row>
    <row r="5167" ht="15" customHeight="1">
      <c r="A5167" t="inlineStr">
        <is>
          <t>A 31490-2025</t>
        </is>
      </c>
      <c r="B5167" s="1" t="n">
        <v>45833.57915509259</v>
      </c>
      <c r="C5167" s="1" t="n">
        <v>45962</v>
      </c>
      <c r="D5167" t="inlineStr">
        <is>
          <t>JÖNKÖPINGS LÄN</t>
        </is>
      </c>
      <c r="E5167" t="inlineStr">
        <is>
          <t>SÄVSJÖ</t>
        </is>
      </c>
      <c r="G5167" t="n">
        <v>0.6</v>
      </c>
      <c r="H5167" t="n">
        <v>0</v>
      </c>
      <c r="I5167" t="n">
        <v>0</v>
      </c>
      <c r="J5167" t="n">
        <v>0</v>
      </c>
      <c r="K5167" t="n">
        <v>0</v>
      </c>
      <c r="L5167" t="n">
        <v>0</v>
      </c>
      <c r="M5167" t="n">
        <v>0</v>
      </c>
      <c r="N5167" t="n">
        <v>0</v>
      </c>
      <c r="O5167" t="n">
        <v>0</v>
      </c>
      <c r="P5167" t="n">
        <v>0</v>
      </c>
      <c r="Q5167" t="n">
        <v>0</v>
      </c>
      <c r="R5167" s="2" t="inlineStr"/>
    </row>
    <row r="5168" ht="15" customHeight="1">
      <c r="A5168" t="inlineStr">
        <is>
          <t>A 40876-2023</t>
        </is>
      </c>
      <c r="B5168" s="1" t="n">
        <v>45173</v>
      </c>
      <c r="C5168" s="1" t="n">
        <v>45962</v>
      </c>
      <c r="D5168" t="inlineStr">
        <is>
          <t>JÖNKÖPINGS LÄN</t>
        </is>
      </c>
      <c r="E5168" t="inlineStr">
        <is>
          <t>VETLANDA</t>
        </is>
      </c>
      <c r="G5168" t="n">
        <v>1.5</v>
      </c>
      <c r="H5168" t="n">
        <v>0</v>
      </c>
      <c r="I5168" t="n">
        <v>0</v>
      </c>
      <c r="J5168" t="n">
        <v>0</v>
      </c>
      <c r="K5168" t="n">
        <v>0</v>
      </c>
      <c r="L5168" t="n">
        <v>0</v>
      </c>
      <c r="M5168" t="n">
        <v>0</v>
      </c>
      <c r="N5168" t="n">
        <v>0</v>
      </c>
      <c r="O5168" t="n">
        <v>0</v>
      </c>
      <c r="P5168" t="n">
        <v>0</v>
      </c>
      <c r="Q5168" t="n">
        <v>0</v>
      </c>
      <c r="R5168" s="2" t="inlineStr"/>
    </row>
    <row r="5169" ht="15" customHeight="1">
      <c r="A5169" t="inlineStr">
        <is>
          <t>A 40955-2023</t>
        </is>
      </c>
      <c r="B5169" s="1" t="n">
        <v>45169</v>
      </c>
      <c r="C5169" s="1" t="n">
        <v>45962</v>
      </c>
      <c r="D5169" t="inlineStr">
        <is>
          <t>JÖNKÖPINGS LÄN</t>
        </is>
      </c>
      <c r="E5169" t="inlineStr">
        <is>
          <t>NÄSSJÖ</t>
        </is>
      </c>
      <c r="G5169" t="n">
        <v>1</v>
      </c>
      <c r="H5169" t="n">
        <v>0</v>
      </c>
      <c r="I5169" t="n">
        <v>0</v>
      </c>
      <c r="J5169" t="n">
        <v>0</v>
      </c>
      <c r="K5169" t="n">
        <v>0</v>
      </c>
      <c r="L5169" t="n">
        <v>0</v>
      </c>
      <c r="M5169" t="n">
        <v>0</v>
      </c>
      <c r="N5169" t="n">
        <v>0</v>
      </c>
      <c r="O5169" t="n">
        <v>0</v>
      </c>
      <c r="P5169" t="n">
        <v>0</v>
      </c>
      <c r="Q5169" t="n">
        <v>0</v>
      </c>
      <c r="R5169" s="2" t="inlineStr"/>
    </row>
    <row r="5170" ht="15" customHeight="1">
      <c r="A5170" t="inlineStr">
        <is>
          <t>A 66211-2020</t>
        </is>
      </c>
      <c r="B5170" s="1" t="n">
        <v>44175</v>
      </c>
      <c r="C5170" s="1" t="n">
        <v>45962</v>
      </c>
      <c r="D5170" t="inlineStr">
        <is>
          <t>JÖNKÖPINGS LÄN</t>
        </is>
      </c>
      <c r="E5170" t="inlineStr">
        <is>
          <t>GNOSJÖ</t>
        </is>
      </c>
      <c r="G5170" t="n">
        <v>2.2</v>
      </c>
      <c r="H5170" t="n">
        <v>0</v>
      </c>
      <c r="I5170" t="n">
        <v>0</v>
      </c>
      <c r="J5170" t="n">
        <v>0</v>
      </c>
      <c r="K5170" t="n">
        <v>0</v>
      </c>
      <c r="L5170" t="n">
        <v>0</v>
      </c>
      <c r="M5170" t="n">
        <v>0</v>
      </c>
      <c r="N5170" t="n">
        <v>0</v>
      </c>
      <c r="O5170" t="n">
        <v>0</v>
      </c>
      <c r="P5170" t="n">
        <v>0</v>
      </c>
      <c r="Q5170" t="n">
        <v>0</v>
      </c>
      <c r="R5170" s="2" t="inlineStr"/>
    </row>
    <row r="5171" ht="15" customHeight="1">
      <c r="A5171" t="inlineStr">
        <is>
          <t>A 31225-2025</t>
        </is>
      </c>
      <c r="B5171" s="1" t="n">
        <v>45832.79658564815</v>
      </c>
      <c r="C5171" s="1" t="n">
        <v>45962</v>
      </c>
      <c r="D5171" t="inlineStr">
        <is>
          <t>JÖNKÖPINGS LÄN</t>
        </is>
      </c>
      <c r="E5171" t="inlineStr">
        <is>
          <t>VÄRNAMO</t>
        </is>
      </c>
      <c r="G5171" t="n">
        <v>2.4</v>
      </c>
      <c r="H5171" t="n">
        <v>0</v>
      </c>
      <c r="I5171" t="n">
        <v>0</v>
      </c>
      <c r="J5171" t="n">
        <v>0</v>
      </c>
      <c r="K5171" t="n">
        <v>0</v>
      </c>
      <c r="L5171" t="n">
        <v>0</v>
      </c>
      <c r="M5171" t="n">
        <v>0</v>
      </c>
      <c r="N5171" t="n">
        <v>0</v>
      </c>
      <c r="O5171" t="n">
        <v>0</v>
      </c>
      <c r="P5171" t="n">
        <v>0</v>
      </c>
      <c r="Q5171" t="n">
        <v>0</v>
      </c>
      <c r="R5171" s="2" t="inlineStr"/>
    </row>
    <row r="5172" ht="15" customHeight="1">
      <c r="A5172" t="inlineStr">
        <is>
          <t>A 45120-2023</t>
        </is>
      </c>
      <c r="B5172" s="1" t="n">
        <v>45191.44642361111</v>
      </c>
      <c r="C5172" s="1" t="n">
        <v>45962</v>
      </c>
      <c r="D5172" t="inlineStr">
        <is>
          <t>JÖNKÖPINGS LÄN</t>
        </is>
      </c>
      <c r="E5172" t="inlineStr">
        <is>
          <t>VÄRNAMO</t>
        </is>
      </c>
      <c r="F5172" t="inlineStr">
        <is>
          <t>Sveaskog</t>
        </is>
      </c>
      <c r="G5172" t="n">
        <v>2.3</v>
      </c>
      <c r="H5172" t="n">
        <v>0</v>
      </c>
      <c r="I5172" t="n">
        <v>0</v>
      </c>
      <c r="J5172" t="n">
        <v>0</v>
      </c>
      <c r="K5172" t="n">
        <v>0</v>
      </c>
      <c r="L5172" t="n">
        <v>0</v>
      </c>
      <c r="M5172" t="n">
        <v>0</v>
      </c>
      <c r="N5172" t="n">
        <v>0</v>
      </c>
      <c r="O5172" t="n">
        <v>0</v>
      </c>
      <c r="P5172" t="n">
        <v>0</v>
      </c>
      <c r="Q5172" t="n">
        <v>0</v>
      </c>
      <c r="R5172" s="2" t="inlineStr"/>
    </row>
    <row r="5173" ht="15" customHeight="1">
      <c r="A5173" t="inlineStr">
        <is>
          <t>A 31228-2025</t>
        </is>
      </c>
      <c r="B5173" s="1" t="n">
        <v>45832.8088425926</v>
      </c>
      <c r="C5173" s="1" t="n">
        <v>45962</v>
      </c>
      <c r="D5173" t="inlineStr">
        <is>
          <t>JÖNKÖPINGS LÄN</t>
        </is>
      </c>
      <c r="E5173" t="inlineStr">
        <is>
          <t>GNOSJÖ</t>
        </is>
      </c>
      <c r="G5173" t="n">
        <v>0.5</v>
      </c>
      <c r="H5173" t="n">
        <v>0</v>
      </c>
      <c r="I5173" t="n">
        <v>0</v>
      </c>
      <c r="J5173" t="n">
        <v>0</v>
      </c>
      <c r="K5173" t="n">
        <v>0</v>
      </c>
      <c r="L5173" t="n">
        <v>0</v>
      </c>
      <c r="M5173" t="n">
        <v>0</v>
      </c>
      <c r="N5173" t="n">
        <v>0</v>
      </c>
      <c r="O5173" t="n">
        <v>0</v>
      </c>
      <c r="P5173" t="n">
        <v>0</v>
      </c>
      <c r="Q5173" t="n">
        <v>0</v>
      </c>
      <c r="R5173" s="2" t="inlineStr"/>
    </row>
    <row r="5174" ht="15" customHeight="1">
      <c r="A5174" t="inlineStr">
        <is>
          <t>A 59054-2023</t>
        </is>
      </c>
      <c r="B5174" s="1" t="n">
        <v>45252</v>
      </c>
      <c r="C5174" s="1" t="n">
        <v>45962</v>
      </c>
      <c r="D5174" t="inlineStr">
        <is>
          <t>JÖNKÖPINGS LÄN</t>
        </is>
      </c>
      <c r="E5174" t="inlineStr">
        <is>
          <t>SÄVSJÖ</t>
        </is>
      </c>
      <c r="G5174" t="n">
        <v>5.9</v>
      </c>
      <c r="H5174" t="n">
        <v>0</v>
      </c>
      <c r="I5174" t="n">
        <v>0</v>
      </c>
      <c r="J5174" t="n">
        <v>0</v>
      </c>
      <c r="K5174" t="n">
        <v>0</v>
      </c>
      <c r="L5174" t="n">
        <v>0</v>
      </c>
      <c r="M5174" t="n">
        <v>0</v>
      </c>
      <c r="N5174" t="n">
        <v>0</v>
      </c>
      <c r="O5174" t="n">
        <v>0</v>
      </c>
      <c r="P5174" t="n">
        <v>0</v>
      </c>
      <c r="Q5174" t="n">
        <v>0</v>
      </c>
      <c r="R5174" s="2" t="inlineStr"/>
    </row>
    <row r="5175" ht="15" customHeight="1">
      <c r="A5175" t="inlineStr">
        <is>
          <t>A 4306-2025</t>
        </is>
      </c>
      <c r="B5175" s="1" t="n">
        <v>45685.68592592593</v>
      </c>
      <c r="C5175" s="1" t="n">
        <v>45962</v>
      </c>
      <c r="D5175" t="inlineStr">
        <is>
          <t>JÖNKÖPINGS LÄN</t>
        </is>
      </c>
      <c r="E5175" t="inlineStr">
        <is>
          <t>NÄSSJÖ</t>
        </is>
      </c>
      <c r="G5175" t="n">
        <v>1.8</v>
      </c>
      <c r="H5175" t="n">
        <v>0</v>
      </c>
      <c r="I5175" t="n">
        <v>0</v>
      </c>
      <c r="J5175" t="n">
        <v>0</v>
      </c>
      <c r="K5175" t="n">
        <v>0</v>
      </c>
      <c r="L5175" t="n">
        <v>0</v>
      </c>
      <c r="M5175" t="n">
        <v>0</v>
      </c>
      <c r="N5175" t="n">
        <v>0</v>
      </c>
      <c r="O5175" t="n">
        <v>0</v>
      </c>
      <c r="P5175" t="n">
        <v>0</v>
      </c>
      <c r="Q5175" t="n">
        <v>0</v>
      </c>
      <c r="R5175" s="2" t="inlineStr"/>
    </row>
    <row r="5176" ht="15" customHeight="1">
      <c r="A5176" t="inlineStr">
        <is>
          <t>A 6069-2025</t>
        </is>
      </c>
      <c r="B5176" s="1" t="n">
        <v>45696.44892361111</v>
      </c>
      <c r="C5176" s="1" t="n">
        <v>45962</v>
      </c>
      <c r="D5176" t="inlineStr">
        <is>
          <t>JÖNKÖPINGS LÄN</t>
        </is>
      </c>
      <c r="E5176" t="inlineStr">
        <is>
          <t>HABO</t>
        </is>
      </c>
      <c r="G5176" t="n">
        <v>1.3</v>
      </c>
      <c r="H5176" t="n">
        <v>0</v>
      </c>
      <c r="I5176" t="n">
        <v>0</v>
      </c>
      <c r="J5176" t="n">
        <v>0</v>
      </c>
      <c r="K5176" t="n">
        <v>0</v>
      </c>
      <c r="L5176" t="n">
        <v>0</v>
      </c>
      <c r="M5176" t="n">
        <v>0</v>
      </c>
      <c r="N5176" t="n">
        <v>0</v>
      </c>
      <c r="O5176" t="n">
        <v>0</v>
      </c>
      <c r="P5176" t="n">
        <v>0</v>
      </c>
      <c r="Q5176" t="n">
        <v>0</v>
      </c>
      <c r="R5176" s="2" t="inlineStr"/>
    </row>
    <row r="5177" ht="15" customHeight="1">
      <c r="A5177" t="inlineStr">
        <is>
          <t>A 18539-2025</t>
        </is>
      </c>
      <c r="B5177" s="1" t="n">
        <v>45763.41162037037</v>
      </c>
      <c r="C5177" s="1" t="n">
        <v>45962</v>
      </c>
      <c r="D5177" t="inlineStr">
        <is>
          <t>JÖNKÖPINGS LÄN</t>
        </is>
      </c>
      <c r="E5177" t="inlineStr">
        <is>
          <t>VÄRNAMO</t>
        </is>
      </c>
      <c r="G5177" t="n">
        <v>3.2</v>
      </c>
      <c r="H5177" t="n">
        <v>0</v>
      </c>
      <c r="I5177" t="n">
        <v>0</v>
      </c>
      <c r="J5177" t="n">
        <v>0</v>
      </c>
      <c r="K5177" t="n">
        <v>0</v>
      </c>
      <c r="L5177" t="n">
        <v>0</v>
      </c>
      <c r="M5177" t="n">
        <v>0</v>
      </c>
      <c r="N5177" t="n">
        <v>0</v>
      </c>
      <c r="O5177" t="n">
        <v>0</v>
      </c>
      <c r="P5177" t="n">
        <v>0</v>
      </c>
      <c r="Q5177" t="n">
        <v>0</v>
      </c>
      <c r="R5177" s="2" t="inlineStr"/>
    </row>
    <row r="5178" ht="15" customHeight="1">
      <c r="A5178" t="inlineStr">
        <is>
          <t>A 18552-2025</t>
        </is>
      </c>
      <c r="B5178" s="1" t="n">
        <v>45763</v>
      </c>
      <c r="C5178" s="1" t="n">
        <v>45962</v>
      </c>
      <c r="D5178" t="inlineStr">
        <is>
          <t>JÖNKÖPINGS LÄN</t>
        </is>
      </c>
      <c r="E5178" t="inlineStr">
        <is>
          <t>ANEBY</t>
        </is>
      </c>
      <c r="F5178" t="inlineStr">
        <is>
          <t>Övriga Aktiebolag</t>
        </is>
      </c>
      <c r="G5178" t="n">
        <v>2</v>
      </c>
      <c r="H5178" t="n">
        <v>0</v>
      </c>
      <c r="I5178" t="n">
        <v>0</v>
      </c>
      <c r="J5178" t="n">
        <v>0</v>
      </c>
      <c r="K5178" t="n">
        <v>0</v>
      </c>
      <c r="L5178" t="n">
        <v>0</v>
      </c>
      <c r="M5178" t="n">
        <v>0</v>
      </c>
      <c r="N5178" t="n">
        <v>0</v>
      </c>
      <c r="O5178" t="n">
        <v>0</v>
      </c>
      <c r="P5178" t="n">
        <v>0</v>
      </c>
      <c r="Q5178" t="n">
        <v>0</v>
      </c>
      <c r="R5178" s="2" t="inlineStr"/>
    </row>
    <row r="5179" ht="15" customHeight="1">
      <c r="A5179" t="inlineStr">
        <is>
          <t>A 31527-2025</t>
        </is>
      </c>
      <c r="B5179" s="1" t="n">
        <v>45833.61384259259</v>
      </c>
      <c r="C5179" s="1" t="n">
        <v>45962</v>
      </c>
      <c r="D5179" t="inlineStr">
        <is>
          <t>JÖNKÖPINGS LÄN</t>
        </is>
      </c>
      <c r="E5179" t="inlineStr">
        <is>
          <t>VÄRNAMO</t>
        </is>
      </c>
      <c r="G5179" t="n">
        <v>2.5</v>
      </c>
      <c r="H5179" t="n">
        <v>0</v>
      </c>
      <c r="I5179" t="n">
        <v>0</v>
      </c>
      <c r="J5179" t="n">
        <v>0</v>
      </c>
      <c r="K5179" t="n">
        <v>0</v>
      </c>
      <c r="L5179" t="n">
        <v>0</v>
      </c>
      <c r="M5179" t="n">
        <v>0</v>
      </c>
      <c r="N5179" t="n">
        <v>0</v>
      </c>
      <c r="O5179" t="n">
        <v>0</v>
      </c>
      <c r="P5179" t="n">
        <v>0</v>
      </c>
      <c r="Q5179" t="n">
        <v>0</v>
      </c>
      <c r="R5179" s="2" t="inlineStr"/>
    </row>
    <row r="5180" ht="15" customHeight="1">
      <c r="A5180" t="inlineStr">
        <is>
          <t>A 15946-2025</t>
        </is>
      </c>
      <c r="B5180" s="1" t="n">
        <v>45749.48918981481</v>
      </c>
      <c r="C5180" s="1" t="n">
        <v>45962</v>
      </c>
      <c r="D5180" t="inlineStr">
        <is>
          <t>JÖNKÖPINGS LÄN</t>
        </is>
      </c>
      <c r="E5180" t="inlineStr">
        <is>
          <t>VAGGERYD</t>
        </is>
      </c>
      <c r="F5180" t="inlineStr">
        <is>
          <t>Sveaskog</t>
        </is>
      </c>
      <c r="G5180" t="n">
        <v>0.6</v>
      </c>
      <c r="H5180" t="n">
        <v>0</v>
      </c>
      <c r="I5180" t="n">
        <v>0</v>
      </c>
      <c r="J5180" t="n">
        <v>0</v>
      </c>
      <c r="K5180" t="n">
        <v>0</v>
      </c>
      <c r="L5180" t="n">
        <v>0</v>
      </c>
      <c r="M5180" t="n">
        <v>0</v>
      </c>
      <c r="N5180" t="n">
        <v>0</v>
      </c>
      <c r="O5180" t="n">
        <v>0</v>
      </c>
      <c r="P5180" t="n">
        <v>0</v>
      </c>
      <c r="Q5180" t="n">
        <v>0</v>
      </c>
      <c r="R5180" s="2" t="inlineStr"/>
    </row>
    <row r="5181" ht="15" customHeight="1">
      <c r="A5181" t="inlineStr">
        <is>
          <t>A 50627-2022</t>
        </is>
      </c>
      <c r="B5181" s="1" t="n">
        <v>44866</v>
      </c>
      <c r="C5181" s="1" t="n">
        <v>45962</v>
      </c>
      <c r="D5181" t="inlineStr">
        <is>
          <t>JÖNKÖPINGS LÄN</t>
        </is>
      </c>
      <c r="E5181" t="inlineStr">
        <is>
          <t>SÄVSJÖ</t>
        </is>
      </c>
      <c r="G5181" t="n">
        <v>1.1</v>
      </c>
      <c r="H5181" t="n">
        <v>0</v>
      </c>
      <c r="I5181" t="n">
        <v>0</v>
      </c>
      <c r="J5181" t="n">
        <v>0</v>
      </c>
      <c r="K5181" t="n">
        <v>0</v>
      </c>
      <c r="L5181" t="n">
        <v>0</v>
      </c>
      <c r="M5181" t="n">
        <v>0</v>
      </c>
      <c r="N5181" t="n">
        <v>0</v>
      </c>
      <c r="O5181" t="n">
        <v>0</v>
      </c>
      <c r="P5181" t="n">
        <v>0</v>
      </c>
      <c r="Q5181" t="n">
        <v>0</v>
      </c>
      <c r="R5181" s="2" t="inlineStr"/>
    </row>
    <row r="5182" ht="15" customHeight="1">
      <c r="A5182" t="inlineStr">
        <is>
          <t>A 31235-2025</t>
        </is>
      </c>
      <c r="B5182" s="1" t="n">
        <v>45832.83453703704</v>
      </c>
      <c r="C5182" s="1" t="n">
        <v>45962</v>
      </c>
      <c r="D5182" t="inlineStr">
        <is>
          <t>JÖNKÖPINGS LÄN</t>
        </is>
      </c>
      <c r="E5182" t="inlineStr">
        <is>
          <t>GNOSJÖ</t>
        </is>
      </c>
      <c r="G5182" t="n">
        <v>4</v>
      </c>
      <c r="H5182" t="n">
        <v>0</v>
      </c>
      <c r="I5182" t="n">
        <v>0</v>
      </c>
      <c r="J5182" t="n">
        <v>0</v>
      </c>
      <c r="K5182" t="n">
        <v>0</v>
      </c>
      <c r="L5182" t="n">
        <v>0</v>
      </c>
      <c r="M5182" t="n">
        <v>0</v>
      </c>
      <c r="N5182" t="n">
        <v>0</v>
      </c>
      <c r="O5182" t="n">
        <v>0</v>
      </c>
      <c r="P5182" t="n">
        <v>0</v>
      </c>
      <c r="Q5182" t="n">
        <v>0</v>
      </c>
      <c r="R5182" s="2" t="inlineStr"/>
    </row>
    <row r="5183" ht="15" customHeight="1">
      <c r="A5183" t="inlineStr">
        <is>
          <t>A 32333-2022</t>
        </is>
      </c>
      <c r="B5183" s="1" t="n">
        <v>44781.72799768519</v>
      </c>
      <c r="C5183" s="1" t="n">
        <v>45962</v>
      </c>
      <c r="D5183" t="inlineStr">
        <is>
          <t>JÖNKÖPINGS LÄN</t>
        </is>
      </c>
      <c r="E5183" t="inlineStr">
        <is>
          <t>EKSJÖ</t>
        </is>
      </c>
      <c r="G5183" t="n">
        <v>0.9</v>
      </c>
      <c r="H5183" t="n">
        <v>0</v>
      </c>
      <c r="I5183" t="n">
        <v>0</v>
      </c>
      <c r="J5183" t="n">
        <v>0</v>
      </c>
      <c r="K5183" t="n">
        <v>0</v>
      </c>
      <c r="L5183" t="n">
        <v>0</v>
      </c>
      <c r="M5183" t="n">
        <v>0</v>
      </c>
      <c r="N5183" t="n">
        <v>0</v>
      </c>
      <c r="O5183" t="n">
        <v>0</v>
      </c>
      <c r="P5183" t="n">
        <v>0</v>
      </c>
      <c r="Q5183" t="n">
        <v>0</v>
      </c>
      <c r="R5183" s="2" t="inlineStr"/>
    </row>
    <row r="5184" ht="15" customHeight="1">
      <c r="A5184" t="inlineStr">
        <is>
          <t>A 32336-2022</t>
        </is>
      </c>
      <c r="B5184" s="1" t="n">
        <v>44781.7577662037</v>
      </c>
      <c r="C5184" s="1" t="n">
        <v>45962</v>
      </c>
      <c r="D5184" t="inlineStr">
        <is>
          <t>JÖNKÖPINGS LÄN</t>
        </is>
      </c>
      <c r="E5184" t="inlineStr">
        <is>
          <t>EKSJÖ</t>
        </is>
      </c>
      <c r="G5184" t="n">
        <v>1.1</v>
      </c>
      <c r="H5184" t="n">
        <v>0</v>
      </c>
      <c r="I5184" t="n">
        <v>0</v>
      </c>
      <c r="J5184" t="n">
        <v>0</v>
      </c>
      <c r="K5184" t="n">
        <v>0</v>
      </c>
      <c r="L5184" t="n">
        <v>0</v>
      </c>
      <c r="M5184" t="n">
        <v>0</v>
      </c>
      <c r="N5184" t="n">
        <v>0</v>
      </c>
      <c r="O5184" t="n">
        <v>0</v>
      </c>
      <c r="P5184" t="n">
        <v>0</v>
      </c>
      <c r="Q5184" t="n">
        <v>0</v>
      </c>
      <c r="R5184" s="2" t="inlineStr"/>
    </row>
    <row r="5185" ht="15" customHeight="1">
      <c r="A5185" t="inlineStr">
        <is>
          <t>A 47409-2022</t>
        </is>
      </c>
      <c r="B5185" s="1" t="n">
        <v>44851</v>
      </c>
      <c r="C5185" s="1" t="n">
        <v>45962</v>
      </c>
      <c r="D5185" t="inlineStr">
        <is>
          <t>JÖNKÖPINGS LÄN</t>
        </is>
      </c>
      <c r="E5185" t="inlineStr">
        <is>
          <t>ANEBY</t>
        </is>
      </c>
      <c r="G5185" t="n">
        <v>0.5</v>
      </c>
      <c r="H5185" t="n">
        <v>0</v>
      </c>
      <c r="I5185" t="n">
        <v>0</v>
      </c>
      <c r="J5185" t="n">
        <v>0</v>
      </c>
      <c r="K5185" t="n">
        <v>0</v>
      </c>
      <c r="L5185" t="n">
        <v>0</v>
      </c>
      <c r="M5185" t="n">
        <v>0</v>
      </c>
      <c r="N5185" t="n">
        <v>0</v>
      </c>
      <c r="O5185" t="n">
        <v>0</v>
      </c>
      <c r="P5185" t="n">
        <v>0</v>
      </c>
      <c r="Q5185" t="n">
        <v>0</v>
      </c>
      <c r="R5185" s="2" t="inlineStr"/>
    </row>
    <row r="5186" ht="15" customHeight="1">
      <c r="A5186" t="inlineStr">
        <is>
          <t>A 11791-2023</t>
        </is>
      </c>
      <c r="B5186" s="1" t="n">
        <v>44994</v>
      </c>
      <c r="C5186" s="1" t="n">
        <v>45962</v>
      </c>
      <c r="D5186" t="inlineStr">
        <is>
          <t>JÖNKÖPINGS LÄN</t>
        </is>
      </c>
      <c r="E5186" t="inlineStr">
        <is>
          <t>VAGGERYD</t>
        </is>
      </c>
      <c r="F5186" t="inlineStr">
        <is>
          <t>Sveaskog</t>
        </is>
      </c>
      <c r="G5186" t="n">
        <v>1.8</v>
      </c>
      <c r="H5186" t="n">
        <v>0</v>
      </c>
      <c r="I5186" t="n">
        <v>0</v>
      </c>
      <c r="J5186" t="n">
        <v>0</v>
      </c>
      <c r="K5186" t="n">
        <v>0</v>
      </c>
      <c r="L5186" t="n">
        <v>0</v>
      </c>
      <c r="M5186" t="n">
        <v>0</v>
      </c>
      <c r="N5186" t="n">
        <v>0</v>
      </c>
      <c r="O5186" t="n">
        <v>0</v>
      </c>
      <c r="P5186" t="n">
        <v>0</v>
      </c>
      <c r="Q5186" t="n">
        <v>0</v>
      </c>
      <c r="R5186" s="2" t="inlineStr"/>
    </row>
    <row r="5187" ht="15" customHeight="1">
      <c r="A5187" t="inlineStr">
        <is>
          <t>A 22671-2025</t>
        </is>
      </c>
      <c r="B5187" s="1" t="n">
        <v>45789.49032407408</v>
      </c>
      <c r="C5187" s="1" t="n">
        <v>45962</v>
      </c>
      <c r="D5187" t="inlineStr">
        <is>
          <t>JÖNKÖPINGS LÄN</t>
        </is>
      </c>
      <c r="E5187" t="inlineStr">
        <is>
          <t>TRANÅS</t>
        </is>
      </c>
      <c r="G5187" t="n">
        <v>2.5</v>
      </c>
      <c r="H5187" t="n">
        <v>0</v>
      </c>
      <c r="I5187" t="n">
        <v>0</v>
      </c>
      <c r="J5187" t="n">
        <v>0</v>
      </c>
      <c r="K5187" t="n">
        <v>0</v>
      </c>
      <c r="L5187" t="n">
        <v>0</v>
      </c>
      <c r="M5187" t="n">
        <v>0</v>
      </c>
      <c r="N5187" t="n">
        <v>0</v>
      </c>
      <c r="O5187" t="n">
        <v>0</v>
      </c>
      <c r="P5187" t="n">
        <v>0</v>
      </c>
      <c r="Q5187" t="n">
        <v>0</v>
      </c>
      <c r="R5187" s="2" t="inlineStr"/>
    </row>
    <row r="5188" ht="15" customHeight="1">
      <c r="A5188" t="inlineStr">
        <is>
          <t>A 45280-2024</t>
        </is>
      </c>
      <c r="B5188" s="1" t="n">
        <v>45576.37633101852</v>
      </c>
      <c r="C5188" s="1" t="n">
        <v>45962</v>
      </c>
      <c r="D5188" t="inlineStr">
        <is>
          <t>JÖNKÖPINGS LÄN</t>
        </is>
      </c>
      <c r="E5188" t="inlineStr">
        <is>
          <t>VÄRNAMO</t>
        </is>
      </c>
      <c r="G5188" t="n">
        <v>3.4</v>
      </c>
      <c r="H5188" t="n">
        <v>0</v>
      </c>
      <c r="I5188" t="n">
        <v>0</v>
      </c>
      <c r="J5188" t="n">
        <v>0</v>
      </c>
      <c r="K5188" t="n">
        <v>0</v>
      </c>
      <c r="L5188" t="n">
        <v>0</v>
      </c>
      <c r="M5188" t="n">
        <v>0</v>
      </c>
      <c r="N5188" t="n">
        <v>0</v>
      </c>
      <c r="O5188" t="n">
        <v>0</v>
      </c>
      <c r="P5188" t="n">
        <v>0</v>
      </c>
      <c r="Q5188" t="n">
        <v>0</v>
      </c>
      <c r="R5188" s="2" t="inlineStr"/>
    </row>
    <row r="5189" ht="15" customHeight="1">
      <c r="A5189" t="inlineStr">
        <is>
          <t>A 27036-2023</t>
        </is>
      </c>
      <c r="B5189" s="1" t="n">
        <v>45095.5359375</v>
      </c>
      <c r="C5189" s="1" t="n">
        <v>45962</v>
      </c>
      <c r="D5189" t="inlineStr">
        <is>
          <t>JÖNKÖPINGS LÄN</t>
        </is>
      </c>
      <c r="E5189" t="inlineStr">
        <is>
          <t>GNOSJÖ</t>
        </is>
      </c>
      <c r="G5189" t="n">
        <v>1.6</v>
      </c>
      <c r="H5189" t="n">
        <v>0</v>
      </c>
      <c r="I5189" t="n">
        <v>0</v>
      </c>
      <c r="J5189" t="n">
        <v>0</v>
      </c>
      <c r="K5189" t="n">
        <v>0</v>
      </c>
      <c r="L5189" t="n">
        <v>0</v>
      </c>
      <c r="M5189" t="n">
        <v>0</v>
      </c>
      <c r="N5189" t="n">
        <v>0</v>
      </c>
      <c r="O5189" t="n">
        <v>0</v>
      </c>
      <c r="P5189" t="n">
        <v>0</v>
      </c>
      <c r="Q5189" t="n">
        <v>0</v>
      </c>
      <c r="R5189" s="2" t="inlineStr"/>
    </row>
    <row r="5190" ht="15" customHeight="1">
      <c r="A5190" t="inlineStr">
        <is>
          <t>A 61351-2023</t>
        </is>
      </c>
      <c r="B5190" s="1" t="n">
        <v>45264.6027662037</v>
      </c>
      <c r="C5190" s="1" t="n">
        <v>45962</v>
      </c>
      <c r="D5190" t="inlineStr">
        <is>
          <t>JÖNKÖPINGS LÄN</t>
        </is>
      </c>
      <c r="E5190" t="inlineStr">
        <is>
          <t>VÄRNAMO</t>
        </is>
      </c>
      <c r="G5190" t="n">
        <v>0.7</v>
      </c>
      <c r="H5190" t="n">
        <v>0</v>
      </c>
      <c r="I5190" t="n">
        <v>0</v>
      </c>
      <c r="J5190" t="n">
        <v>0</v>
      </c>
      <c r="K5190" t="n">
        <v>0</v>
      </c>
      <c r="L5190" t="n">
        <v>0</v>
      </c>
      <c r="M5190" t="n">
        <v>0</v>
      </c>
      <c r="N5190" t="n">
        <v>0</v>
      </c>
      <c r="O5190" t="n">
        <v>0</v>
      </c>
      <c r="P5190" t="n">
        <v>0</v>
      </c>
      <c r="Q5190" t="n">
        <v>0</v>
      </c>
      <c r="R5190" s="2" t="inlineStr"/>
    </row>
    <row r="5191" ht="15" customHeight="1">
      <c r="A5191" t="inlineStr">
        <is>
          <t>A 13293-2025</t>
        </is>
      </c>
      <c r="B5191" s="1" t="n">
        <v>45735.57248842593</v>
      </c>
      <c r="C5191" s="1" t="n">
        <v>45962</v>
      </c>
      <c r="D5191" t="inlineStr">
        <is>
          <t>JÖNKÖPINGS LÄN</t>
        </is>
      </c>
      <c r="E5191" t="inlineStr">
        <is>
          <t>GISLAVED</t>
        </is>
      </c>
      <c r="G5191" t="n">
        <v>2.1</v>
      </c>
      <c r="H5191" t="n">
        <v>0</v>
      </c>
      <c r="I5191" t="n">
        <v>0</v>
      </c>
      <c r="J5191" t="n">
        <v>0</v>
      </c>
      <c r="K5191" t="n">
        <v>0</v>
      </c>
      <c r="L5191" t="n">
        <v>0</v>
      </c>
      <c r="M5191" t="n">
        <v>0</v>
      </c>
      <c r="N5191" t="n">
        <v>0</v>
      </c>
      <c r="O5191" t="n">
        <v>0</v>
      </c>
      <c r="P5191" t="n">
        <v>0</v>
      </c>
      <c r="Q5191" t="n">
        <v>0</v>
      </c>
      <c r="R5191" s="2" t="inlineStr"/>
    </row>
    <row r="5192" ht="15" customHeight="1">
      <c r="A5192" t="inlineStr">
        <is>
          <t>A 31317-2025</t>
        </is>
      </c>
      <c r="B5192" s="1" t="n">
        <v>45833.40255787037</v>
      </c>
      <c r="C5192" s="1" t="n">
        <v>45962</v>
      </c>
      <c r="D5192" t="inlineStr">
        <is>
          <t>JÖNKÖPINGS LÄN</t>
        </is>
      </c>
      <c r="E5192" t="inlineStr">
        <is>
          <t>VÄRNAMO</t>
        </is>
      </c>
      <c r="G5192" t="n">
        <v>7.2</v>
      </c>
      <c r="H5192" t="n">
        <v>0</v>
      </c>
      <c r="I5192" t="n">
        <v>0</v>
      </c>
      <c r="J5192" t="n">
        <v>0</v>
      </c>
      <c r="K5192" t="n">
        <v>0</v>
      </c>
      <c r="L5192" t="n">
        <v>0</v>
      </c>
      <c r="M5192" t="n">
        <v>0</v>
      </c>
      <c r="N5192" t="n">
        <v>0</v>
      </c>
      <c r="O5192" t="n">
        <v>0</v>
      </c>
      <c r="P5192" t="n">
        <v>0</v>
      </c>
      <c r="Q5192" t="n">
        <v>0</v>
      </c>
      <c r="R5192" s="2" t="inlineStr"/>
    </row>
    <row r="5193" ht="15" customHeight="1">
      <c r="A5193" t="inlineStr">
        <is>
          <t>A 31194-2025</t>
        </is>
      </c>
      <c r="B5193" s="1" t="n">
        <v>45832.68423611111</v>
      </c>
      <c r="C5193" s="1" t="n">
        <v>45962</v>
      </c>
      <c r="D5193" t="inlineStr">
        <is>
          <t>JÖNKÖPINGS LÄN</t>
        </is>
      </c>
      <c r="E5193" t="inlineStr">
        <is>
          <t>VAGGERYD</t>
        </is>
      </c>
      <c r="G5193" t="n">
        <v>0.9</v>
      </c>
      <c r="H5193" t="n">
        <v>0</v>
      </c>
      <c r="I5193" t="n">
        <v>0</v>
      </c>
      <c r="J5193" t="n">
        <v>0</v>
      </c>
      <c r="K5193" t="n">
        <v>0</v>
      </c>
      <c r="L5193" t="n">
        <v>0</v>
      </c>
      <c r="M5193" t="n">
        <v>0</v>
      </c>
      <c r="N5193" t="n">
        <v>0</v>
      </c>
      <c r="O5193" t="n">
        <v>0</v>
      </c>
      <c r="P5193" t="n">
        <v>0</v>
      </c>
      <c r="Q5193" t="n">
        <v>0</v>
      </c>
      <c r="R5193" s="2" t="inlineStr"/>
    </row>
    <row r="5194" ht="15" customHeight="1">
      <c r="A5194" t="inlineStr">
        <is>
          <t>A 33575-2022</t>
        </is>
      </c>
      <c r="B5194" s="1" t="n">
        <v>44789</v>
      </c>
      <c r="C5194" s="1" t="n">
        <v>45962</v>
      </c>
      <c r="D5194" t="inlineStr">
        <is>
          <t>JÖNKÖPINGS LÄN</t>
        </is>
      </c>
      <c r="E5194" t="inlineStr">
        <is>
          <t>GNOSJÖ</t>
        </is>
      </c>
      <c r="G5194" t="n">
        <v>2.4</v>
      </c>
      <c r="H5194" t="n">
        <v>0</v>
      </c>
      <c r="I5194" t="n">
        <v>0</v>
      </c>
      <c r="J5194" t="n">
        <v>0</v>
      </c>
      <c r="K5194" t="n">
        <v>0</v>
      </c>
      <c r="L5194" t="n">
        <v>0</v>
      </c>
      <c r="M5194" t="n">
        <v>0</v>
      </c>
      <c r="N5194" t="n">
        <v>0</v>
      </c>
      <c r="O5194" t="n">
        <v>0</v>
      </c>
      <c r="P5194" t="n">
        <v>0</v>
      </c>
      <c r="Q5194" t="n">
        <v>0</v>
      </c>
      <c r="R5194" s="2" t="inlineStr"/>
    </row>
    <row r="5195" ht="15" customHeight="1">
      <c r="A5195" t="inlineStr">
        <is>
          <t>A 15251-2024</t>
        </is>
      </c>
      <c r="B5195" s="1" t="n">
        <v>45400.53930555555</v>
      </c>
      <c r="C5195" s="1" t="n">
        <v>45962</v>
      </c>
      <c r="D5195" t="inlineStr">
        <is>
          <t>JÖNKÖPINGS LÄN</t>
        </is>
      </c>
      <c r="E5195" t="inlineStr">
        <is>
          <t>HABO</t>
        </is>
      </c>
      <c r="G5195" t="n">
        <v>0.3</v>
      </c>
      <c r="H5195" t="n">
        <v>0</v>
      </c>
      <c r="I5195" t="n">
        <v>0</v>
      </c>
      <c r="J5195" t="n">
        <v>0</v>
      </c>
      <c r="K5195" t="n">
        <v>0</v>
      </c>
      <c r="L5195" t="n">
        <v>0</v>
      </c>
      <c r="M5195" t="n">
        <v>0</v>
      </c>
      <c r="N5195" t="n">
        <v>0</v>
      </c>
      <c r="O5195" t="n">
        <v>0</v>
      </c>
      <c r="P5195" t="n">
        <v>0</v>
      </c>
      <c r="Q5195" t="n">
        <v>0</v>
      </c>
      <c r="R5195" s="2" t="inlineStr"/>
    </row>
    <row r="5196" ht="15" customHeight="1">
      <c r="A5196" t="inlineStr">
        <is>
          <t>A 38923-2025</t>
        </is>
      </c>
      <c r="B5196" s="1" t="n">
        <v>45887.62953703704</v>
      </c>
      <c r="C5196" s="1" t="n">
        <v>45962</v>
      </c>
      <c r="D5196" t="inlineStr">
        <is>
          <t>JÖNKÖPINGS LÄN</t>
        </is>
      </c>
      <c r="E5196" t="inlineStr">
        <is>
          <t>JÖNKÖPING</t>
        </is>
      </c>
      <c r="G5196" t="n">
        <v>1.1</v>
      </c>
      <c r="H5196" t="n">
        <v>0</v>
      </c>
      <c r="I5196" t="n">
        <v>0</v>
      </c>
      <c r="J5196" t="n">
        <v>0</v>
      </c>
      <c r="K5196" t="n">
        <v>0</v>
      </c>
      <c r="L5196" t="n">
        <v>0</v>
      </c>
      <c r="M5196" t="n">
        <v>0</v>
      </c>
      <c r="N5196" t="n">
        <v>0</v>
      </c>
      <c r="O5196" t="n">
        <v>0</v>
      </c>
      <c r="P5196" t="n">
        <v>0</v>
      </c>
      <c r="Q5196" t="n">
        <v>0</v>
      </c>
      <c r="R5196" s="2" t="inlineStr"/>
    </row>
    <row r="5197" ht="15" customHeight="1">
      <c r="A5197" t="inlineStr">
        <is>
          <t>A 45824-2022</t>
        </is>
      </c>
      <c r="B5197" s="1" t="n">
        <v>44846</v>
      </c>
      <c r="C5197" s="1" t="n">
        <v>45962</v>
      </c>
      <c r="D5197" t="inlineStr">
        <is>
          <t>JÖNKÖPINGS LÄN</t>
        </is>
      </c>
      <c r="E5197" t="inlineStr">
        <is>
          <t>VÄRNAMO</t>
        </is>
      </c>
      <c r="G5197" t="n">
        <v>1.3</v>
      </c>
      <c r="H5197" t="n">
        <v>0</v>
      </c>
      <c r="I5197" t="n">
        <v>0</v>
      </c>
      <c r="J5197" t="n">
        <v>0</v>
      </c>
      <c r="K5197" t="n">
        <v>0</v>
      </c>
      <c r="L5197" t="n">
        <v>0</v>
      </c>
      <c r="M5197" t="n">
        <v>0</v>
      </c>
      <c r="N5197" t="n">
        <v>0</v>
      </c>
      <c r="O5197" t="n">
        <v>0</v>
      </c>
      <c r="P5197" t="n">
        <v>0</v>
      </c>
      <c r="Q5197" t="n">
        <v>0</v>
      </c>
      <c r="R5197" s="2" t="inlineStr"/>
    </row>
    <row r="5198" ht="15" customHeight="1">
      <c r="A5198" t="inlineStr">
        <is>
          <t>A 59798-2024</t>
        </is>
      </c>
      <c r="B5198" s="1" t="n">
        <v>45639.59314814815</v>
      </c>
      <c r="C5198" s="1" t="n">
        <v>45962</v>
      </c>
      <c r="D5198" t="inlineStr">
        <is>
          <t>JÖNKÖPINGS LÄN</t>
        </is>
      </c>
      <c r="E5198" t="inlineStr">
        <is>
          <t>VAGGERYD</t>
        </is>
      </c>
      <c r="F5198" t="inlineStr">
        <is>
          <t>Sveaskog</t>
        </is>
      </c>
      <c r="G5198" t="n">
        <v>11.6</v>
      </c>
      <c r="H5198" t="n">
        <v>0</v>
      </c>
      <c r="I5198" t="n">
        <v>0</v>
      </c>
      <c r="J5198" t="n">
        <v>0</v>
      </c>
      <c r="K5198" t="n">
        <v>0</v>
      </c>
      <c r="L5198" t="n">
        <v>0</v>
      </c>
      <c r="M5198" t="n">
        <v>0</v>
      </c>
      <c r="N5198" t="n">
        <v>0</v>
      </c>
      <c r="O5198" t="n">
        <v>0</v>
      </c>
      <c r="P5198" t="n">
        <v>0</v>
      </c>
      <c r="Q5198" t="n">
        <v>0</v>
      </c>
      <c r="R5198" s="2" t="inlineStr"/>
    </row>
    <row r="5199" ht="15" customHeight="1">
      <c r="A5199" t="inlineStr">
        <is>
          <t>A 31214-2025</t>
        </is>
      </c>
      <c r="B5199" s="1" t="n">
        <v>45832.74289351852</v>
      </c>
      <c r="C5199" s="1" t="n">
        <v>45962</v>
      </c>
      <c r="D5199" t="inlineStr">
        <is>
          <t>JÖNKÖPINGS LÄN</t>
        </is>
      </c>
      <c r="E5199" t="inlineStr">
        <is>
          <t>VÄRNAMO</t>
        </is>
      </c>
      <c r="G5199" t="n">
        <v>0.8</v>
      </c>
      <c r="H5199" t="n">
        <v>0</v>
      </c>
      <c r="I5199" t="n">
        <v>0</v>
      </c>
      <c r="J5199" t="n">
        <v>0</v>
      </c>
      <c r="K5199" t="n">
        <v>0</v>
      </c>
      <c r="L5199" t="n">
        <v>0</v>
      </c>
      <c r="M5199" t="n">
        <v>0</v>
      </c>
      <c r="N5199" t="n">
        <v>0</v>
      </c>
      <c r="O5199" t="n">
        <v>0</v>
      </c>
      <c r="P5199" t="n">
        <v>0</v>
      </c>
      <c r="Q5199" t="n">
        <v>0</v>
      </c>
      <c r="R5199" s="2" t="inlineStr"/>
    </row>
    <row r="5200" ht="15" customHeight="1">
      <c r="A5200" t="inlineStr">
        <is>
          <t>A 30539-2025</t>
        </is>
      </c>
      <c r="B5200" s="1" t="n">
        <v>45831.36936342593</v>
      </c>
      <c r="C5200" s="1" t="n">
        <v>45962</v>
      </c>
      <c r="D5200" t="inlineStr">
        <is>
          <t>JÖNKÖPINGS LÄN</t>
        </is>
      </c>
      <c r="E5200" t="inlineStr">
        <is>
          <t>GISLAVED</t>
        </is>
      </c>
      <c r="G5200" t="n">
        <v>2.2</v>
      </c>
      <c r="H5200" t="n">
        <v>0</v>
      </c>
      <c r="I5200" t="n">
        <v>0</v>
      </c>
      <c r="J5200" t="n">
        <v>0</v>
      </c>
      <c r="K5200" t="n">
        <v>0</v>
      </c>
      <c r="L5200" t="n">
        <v>0</v>
      </c>
      <c r="M5200" t="n">
        <v>0</v>
      </c>
      <c r="N5200" t="n">
        <v>0</v>
      </c>
      <c r="O5200" t="n">
        <v>0</v>
      </c>
      <c r="P5200" t="n">
        <v>0</v>
      </c>
      <c r="Q5200" t="n">
        <v>0</v>
      </c>
      <c r="R5200" s="2" t="inlineStr"/>
    </row>
    <row r="5201" ht="15" customHeight="1">
      <c r="A5201" t="inlineStr">
        <is>
          <t>A 31231-2025</t>
        </is>
      </c>
      <c r="B5201" s="1" t="n">
        <v>45832.81900462963</v>
      </c>
      <c r="C5201" s="1" t="n">
        <v>45962</v>
      </c>
      <c r="D5201" t="inlineStr">
        <is>
          <t>JÖNKÖPINGS LÄN</t>
        </is>
      </c>
      <c r="E5201" t="inlineStr">
        <is>
          <t>GNOSJÖ</t>
        </is>
      </c>
      <c r="G5201" t="n">
        <v>1.8</v>
      </c>
      <c r="H5201" t="n">
        <v>0</v>
      </c>
      <c r="I5201" t="n">
        <v>0</v>
      </c>
      <c r="J5201" t="n">
        <v>0</v>
      </c>
      <c r="K5201" t="n">
        <v>0</v>
      </c>
      <c r="L5201" t="n">
        <v>0</v>
      </c>
      <c r="M5201" t="n">
        <v>0</v>
      </c>
      <c r="N5201" t="n">
        <v>0</v>
      </c>
      <c r="O5201" t="n">
        <v>0</v>
      </c>
      <c r="P5201" t="n">
        <v>0</v>
      </c>
      <c r="Q5201" t="n">
        <v>0</v>
      </c>
      <c r="R5201" s="2" t="inlineStr"/>
    </row>
    <row r="5202" ht="15" customHeight="1">
      <c r="A5202" t="inlineStr">
        <is>
          <t>A 8874-2022</t>
        </is>
      </c>
      <c r="B5202" s="1" t="n">
        <v>44614</v>
      </c>
      <c r="C5202" s="1" t="n">
        <v>45962</v>
      </c>
      <c r="D5202" t="inlineStr">
        <is>
          <t>JÖNKÖPINGS LÄN</t>
        </is>
      </c>
      <c r="E5202" t="inlineStr">
        <is>
          <t>TRANÅS</t>
        </is>
      </c>
      <c r="G5202" t="n">
        <v>0.3</v>
      </c>
      <c r="H5202" t="n">
        <v>0</v>
      </c>
      <c r="I5202" t="n">
        <v>0</v>
      </c>
      <c r="J5202" t="n">
        <v>0</v>
      </c>
      <c r="K5202" t="n">
        <v>0</v>
      </c>
      <c r="L5202" t="n">
        <v>0</v>
      </c>
      <c r="M5202" t="n">
        <v>0</v>
      </c>
      <c r="N5202" t="n">
        <v>0</v>
      </c>
      <c r="O5202" t="n">
        <v>0</v>
      </c>
      <c r="P5202" t="n">
        <v>0</v>
      </c>
      <c r="Q5202" t="n">
        <v>0</v>
      </c>
      <c r="R5202" s="2" t="inlineStr"/>
    </row>
    <row r="5203" ht="15" customHeight="1">
      <c r="A5203" t="inlineStr">
        <is>
          <t>A 9058-2022</t>
        </is>
      </c>
      <c r="B5203" s="1" t="n">
        <v>44615</v>
      </c>
      <c r="C5203" s="1" t="n">
        <v>45962</v>
      </c>
      <c r="D5203" t="inlineStr">
        <is>
          <t>JÖNKÖPINGS LÄN</t>
        </is>
      </c>
      <c r="E5203" t="inlineStr">
        <is>
          <t>EKSJÖ</t>
        </is>
      </c>
      <c r="G5203" t="n">
        <v>1.4</v>
      </c>
      <c r="H5203" t="n">
        <v>0</v>
      </c>
      <c r="I5203" t="n">
        <v>0</v>
      </c>
      <c r="J5203" t="n">
        <v>0</v>
      </c>
      <c r="K5203" t="n">
        <v>0</v>
      </c>
      <c r="L5203" t="n">
        <v>0</v>
      </c>
      <c r="M5203" t="n">
        <v>0</v>
      </c>
      <c r="N5203" t="n">
        <v>0</v>
      </c>
      <c r="O5203" t="n">
        <v>0</v>
      </c>
      <c r="P5203" t="n">
        <v>0</v>
      </c>
      <c r="Q5203" t="n">
        <v>0</v>
      </c>
      <c r="R5203" s="2" t="inlineStr"/>
    </row>
    <row r="5204" ht="15" customHeight="1">
      <c r="A5204" t="inlineStr">
        <is>
          <t>A 30346-2025</t>
        </is>
      </c>
      <c r="B5204" s="1" t="n">
        <v>45827</v>
      </c>
      <c r="C5204" s="1" t="n">
        <v>45962</v>
      </c>
      <c r="D5204" t="inlineStr">
        <is>
          <t>JÖNKÖPINGS LÄN</t>
        </is>
      </c>
      <c r="E5204" t="inlineStr">
        <is>
          <t>VETLANDA</t>
        </is>
      </c>
      <c r="G5204" t="n">
        <v>1.4</v>
      </c>
      <c r="H5204" t="n">
        <v>0</v>
      </c>
      <c r="I5204" t="n">
        <v>0</v>
      </c>
      <c r="J5204" t="n">
        <v>0</v>
      </c>
      <c r="K5204" t="n">
        <v>0</v>
      </c>
      <c r="L5204" t="n">
        <v>0</v>
      </c>
      <c r="M5204" t="n">
        <v>0</v>
      </c>
      <c r="N5204" t="n">
        <v>0</v>
      </c>
      <c r="O5204" t="n">
        <v>0</v>
      </c>
      <c r="P5204" t="n">
        <v>0</v>
      </c>
      <c r="Q5204" t="n">
        <v>0</v>
      </c>
      <c r="R5204" s="2" t="inlineStr"/>
    </row>
    <row r="5205" ht="15" customHeight="1">
      <c r="A5205" t="inlineStr">
        <is>
          <t>A 28377-2021</t>
        </is>
      </c>
      <c r="B5205" s="1" t="n">
        <v>44356.45002314815</v>
      </c>
      <c r="C5205" s="1" t="n">
        <v>45962</v>
      </c>
      <c r="D5205" t="inlineStr">
        <is>
          <t>JÖNKÖPINGS LÄN</t>
        </is>
      </c>
      <c r="E5205" t="inlineStr">
        <is>
          <t>NÄSSJÖ</t>
        </is>
      </c>
      <c r="G5205" t="n">
        <v>2.1</v>
      </c>
      <c r="H5205" t="n">
        <v>0</v>
      </c>
      <c r="I5205" t="n">
        <v>0</v>
      </c>
      <c r="J5205" t="n">
        <v>0</v>
      </c>
      <c r="K5205" t="n">
        <v>0</v>
      </c>
      <c r="L5205" t="n">
        <v>0</v>
      </c>
      <c r="M5205" t="n">
        <v>0</v>
      </c>
      <c r="N5205" t="n">
        <v>0</v>
      </c>
      <c r="O5205" t="n">
        <v>0</v>
      </c>
      <c r="P5205" t="n">
        <v>0</v>
      </c>
      <c r="Q5205" t="n">
        <v>0</v>
      </c>
      <c r="R5205" s="2" t="inlineStr"/>
    </row>
    <row r="5206" ht="15" customHeight="1">
      <c r="A5206" t="inlineStr">
        <is>
          <t>A 3884-2024</t>
        </is>
      </c>
      <c r="B5206" s="1" t="n">
        <v>45322</v>
      </c>
      <c r="C5206" s="1" t="n">
        <v>45962</v>
      </c>
      <c r="D5206" t="inlineStr">
        <is>
          <t>JÖNKÖPINGS LÄN</t>
        </is>
      </c>
      <c r="E5206" t="inlineStr">
        <is>
          <t>NÄSSJÖ</t>
        </is>
      </c>
      <c r="G5206" t="n">
        <v>0.5</v>
      </c>
      <c r="H5206" t="n">
        <v>0</v>
      </c>
      <c r="I5206" t="n">
        <v>0</v>
      </c>
      <c r="J5206" t="n">
        <v>0</v>
      </c>
      <c r="K5206" t="n">
        <v>0</v>
      </c>
      <c r="L5206" t="n">
        <v>0</v>
      </c>
      <c r="M5206" t="n">
        <v>0</v>
      </c>
      <c r="N5206" t="n">
        <v>0</v>
      </c>
      <c r="O5206" t="n">
        <v>0</v>
      </c>
      <c r="P5206" t="n">
        <v>0</v>
      </c>
      <c r="Q5206" t="n">
        <v>0</v>
      </c>
      <c r="R5206" s="2" t="inlineStr"/>
    </row>
    <row r="5207" ht="15" customHeight="1">
      <c r="A5207" t="inlineStr">
        <is>
          <t>A 41956-2024</t>
        </is>
      </c>
      <c r="B5207" s="1" t="n">
        <v>45561.58900462963</v>
      </c>
      <c r="C5207" s="1" t="n">
        <v>45962</v>
      </c>
      <c r="D5207" t="inlineStr">
        <is>
          <t>JÖNKÖPINGS LÄN</t>
        </is>
      </c>
      <c r="E5207" t="inlineStr">
        <is>
          <t>VAGGERYD</t>
        </is>
      </c>
      <c r="G5207" t="n">
        <v>8.9</v>
      </c>
      <c r="H5207" t="n">
        <v>0</v>
      </c>
      <c r="I5207" t="n">
        <v>0</v>
      </c>
      <c r="J5207" t="n">
        <v>0</v>
      </c>
      <c r="K5207" t="n">
        <v>0</v>
      </c>
      <c r="L5207" t="n">
        <v>0</v>
      </c>
      <c r="M5207" t="n">
        <v>0</v>
      </c>
      <c r="N5207" t="n">
        <v>0</v>
      </c>
      <c r="O5207" t="n">
        <v>0</v>
      </c>
      <c r="P5207" t="n">
        <v>0</v>
      </c>
      <c r="Q5207" t="n">
        <v>0</v>
      </c>
      <c r="R5207" s="2" t="inlineStr"/>
    </row>
    <row r="5208" ht="15" customHeight="1">
      <c r="A5208" t="inlineStr">
        <is>
          <t>A 31548-2025</t>
        </is>
      </c>
      <c r="B5208" s="1" t="n">
        <v>45833.63770833334</v>
      </c>
      <c r="C5208" s="1" t="n">
        <v>45962</v>
      </c>
      <c r="D5208" t="inlineStr">
        <is>
          <t>JÖNKÖPINGS LÄN</t>
        </is>
      </c>
      <c r="E5208" t="inlineStr">
        <is>
          <t>JÖNKÖPING</t>
        </is>
      </c>
      <c r="G5208" t="n">
        <v>1.6</v>
      </c>
      <c r="H5208" t="n">
        <v>0</v>
      </c>
      <c r="I5208" t="n">
        <v>0</v>
      </c>
      <c r="J5208" t="n">
        <v>0</v>
      </c>
      <c r="K5208" t="n">
        <v>0</v>
      </c>
      <c r="L5208" t="n">
        <v>0</v>
      </c>
      <c r="M5208" t="n">
        <v>0</v>
      </c>
      <c r="N5208" t="n">
        <v>0</v>
      </c>
      <c r="O5208" t="n">
        <v>0</v>
      </c>
      <c r="P5208" t="n">
        <v>0</v>
      </c>
      <c r="Q5208" t="n">
        <v>0</v>
      </c>
      <c r="R5208" s="2" t="inlineStr"/>
    </row>
    <row r="5209" ht="15" customHeight="1">
      <c r="A5209" t="inlineStr">
        <is>
          <t>A 5337-2024</t>
        </is>
      </c>
      <c r="B5209" s="1" t="n">
        <v>45331.43622685185</v>
      </c>
      <c r="C5209" s="1" t="n">
        <v>45962</v>
      </c>
      <c r="D5209" t="inlineStr">
        <is>
          <t>JÖNKÖPINGS LÄN</t>
        </is>
      </c>
      <c r="E5209" t="inlineStr">
        <is>
          <t>GISLAVED</t>
        </is>
      </c>
      <c r="G5209" t="n">
        <v>1.5</v>
      </c>
      <c r="H5209" t="n">
        <v>0</v>
      </c>
      <c r="I5209" t="n">
        <v>0</v>
      </c>
      <c r="J5209" t="n">
        <v>0</v>
      </c>
      <c r="K5209" t="n">
        <v>0</v>
      </c>
      <c r="L5209" t="n">
        <v>0</v>
      </c>
      <c r="M5209" t="n">
        <v>0</v>
      </c>
      <c r="N5209" t="n">
        <v>0</v>
      </c>
      <c r="O5209" t="n">
        <v>0</v>
      </c>
      <c r="P5209" t="n">
        <v>0</v>
      </c>
      <c r="Q5209" t="n">
        <v>0</v>
      </c>
      <c r="R5209" s="2" t="inlineStr"/>
    </row>
    <row r="5210" ht="15" customHeight="1">
      <c r="A5210" t="inlineStr">
        <is>
          <t>A 12807-2022</t>
        </is>
      </c>
      <c r="B5210" s="1" t="n">
        <v>44642</v>
      </c>
      <c r="C5210" s="1" t="n">
        <v>45962</v>
      </c>
      <c r="D5210" t="inlineStr">
        <is>
          <t>JÖNKÖPINGS LÄN</t>
        </is>
      </c>
      <c r="E5210" t="inlineStr">
        <is>
          <t>SÄVSJÖ</t>
        </is>
      </c>
      <c r="G5210" t="n">
        <v>1.3</v>
      </c>
      <c r="H5210" t="n">
        <v>0</v>
      </c>
      <c r="I5210" t="n">
        <v>0</v>
      </c>
      <c r="J5210" t="n">
        <v>0</v>
      </c>
      <c r="K5210" t="n">
        <v>0</v>
      </c>
      <c r="L5210" t="n">
        <v>0</v>
      </c>
      <c r="M5210" t="n">
        <v>0</v>
      </c>
      <c r="N5210" t="n">
        <v>0</v>
      </c>
      <c r="O5210" t="n">
        <v>0</v>
      </c>
      <c r="P5210" t="n">
        <v>0</v>
      </c>
      <c r="Q5210" t="n">
        <v>0</v>
      </c>
      <c r="R5210" s="2" t="inlineStr"/>
    </row>
    <row r="5211" ht="15" customHeight="1">
      <c r="A5211" t="inlineStr">
        <is>
          <t>A 31131-2025</t>
        </is>
      </c>
      <c r="B5211" s="1" t="n">
        <v>45832.63037037037</v>
      </c>
      <c r="C5211" s="1" t="n">
        <v>45962</v>
      </c>
      <c r="D5211" t="inlineStr">
        <is>
          <t>JÖNKÖPINGS LÄN</t>
        </is>
      </c>
      <c r="E5211" t="inlineStr">
        <is>
          <t>VAGGERYD</t>
        </is>
      </c>
      <c r="G5211" t="n">
        <v>2.2</v>
      </c>
      <c r="H5211" t="n">
        <v>0</v>
      </c>
      <c r="I5211" t="n">
        <v>0</v>
      </c>
      <c r="J5211" t="n">
        <v>0</v>
      </c>
      <c r="K5211" t="n">
        <v>0</v>
      </c>
      <c r="L5211" t="n">
        <v>0</v>
      </c>
      <c r="M5211" t="n">
        <v>0</v>
      </c>
      <c r="N5211" t="n">
        <v>0</v>
      </c>
      <c r="O5211" t="n">
        <v>0</v>
      </c>
      <c r="P5211" t="n">
        <v>0</v>
      </c>
      <c r="Q5211" t="n">
        <v>0</v>
      </c>
      <c r="R5211" s="2" t="inlineStr"/>
    </row>
    <row r="5212" ht="15" customHeight="1">
      <c r="A5212" t="inlineStr">
        <is>
          <t>A 13405-2025</t>
        </is>
      </c>
      <c r="B5212" s="1" t="n">
        <v>45735.82282407407</v>
      </c>
      <c r="C5212" s="1" t="n">
        <v>45962</v>
      </c>
      <c r="D5212" t="inlineStr">
        <is>
          <t>JÖNKÖPINGS LÄN</t>
        </is>
      </c>
      <c r="E5212" t="inlineStr">
        <is>
          <t>JÖNKÖPING</t>
        </is>
      </c>
      <c r="G5212" t="n">
        <v>0.8</v>
      </c>
      <c r="H5212" t="n">
        <v>0</v>
      </c>
      <c r="I5212" t="n">
        <v>0</v>
      </c>
      <c r="J5212" t="n">
        <v>0</v>
      </c>
      <c r="K5212" t="n">
        <v>0</v>
      </c>
      <c r="L5212" t="n">
        <v>0</v>
      </c>
      <c r="M5212" t="n">
        <v>0</v>
      </c>
      <c r="N5212" t="n">
        <v>0</v>
      </c>
      <c r="O5212" t="n">
        <v>0</v>
      </c>
      <c r="P5212" t="n">
        <v>0</v>
      </c>
      <c r="Q5212" t="n">
        <v>0</v>
      </c>
      <c r="R5212" s="2" t="inlineStr"/>
    </row>
    <row r="5213" ht="15" customHeight="1">
      <c r="A5213" t="inlineStr">
        <is>
          <t>A 31524-2025</t>
        </is>
      </c>
      <c r="B5213" s="1" t="n">
        <v>45833.6091087963</v>
      </c>
      <c r="C5213" s="1" t="n">
        <v>45962</v>
      </c>
      <c r="D5213" t="inlineStr">
        <is>
          <t>JÖNKÖPINGS LÄN</t>
        </is>
      </c>
      <c r="E5213" t="inlineStr">
        <is>
          <t>VÄRNAMO</t>
        </is>
      </c>
      <c r="G5213" t="n">
        <v>10.1</v>
      </c>
      <c r="H5213" t="n">
        <v>0</v>
      </c>
      <c r="I5213" t="n">
        <v>0</v>
      </c>
      <c r="J5213" t="n">
        <v>0</v>
      </c>
      <c r="K5213" t="n">
        <v>0</v>
      </c>
      <c r="L5213" t="n">
        <v>0</v>
      </c>
      <c r="M5213" t="n">
        <v>0</v>
      </c>
      <c r="N5213" t="n">
        <v>0</v>
      </c>
      <c r="O5213" t="n">
        <v>0</v>
      </c>
      <c r="P5213" t="n">
        <v>0</v>
      </c>
      <c r="Q5213" t="n">
        <v>0</v>
      </c>
      <c r="R5213" s="2" t="inlineStr"/>
    </row>
    <row r="5214" ht="15" customHeight="1">
      <c r="A5214" t="inlineStr">
        <is>
          <t>A 9854-2025</t>
        </is>
      </c>
      <c r="B5214" s="1" t="n">
        <v>45716</v>
      </c>
      <c r="C5214" s="1" t="n">
        <v>45962</v>
      </c>
      <c r="D5214" t="inlineStr">
        <is>
          <t>JÖNKÖPINGS LÄN</t>
        </is>
      </c>
      <c r="E5214" t="inlineStr">
        <is>
          <t>GISLAVED</t>
        </is>
      </c>
      <c r="G5214" t="n">
        <v>0.7</v>
      </c>
      <c r="H5214" t="n">
        <v>0</v>
      </c>
      <c r="I5214" t="n">
        <v>0</v>
      </c>
      <c r="J5214" t="n">
        <v>0</v>
      </c>
      <c r="K5214" t="n">
        <v>0</v>
      </c>
      <c r="L5214" t="n">
        <v>0</v>
      </c>
      <c r="M5214" t="n">
        <v>0</v>
      </c>
      <c r="N5214" t="n">
        <v>0</v>
      </c>
      <c r="O5214" t="n">
        <v>0</v>
      </c>
      <c r="P5214" t="n">
        <v>0</v>
      </c>
      <c r="Q5214" t="n">
        <v>0</v>
      </c>
      <c r="R5214" s="2" t="inlineStr"/>
    </row>
    <row r="5215" ht="15" customHeight="1">
      <c r="A5215" t="inlineStr">
        <is>
          <t>A 9912-2025</t>
        </is>
      </c>
      <c r="B5215" s="1" t="n">
        <v>45717.39690972222</v>
      </c>
      <c r="C5215" s="1" t="n">
        <v>45962</v>
      </c>
      <c r="D5215" t="inlineStr">
        <is>
          <t>JÖNKÖPINGS LÄN</t>
        </is>
      </c>
      <c r="E5215" t="inlineStr">
        <is>
          <t>GISLAVED</t>
        </is>
      </c>
      <c r="G5215" t="n">
        <v>1</v>
      </c>
      <c r="H5215" t="n">
        <v>0</v>
      </c>
      <c r="I5215" t="n">
        <v>0</v>
      </c>
      <c r="J5215" t="n">
        <v>0</v>
      </c>
      <c r="K5215" t="n">
        <v>0</v>
      </c>
      <c r="L5215" t="n">
        <v>0</v>
      </c>
      <c r="M5215" t="n">
        <v>0</v>
      </c>
      <c r="N5215" t="n">
        <v>0</v>
      </c>
      <c r="O5215" t="n">
        <v>0</v>
      </c>
      <c r="P5215" t="n">
        <v>0</v>
      </c>
      <c r="Q5215" t="n">
        <v>0</v>
      </c>
      <c r="R5215" s="2" t="inlineStr"/>
    </row>
    <row r="5216" ht="15" customHeight="1">
      <c r="A5216" t="inlineStr">
        <is>
          <t>A 31530-2025</t>
        </is>
      </c>
      <c r="B5216" s="1" t="n">
        <v>45833.61652777778</v>
      </c>
      <c r="C5216" s="1" t="n">
        <v>45962</v>
      </c>
      <c r="D5216" t="inlineStr">
        <is>
          <t>JÖNKÖPINGS LÄN</t>
        </is>
      </c>
      <c r="E5216" t="inlineStr">
        <is>
          <t>VÄRNAMO</t>
        </is>
      </c>
      <c r="G5216" t="n">
        <v>1.1</v>
      </c>
      <c r="H5216" t="n">
        <v>0</v>
      </c>
      <c r="I5216" t="n">
        <v>0</v>
      </c>
      <c r="J5216" t="n">
        <v>0</v>
      </c>
      <c r="K5216" t="n">
        <v>0</v>
      </c>
      <c r="L5216" t="n">
        <v>0</v>
      </c>
      <c r="M5216" t="n">
        <v>0</v>
      </c>
      <c r="N5216" t="n">
        <v>0</v>
      </c>
      <c r="O5216" t="n">
        <v>0</v>
      </c>
      <c r="P5216" t="n">
        <v>0</v>
      </c>
      <c r="Q5216" t="n">
        <v>0</v>
      </c>
      <c r="R5216" s="2" t="inlineStr"/>
    </row>
    <row r="5217" ht="15" customHeight="1">
      <c r="A5217" t="inlineStr">
        <is>
          <t>A 31349-2025</t>
        </is>
      </c>
      <c r="B5217" s="1" t="n">
        <v>45832</v>
      </c>
      <c r="C5217" s="1" t="n">
        <v>45962</v>
      </c>
      <c r="D5217" t="inlineStr">
        <is>
          <t>JÖNKÖPINGS LÄN</t>
        </is>
      </c>
      <c r="E5217" t="inlineStr">
        <is>
          <t>VAGGERYD</t>
        </is>
      </c>
      <c r="G5217" t="n">
        <v>1.4</v>
      </c>
      <c r="H5217" t="n">
        <v>0</v>
      </c>
      <c r="I5217" t="n">
        <v>0</v>
      </c>
      <c r="J5217" t="n">
        <v>0</v>
      </c>
      <c r="K5217" t="n">
        <v>0</v>
      </c>
      <c r="L5217" t="n">
        <v>0</v>
      </c>
      <c r="M5217" t="n">
        <v>0</v>
      </c>
      <c r="N5217" t="n">
        <v>0</v>
      </c>
      <c r="O5217" t="n">
        <v>0</v>
      </c>
      <c r="P5217" t="n">
        <v>0</v>
      </c>
      <c r="Q5217" t="n">
        <v>0</v>
      </c>
      <c r="R5217" s="2" t="inlineStr"/>
    </row>
    <row r="5218" ht="15" customHeight="1">
      <c r="A5218" t="inlineStr">
        <is>
          <t>A 26276-2023</t>
        </is>
      </c>
      <c r="B5218" s="1" t="n">
        <v>45091</v>
      </c>
      <c r="C5218" s="1" t="n">
        <v>45962</v>
      </c>
      <c r="D5218" t="inlineStr">
        <is>
          <t>JÖNKÖPINGS LÄN</t>
        </is>
      </c>
      <c r="E5218" t="inlineStr">
        <is>
          <t>VÄRNAMO</t>
        </is>
      </c>
      <c r="G5218" t="n">
        <v>3.2</v>
      </c>
      <c r="H5218" t="n">
        <v>0</v>
      </c>
      <c r="I5218" t="n">
        <v>0</v>
      </c>
      <c r="J5218" t="n">
        <v>0</v>
      </c>
      <c r="K5218" t="n">
        <v>0</v>
      </c>
      <c r="L5218" t="n">
        <v>0</v>
      </c>
      <c r="M5218" t="n">
        <v>0</v>
      </c>
      <c r="N5218" t="n">
        <v>0</v>
      </c>
      <c r="O5218" t="n">
        <v>0</v>
      </c>
      <c r="P5218" t="n">
        <v>0</v>
      </c>
      <c r="Q5218" t="n">
        <v>0</v>
      </c>
      <c r="R5218" s="2" t="inlineStr"/>
    </row>
    <row r="5219" ht="15" customHeight="1">
      <c r="A5219" t="inlineStr">
        <is>
          <t>A 31434-2025</t>
        </is>
      </c>
      <c r="B5219" s="1" t="n">
        <v>45833.49554398148</v>
      </c>
      <c r="C5219" s="1" t="n">
        <v>45962</v>
      </c>
      <c r="D5219" t="inlineStr">
        <is>
          <t>JÖNKÖPINGS LÄN</t>
        </is>
      </c>
      <c r="E5219" t="inlineStr">
        <is>
          <t>NÄSSJÖ</t>
        </is>
      </c>
      <c r="G5219" t="n">
        <v>1.5</v>
      </c>
      <c r="H5219" t="n">
        <v>0</v>
      </c>
      <c r="I5219" t="n">
        <v>0</v>
      </c>
      <c r="J5219" t="n">
        <v>0</v>
      </c>
      <c r="K5219" t="n">
        <v>0</v>
      </c>
      <c r="L5219" t="n">
        <v>0</v>
      </c>
      <c r="M5219" t="n">
        <v>0</v>
      </c>
      <c r="N5219" t="n">
        <v>0</v>
      </c>
      <c r="O5219" t="n">
        <v>0</v>
      </c>
      <c r="P5219" t="n">
        <v>0</v>
      </c>
      <c r="Q5219" t="n">
        <v>0</v>
      </c>
      <c r="R5219" s="2" t="inlineStr"/>
    </row>
    <row r="5220" ht="15" customHeight="1">
      <c r="A5220" t="inlineStr">
        <is>
          <t>A 46321-2023</t>
        </is>
      </c>
      <c r="B5220" s="1" t="n">
        <v>45197.38018518518</v>
      </c>
      <c r="C5220" s="1" t="n">
        <v>45962</v>
      </c>
      <c r="D5220" t="inlineStr">
        <is>
          <t>JÖNKÖPINGS LÄN</t>
        </is>
      </c>
      <c r="E5220" t="inlineStr">
        <is>
          <t>JÖNKÖPING</t>
        </is>
      </c>
      <c r="G5220" t="n">
        <v>1.6</v>
      </c>
      <c r="H5220" t="n">
        <v>0</v>
      </c>
      <c r="I5220" t="n">
        <v>0</v>
      </c>
      <c r="J5220" t="n">
        <v>0</v>
      </c>
      <c r="K5220" t="n">
        <v>0</v>
      </c>
      <c r="L5220" t="n">
        <v>0</v>
      </c>
      <c r="M5220" t="n">
        <v>0</v>
      </c>
      <c r="N5220" t="n">
        <v>0</v>
      </c>
      <c r="O5220" t="n">
        <v>0</v>
      </c>
      <c r="P5220" t="n">
        <v>0</v>
      </c>
      <c r="Q5220" t="n">
        <v>0</v>
      </c>
      <c r="R5220" s="2" t="inlineStr"/>
    </row>
    <row r="5221" ht="15" customHeight="1">
      <c r="A5221" t="inlineStr">
        <is>
          <t>A 31448-2025</t>
        </is>
      </c>
      <c r="B5221" s="1" t="n">
        <v>45833.52739583333</v>
      </c>
      <c r="C5221" s="1" t="n">
        <v>45962</v>
      </c>
      <c r="D5221" t="inlineStr">
        <is>
          <t>JÖNKÖPINGS LÄN</t>
        </is>
      </c>
      <c r="E5221" t="inlineStr">
        <is>
          <t>VETLANDA</t>
        </is>
      </c>
      <c r="G5221" t="n">
        <v>2</v>
      </c>
      <c r="H5221" t="n">
        <v>0</v>
      </c>
      <c r="I5221" t="n">
        <v>0</v>
      </c>
      <c r="J5221" t="n">
        <v>0</v>
      </c>
      <c r="K5221" t="n">
        <v>0</v>
      </c>
      <c r="L5221" t="n">
        <v>0</v>
      </c>
      <c r="M5221" t="n">
        <v>0</v>
      </c>
      <c r="N5221" t="n">
        <v>0</v>
      </c>
      <c r="O5221" t="n">
        <v>0</v>
      </c>
      <c r="P5221" t="n">
        <v>0</v>
      </c>
      <c r="Q5221" t="n">
        <v>0</v>
      </c>
      <c r="R5221" s="2" t="inlineStr"/>
    </row>
    <row r="5222" ht="15" customHeight="1">
      <c r="A5222" t="inlineStr">
        <is>
          <t>A 3749-2024</t>
        </is>
      </c>
      <c r="B5222" s="1" t="n">
        <v>45321</v>
      </c>
      <c r="C5222" s="1" t="n">
        <v>45962</v>
      </c>
      <c r="D5222" t="inlineStr">
        <is>
          <t>JÖNKÖPINGS LÄN</t>
        </is>
      </c>
      <c r="E5222" t="inlineStr">
        <is>
          <t>JÖNKÖPING</t>
        </is>
      </c>
      <c r="G5222" t="n">
        <v>3.1</v>
      </c>
      <c r="H5222" t="n">
        <v>0</v>
      </c>
      <c r="I5222" t="n">
        <v>0</v>
      </c>
      <c r="J5222" t="n">
        <v>0</v>
      </c>
      <c r="K5222" t="n">
        <v>0</v>
      </c>
      <c r="L5222" t="n">
        <v>0</v>
      </c>
      <c r="M5222" t="n">
        <v>0</v>
      </c>
      <c r="N5222" t="n">
        <v>0</v>
      </c>
      <c r="O5222" t="n">
        <v>0</v>
      </c>
      <c r="P5222" t="n">
        <v>0</v>
      </c>
      <c r="Q5222" t="n">
        <v>0</v>
      </c>
      <c r="R5222" s="2" t="inlineStr"/>
    </row>
    <row r="5223" ht="15" customHeight="1">
      <c r="A5223" t="inlineStr">
        <is>
          <t>A 7830-2023</t>
        </is>
      </c>
      <c r="B5223" s="1" t="n">
        <v>44970</v>
      </c>
      <c r="C5223" s="1" t="n">
        <v>45962</v>
      </c>
      <c r="D5223" t="inlineStr">
        <is>
          <t>JÖNKÖPINGS LÄN</t>
        </is>
      </c>
      <c r="E5223" t="inlineStr">
        <is>
          <t>VETLANDA</t>
        </is>
      </c>
      <c r="G5223" t="n">
        <v>2.4</v>
      </c>
      <c r="H5223" t="n">
        <v>0</v>
      </c>
      <c r="I5223" t="n">
        <v>0</v>
      </c>
      <c r="J5223" t="n">
        <v>0</v>
      </c>
      <c r="K5223" t="n">
        <v>0</v>
      </c>
      <c r="L5223" t="n">
        <v>0</v>
      </c>
      <c r="M5223" t="n">
        <v>0</v>
      </c>
      <c r="N5223" t="n">
        <v>0</v>
      </c>
      <c r="O5223" t="n">
        <v>0</v>
      </c>
      <c r="P5223" t="n">
        <v>0</v>
      </c>
      <c r="Q5223" t="n">
        <v>0</v>
      </c>
      <c r="R5223" s="2" t="inlineStr"/>
    </row>
    <row r="5224" ht="15" customHeight="1">
      <c r="A5224" t="inlineStr">
        <is>
          <t>A 31491-2025</t>
        </is>
      </c>
      <c r="B5224" s="1" t="n">
        <v>45833.58010416666</v>
      </c>
      <c r="C5224" s="1" t="n">
        <v>45962</v>
      </c>
      <c r="D5224" t="inlineStr">
        <is>
          <t>JÖNKÖPINGS LÄN</t>
        </is>
      </c>
      <c r="E5224" t="inlineStr">
        <is>
          <t>SÄVSJÖ</t>
        </is>
      </c>
      <c r="G5224" t="n">
        <v>1.6</v>
      </c>
      <c r="H5224" t="n">
        <v>0</v>
      </c>
      <c r="I5224" t="n">
        <v>0</v>
      </c>
      <c r="J5224" t="n">
        <v>0</v>
      </c>
      <c r="K5224" t="n">
        <v>0</v>
      </c>
      <c r="L5224" t="n">
        <v>0</v>
      </c>
      <c r="M5224" t="n">
        <v>0</v>
      </c>
      <c r="N5224" t="n">
        <v>0</v>
      </c>
      <c r="O5224" t="n">
        <v>0</v>
      </c>
      <c r="P5224" t="n">
        <v>0</v>
      </c>
      <c r="Q5224" t="n">
        <v>0</v>
      </c>
      <c r="R5224" s="2" t="inlineStr"/>
    </row>
    <row r="5225" ht="15" customHeight="1">
      <c r="A5225" t="inlineStr">
        <is>
          <t>A 31505-2025</t>
        </is>
      </c>
      <c r="B5225" s="1" t="n">
        <v>45833.59445601852</v>
      </c>
      <c r="C5225" s="1" t="n">
        <v>45962</v>
      </c>
      <c r="D5225" t="inlineStr">
        <is>
          <t>JÖNKÖPINGS LÄN</t>
        </is>
      </c>
      <c r="E5225" t="inlineStr">
        <is>
          <t>SÄVSJÖ</t>
        </is>
      </c>
      <c r="G5225" t="n">
        <v>3.3</v>
      </c>
      <c r="H5225" t="n">
        <v>0</v>
      </c>
      <c r="I5225" t="n">
        <v>0</v>
      </c>
      <c r="J5225" t="n">
        <v>0</v>
      </c>
      <c r="K5225" t="n">
        <v>0</v>
      </c>
      <c r="L5225" t="n">
        <v>0</v>
      </c>
      <c r="M5225" t="n">
        <v>0</v>
      </c>
      <c r="N5225" t="n">
        <v>0</v>
      </c>
      <c r="O5225" t="n">
        <v>0</v>
      </c>
      <c r="P5225" t="n">
        <v>0</v>
      </c>
      <c r="Q5225" t="n">
        <v>0</v>
      </c>
      <c r="R5225" s="2" t="inlineStr"/>
    </row>
    <row r="5226" ht="15" customHeight="1">
      <c r="A5226" t="inlineStr">
        <is>
          <t>A 18574-2023</t>
        </is>
      </c>
      <c r="B5226" s="1" t="n">
        <v>45043</v>
      </c>
      <c r="C5226" s="1" t="n">
        <v>45962</v>
      </c>
      <c r="D5226" t="inlineStr">
        <is>
          <t>JÖNKÖPINGS LÄN</t>
        </is>
      </c>
      <c r="E5226" t="inlineStr">
        <is>
          <t>JÖNKÖPING</t>
        </is>
      </c>
      <c r="G5226" t="n">
        <v>3.4</v>
      </c>
      <c r="H5226" t="n">
        <v>0</v>
      </c>
      <c r="I5226" t="n">
        <v>0</v>
      </c>
      <c r="J5226" t="n">
        <v>0</v>
      </c>
      <c r="K5226" t="n">
        <v>0</v>
      </c>
      <c r="L5226" t="n">
        <v>0</v>
      </c>
      <c r="M5226" t="n">
        <v>0</v>
      </c>
      <c r="N5226" t="n">
        <v>0</v>
      </c>
      <c r="O5226" t="n">
        <v>0</v>
      </c>
      <c r="P5226" t="n">
        <v>0</v>
      </c>
      <c r="Q5226" t="n">
        <v>0</v>
      </c>
      <c r="R5226" s="2" t="inlineStr"/>
    </row>
    <row r="5227" ht="15" customHeight="1">
      <c r="A5227" t="inlineStr">
        <is>
          <t>A 33764-2023</t>
        </is>
      </c>
      <c r="B5227" s="1" t="n">
        <v>45133</v>
      </c>
      <c r="C5227" s="1" t="n">
        <v>45962</v>
      </c>
      <c r="D5227" t="inlineStr">
        <is>
          <t>JÖNKÖPINGS LÄN</t>
        </is>
      </c>
      <c r="E5227" t="inlineStr">
        <is>
          <t>VETLANDA</t>
        </is>
      </c>
      <c r="G5227" t="n">
        <v>15.3</v>
      </c>
      <c r="H5227" t="n">
        <v>0</v>
      </c>
      <c r="I5227" t="n">
        <v>0</v>
      </c>
      <c r="J5227" t="n">
        <v>0</v>
      </c>
      <c r="K5227" t="n">
        <v>0</v>
      </c>
      <c r="L5227" t="n">
        <v>0</v>
      </c>
      <c r="M5227" t="n">
        <v>0</v>
      </c>
      <c r="N5227" t="n">
        <v>0</v>
      </c>
      <c r="O5227" t="n">
        <v>0</v>
      </c>
      <c r="P5227" t="n">
        <v>0</v>
      </c>
      <c r="Q5227" t="n">
        <v>0</v>
      </c>
      <c r="R5227" s="2" t="inlineStr"/>
    </row>
    <row r="5228" ht="15" customHeight="1">
      <c r="A5228" t="inlineStr">
        <is>
          <t>A 1583-2025</t>
        </is>
      </c>
      <c r="B5228" s="1" t="n">
        <v>45670.57231481482</v>
      </c>
      <c r="C5228" s="1" t="n">
        <v>45962</v>
      </c>
      <c r="D5228" t="inlineStr">
        <is>
          <t>JÖNKÖPINGS LÄN</t>
        </is>
      </c>
      <c r="E5228" t="inlineStr">
        <is>
          <t>VETLANDA</t>
        </is>
      </c>
      <c r="G5228" t="n">
        <v>1.6</v>
      </c>
      <c r="H5228" t="n">
        <v>0</v>
      </c>
      <c r="I5228" t="n">
        <v>0</v>
      </c>
      <c r="J5228" t="n">
        <v>0</v>
      </c>
      <c r="K5228" t="n">
        <v>0</v>
      </c>
      <c r="L5228" t="n">
        <v>0</v>
      </c>
      <c r="M5228" t="n">
        <v>0</v>
      </c>
      <c r="N5228" t="n">
        <v>0</v>
      </c>
      <c r="O5228" t="n">
        <v>0</v>
      </c>
      <c r="P5228" t="n">
        <v>0</v>
      </c>
      <c r="Q5228" t="n">
        <v>0</v>
      </c>
      <c r="R5228" s="2" t="inlineStr"/>
    </row>
    <row r="5229" ht="15" customHeight="1">
      <c r="A5229" t="inlineStr">
        <is>
          <t>A 31021-2025</t>
        </is>
      </c>
      <c r="B5229" s="1" t="n">
        <v>45832.51432870371</v>
      </c>
      <c r="C5229" s="1" t="n">
        <v>45962</v>
      </c>
      <c r="D5229" t="inlineStr">
        <is>
          <t>JÖNKÖPINGS LÄN</t>
        </is>
      </c>
      <c r="E5229" t="inlineStr">
        <is>
          <t>SÄVSJÖ</t>
        </is>
      </c>
      <c r="G5229" t="n">
        <v>2.8</v>
      </c>
      <c r="H5229" t="n">
        <v>0</v>
      </c>
      <c r="I5229" t="n">
        <v>0</v>
      </c>
      <c r="J5229" t="n">
        <v>0</v>
      </c>
      <c r="K5229" t="n">
        <v>0</v>
      </c>
      <c r="L5229" t="n">
        <v>0</v>
      </c>
      <c r="M5229" t="n">
        <v>0</v>
      </c>
      <c r="N5229" t="n">
        <v>0</v>
      </c>
      <c r="O5229" t="n">
        <v>0</v>
      </c>
      <c r="P5229" t="n">
        <v>0</v>
      </c>
      <c r="Q5229" t="n">
        <v>0</v>
      </c>
      <c r="R5229" s="2" t="inlineStr"/>
    </row>
    <row r="5230" ht="15" customHeight="1">
      <c r="A5230" t="inlineStr">
        <is>
          <t>A 31023-2025</t>
        </is>
      </c>
      <c r="B5230" s="1" t="n">
        <v>45832.5195949074</v>
      </c>
      <c r="C5230" s="1" t="n">
        <v>45962</v>
      </c>
      <c r="D5230" t="inlineStr">
        <is>
          <t>JÖNKÖPINGS LÄN</t>
        </is>
      </c>
      <c r="E5230" t="inlineStr">
        <is>
          <t>SÄVSJÖ</t>
        </is>
      </c>
      <c r="G5230" t="n">
        <v>0.6</v>
      </c>
      <c r="H5230" t="n">
        <v>0</v>
      </c>
      <c r="I5230" t="n">
        <v>0</v>
      </c>
      <c r="J5230" t="n">
        <v>0</v>
      </c>
      <c r="K5230" t="n">
        <v>0</v>
      </c>
      <c r="L5230" t="n">
        <v>0</v>
      </c>
      <c r="M5230" t="n">
        <v>0</v>
      </c>
      <c r="N5230" t="n">
        <v>0</v>
      </c>
      <c r="O5230" t="n">
        <v>0</v>
      </c>
      <c r="P5230" t="n">
        <v>0</v>
      </c>
      <c r="Q5230" t="n">
        <v>0</v>
      </c>
      <c r="R5230" s="2" t="inlineStr"/>
    </row>
    <row r="5231" ht="15" customHeight="1">
      <c r="A5231" t="inlineStr">
        <is>
          <t>A 31492-2025</t>
        </is>
      </c>
      <c r="B5231" s="1" t="n">
        <v>45833.58096064815</v>
      </c>
      <c r="C5231" s="1" t="n">
        <v>45962</v>
      </c>
      <c r="D5231" t="inlineStr">
        <is>
          <t>JÖNKÖPINGS LÄN</t>
        </is>
      </c>
      <c r="E5231" t="inlineStr">
        <is>
          <t>SÄVSJÖ</t>
        </is>
      </c>
      <c r="G5231" t="n">
        <v>0.5</v>
      </c>
      <c r="H5231" t="n">
        <v>0</v>
      </c>
      <c r="I5231" t="n">
        <v>0</v>
      </c>
      <c r="J5231" t="n">
        <v>0</v>
      </c>
      <c r="K5231" t="n">
        <v>0</v>
      </c>
      <c r="L5231" t="n">
        <v>0</v>
      </c>
      <c r="M5231" t="n">
        <v>0</v>
      </c>
      <c r="N5231" t="n">
        <v>0</v>
      </c>
      <c r="O5231" t="n">
        <v>0</v>
      </c>
      <c r="P5231" t="n">
        <v>0</v>
      </c>
      <c r="Q5231" t="n">
        <v>0</v>
      </c>
      <c r="R5231" s="2" t="inlineStr"/>
    </row>
    <row r="5232" ht="15" customHeight="1">
      <c r="A5232" t="inlineStr">
        <is>
          <t>A 20056-2024</t>
        </is>
      </c>
      <c r="B5232" s="1" t="n">
        <v>45434.39630787037</v>
      </c>
      <c r="C5232" s="1" t="n">
        <v>45962</v>
      </c>
      <c r="D5232" t="inlineStr">
        <is>
          <t>JÖNKÖPINGS LÄN</t>
        </is>
      </c>
      <c r="E5232" t="inlineStr">
        <is>
          <t>VAGGERYD</t>
        </is>
      </c>
      <c r="F5232" t="inlineStr">
        <is>
          <t>Sveaskog</t>
        </is>
      </c>
      <c r="G5232" t="n">
        <v>0.7</v>
      </c>
      <c r="H5232" t="n">
        <v>0</v>
      </c>
      <c r="I5232" t="n">
        <v>0</v>
      </c>
      <c r="J5232" t="n">
        <v>0</v>
      </c>
      <c r="K5232" t="n">
        <v>0</v>
      </c>
      <c r="L5232" t="n">
        <v>0</v>
      </c>
      <c r="M5232" t="n">
        <v>0</v>
      </c>
      <c r="N5232" t="n">
        <v>0</v>
      </c>
      <c r="O5232" t="n">
        <v>0</v>
      </c>
      <c r="P5232" t="n">
        <v>0</v>
      </c>
      <c r="Q5232" t="n">
        <v>0</v>
      </c>
      <c r="R5232" s="2" t="inlineStr"/>
    </row>
    <row r="5233" ht="15" customHeight="1">
      <c r="A5233" t="inlineStr">
        <is>
          <t>A 31509-2025</t>
        </is>
      </c>
      <c r="B5233" s="1" t="n">
        <v>45833.59633101852</v>
      </c>
      <c r="C5233" s="1" t="n">
        <v>45962</v>
      </c>
      <c r="D5233" t="inlineStr">
        <is>
          <t>JÖNKÖPINGS LÄN</t>
        </is>
      </c>
      <c r="E5233" t="inlineStr">
        <is>
          <t>GISLAVED</t>
        </is>
      </c>
      <c r="G5233" t="n">
        <v>0.8</v>
      </c>
      <c r="H5233" t="n">
        <v>0</v>
      </c>
      <c r="I5233" t="n">
        <v>0</v>
      </c>
      <c r="J5233" t="n">
        <v>0</v>
      </c>
      <c r="K5233" t="n">
        <v>0</v>
      </c>
      <c r="L5233" t="n">
        <v>0</v>
      </c>
      <c r="M5233" t="n">
        <v>0</v>
      </c>
      <c r="N5233" t="n">
        <v>0</v>
      </c>
      <c r="O5233" t="n">
        <v>0</v>
      </c>
      <c r="P5233" t="n">
        <v>0</v>
      </c>
      <c r="Q5233" t="n">
        <v>0</v>
      </c>
      <c r="R5233" s="2" t="inlineStr"/>
    </row>
    <row r="5234" ht="15" customHeight="1">
      <c r="A5234" t="inlineStr">
        <is>
          <t>A 20759-2021</t>
        </is>
      </c>
      <c r="B5234" s="1" t="n">
        <v>44313</v>
      </c>
      <c r="C5234" s="1" t="n">
        <v>45962</v>
      </c>
      <c r="D5234" t="inlineStr">
        <is>
          <t>JÖNKÖPINGS LÄN</t>
        </is>
      </c>
      <c r="E5234" t="inlineStr">
        <is>
          <t>VETLANDA</t>
        </is>
      </c>
      <c r="G5234" t="n">
        <v>0.9</v>
      </c>
      <c r="H5234" t="n">
        <v>0</v>
      </c>
      <c r="I5234" t="n">
        <v>0</v>
      </c>
      <c r="J5234" t="n">
        <v>0</v>
      </c>
      <c r="K5234" t="n">
        <v>0</v>
      </c>
      <c r="L5234" t="n">
        <v>0</v>
      </c>
      <c r="M5234" t="n">
        <v>0</v>
      </c>
      <c r="N5234" t="n">
        <v>0</v>
      </c>
      <c r="O5234" t="n">
        <v>0</v>
      </c>
      <c r="P5234" t="n">
        <v>0</v>
      </c>
      <c r="Q5234" t="n">
        <v>0</v>
      </c>
      <c r="R5234" s="2" t="inlineStr"/>
    </row>
    <row r="5235" ht="15" customHeight="1">
      <c r="A5235" t="inlineStr">
        <is>
          <t>A 31777-2025</t>
        </is>
      </c>
      <c r="B5235" s="1" t="n">
        <v>45834.52568287037</v>
      </c>
      <c r="C5235" s="1" t="n">
        <v>45962</v>
      </c>
      <c r="D5235" t="inlineStr">
        <is>
          <t>JÖNKÖPINGS LÄN</t>
        </is>
      </c>
      <c r="E5235" t="inlineStr">
        <is>
          <t>VETLANDA</t>
        </is>
      </c>
      <c r="G5235" t="n">
        <v>9.699999999999999</v>
      </c>
      <c r="H5235" t="n">
        <v>0</v>
      </c>
      <c r="I5235" t="n">
        <v>0</v>
      </c>
      <c r="J5235" t="n">
        <v>0</v>
      </c>
      <c r="K5235" t="n">
        <v>0</v>
      </c>
      <c r="L5235" t="n">
        <v>0</v>
      </c>
      <c r="M5235" t="n">
        <v>0</v>
      </c>
      <c r="N5235" t="n">
        <v>0</v>
      </c>
      <c r="O5235" t="n">
        <v>0</v>
      </c>
      <c r="P5235" t="n">
        <v>0</v>
      </c>
      <c r="Q5235" t="n">
        <v>0</v>
      </c>
      <c r="R5235" s="2" t="inlineStr"/>
    </row>
    <row r="5236" ht="15" customHeight="1">
      <c r="A5236" t="inlineStr">
        <is>
          <t>A 33048-2024</t>
        </is>
      </c>
      <c r="B5236" s="1" t="n">
        <v>45517.62291666667</v>
      </c>
      <c r="C5236" s="1" t="n">
        <v>45962</v>
      </c>
      <c r="D5236" t="inlineStr">
        <is>
          <t>JÖNKÖPINGS LÄN</t>
        </is>
      </c>
      <c r="E5236" t="inlineStr">
        <is>
          <t>VÄRNAMO</t>
        </is>
      </c>
      <c r="G5236" t="n">
        <v>2.1</v>
      </c>
      <c r="H5236" t="n">
        <v>0</v>
      </c>
      <c r="I5236" t="n">
        <v>0</v>
      </c>
      <c r="J5236" t="n">
        <v>0</v>
      </c>
      <c r="K5236" t="n">
        <v>0</v>
      </c>
      <c r="L5236" t="n">
        <v>0</v>
      </c>
      <c r="M5236" t="n">
        <v>0</v>
      </c>
      <c r="N5236" t="n">
        <v>0</v>
      </c>
      <c r="O5236" t="n">
        <v>0</v>
      </c>
      <c r="P5236" t="n">
        <v>0</v>
      </c>
      <c r="Q5236" t="n">
        <v>0</v>
      </c>
      <c r="R5236" s="2" t="inlineStr"/>
    </row>
    <row r="5237" ht="15" customHeight="1">
      <c r="A5237" t="inlineStr">
        <is>
          <t>A 59757-2021</t>
        </is>
      </c>
      <c r="B5237" s="1" t="n">
        <v>44494.45533564815</v>
      </c>
      <c r="C5237" s="1" t="n">
        <v>45962</v>
      </c>
      <c r="D5237" t="inlineStr">
        <is>
          <t>JÖNKÖPINGS LÄN</t>
        </is>
      </c>
      <c r="E5237" t="inlineStr">
        <is>
          <t>VÄRNAMO</t>
        </is>
      </c>
      <c r="G5237" t="n">
        <v>0.9</v>
      </c>
      <c r="H5237" t="n">
        <v>0</v>
      </c>
      <c r="I5237" t="n">
        <v>0</v>
      </c>
      <c r="J5237" t="n">
        <v>0</v>
      </c>
      <c r="K5237" t="n">
        <v>0</v>
      </c>
      <c r="L5237" t="n">
        <v>0</v>
      </c>
      <c r="M5237" t="n">
        <v>0</v>
      </c>
      <c r="N5237" t="n">
        <v>0</v>
      </c>
      <c r="O5237" t="n">
        <v>0</v>
      </c>
      <c r="P5237" t="n">
        <v>0</v>
      </c>
      <c r="Q5237" t="n">
        <v>0</v>
      </c>
      <c r="R5237" s="2" t="inlineStr"/>
    </row>
    <row r="5238" ht="15" customHeight="1">
      <c r="A5238" t="inlineStr">
        <is>
          <t>A 57308-2024</t>
        </is>
      </c>
      <c r="B5238" s="1" t="n">
        <v>45629.60505787037</v>
      </c>
      <c r="C5238" s="1" t="n">
        <v>45962</v>
      </c>
      <c r="D5238" t="inlineStr">
        <is>
          <t>JÖNKÖPINGS LÄN</t>
        </is>
      </c>
      <c r="E5238" t="inlineStr">
        <is>
          <t>VETLANDA</t>
        </is>
      </c>
      <c r="G5238" t="n">
        <v>6.6</v>
      </c>
      <c r="H5238" t="n">
        <v>0</v>
      </c>
      <c r="I5238" t="n">
        <v>0</v>
      </c>
      <c r="J5238" t="n">
        <v>0</v>
      </c>
      <c r="K5238" t="n">
        <v>0</v>
      </c>
      <c r="L5238" t="n">
        <v>0</v>
      </c>
      <c r="M5238" t="n">
        <v>0</v>
      </c>
      <c r="N5238" t="n">
        <v>0</v>
      </c>
      <c r="O5238" t="n">
        <v>0</v>
      </c>
      <c r="P5238" t="n">
        <v>0</v>
      </c>
      <c r="Q5238" t="n">
        <v>0</v>
      </c>
      <c r="R5238" s="2" t="inlineStr"/>
    </row>
    <row r="5239" ht="15" customHeight="1">
      <c r="A5239" t="inlineStr">
        <is>
          <t>A 7656-2025</t>
        </is>
      </c>
      <c r="B5239" s="1" t="n">
        <v>45706.31474537037</v>
      </c>
      <c r="C5239" s="1" t="n">
        <v>45962</v>
      </c>
      <c r="D5239" t="inlineStr">
        <is>
          <t>JÖNKÖPINGS LÄN</t>
        </is>
      </c>
      <c r="E5239" t="inlineStr">
        <is>
          <t>SÄVSJÖ</t>
        </is>
      </c>
      <c r="G5239" t="n">
        <v>3.5</v>
      </c>
      <c r="H5239" t="n">
        <v>0</v>
      </c>
      <c r="I5239" t="n">
        <v>0</v>
      </c>
      <c r="J5239" t="n">
        <v>0</v>
      </c>
      <c r="K5239" t="n">
        <v>0</v>
      </c>
      <c r="L5239" t="n">
        <v>0</v>
      </c>
      <c r="M5239" t="n">
        <v>0</v>
      </c>
      <c r="N5239" t="n">
        <v>0</v>
      </c>
      <c r="O5239" t="n">
        <v>0</v>
      </c>
      <c r="P5239" t="n">
        <v>0</v>
      </c>
      <c r="Q5239" t="n">
        <v>0</v>
      </c>
      <c r="R5239" s="2" t="inlineStr"/>
    </row>
    <row r="5240" ht="15" customHeight="1">
      <c r="A5240" t="inlineStr">
        <is>
          <t>A 31752-2025</t>
        </is>
      </c>
      <c r="B5240" s="1" t="n">
        <v>45834.48545138889</v>
      </c>
      <c r="C5240" s="1" t="n">
        <v>45962</v>
      </c>
      <c r="D5240" t="inlineStr">
        <is>
          <t>JÖNKÖPINGS LÄN</t>
        </is>
      </c>
      <c r="E5240" t="inlineStr">
        <is>
          <t>SÄVSJÖ</t>
        </is>
      </c>
      <c r="G5240" t="n">
        <v>0.9</v>
      </c>
      <c r="H5240" t="n">
        <v>0</v>
      </c>
      <c r="I5240" t="n">
        <v>0</v>
      </c>
      <c r="J5240" t="n">
        <v>0</v>
      </c>
      <c r="K5240" t="n">
        <v>0</v>
      </c>
      <c r="L5240" t="n">
        <v>0</v>
      </c>
      <c r="M5240" t="n">
        <v>0</v>
      </c>
      <c r="N5240" t="n">
        <v>0</v>
      </c>
      <c r="O5240" t="n">
        <v>0</v>
      </c>
      <c r="P5240" t="n">
        <v>0</v>
      </c>
      <c r="Q5240" t="n">
        <v>0</v>
      </c>
      <c r="R5240" s="2" t="inlineStr"/>
    </row>
    <row r="5241" ht="15" customHeight="1">
      <c r="A5241" t="inlineStr">
        <is>
          <t>A 17009-2024</t>
        </is>
      </c>
      <c r="B5241" s="1" t="n">
        <v>45412</v>
      </c>
      <c r="C5241" s="1" t="n">
        <v>45962</v>
      </c>
      <c r="D5241" t="inlineStr">
        <is>
          <t>JÖNKÖPINGS LÄN</t>
        </is>
      </c>
      <c r="E5241" t="inlineStr">
        <is>
          <t>VAGGERYD</t>
        </is>
      </c>
      <c r="G5241" t="n">
        <v>1.5</v>
      </c>
      <c r="H5241" t="n">
        <v>0</v>
      </c>
      <c r="I5241" t="n">
        <v>0</v>
      </c>
      <c r="J5241" t="n">
        <v>0</v>
      </c>
      <c r="K5241" t="n">
        <v>0</v>
      </c>
      <c r="L5241" t="n">
        <v>0</v>
      </c>
      <c r="M5241" t="n">
        <v>0</v>
      </c>
      <c r="N5241" t="n">
        <v>0</v>
      </c>
      <c r="O5241" t="n">
        <v>0</v>
      </c>
      <c r="P5241" t="n">
        <v>0</v>
      </c>
      <c r="Q5241" t="n">
        <v>0</v>
      </c>
      <c r="R5241" s="2" t="inlineStr"/>
    </row>
    <row r="5242" ht="15" customHeight="1">
      <c r="A5242" t="inlineStr">
        <is>
          <t>A 8946-2024</t>
        </is>
      </c>
      <c r="B5242" s="1" t="n">
        <v>45357.44114583333</v>
      </c>
      <c r="C5242" s="1" t="n">
        <v>45962</v>
      </c>
      <c r="D5242" t="inlineStr">
        <is>
          <t>JÖNKÖPINGS LÄN</t>
        </is>
      </c>
      <c r="E5242" t="inlineStr">
        <is>
          <t>VETLANDA</t>
        </is>
      </c>
      <c r="G5242" t="n">
        <v>2.8</v>
      </c>
      <c r="H5242" t="n">
        <v>0</v>
      </c>
      <c r="I5242" t="n">
        <v>0</v>
      </c>
      <c r="J5242" t="n">
        <v>0</v>
      </c>
      <c r="K5242" t="n">
        <v>0</v>
      </c>
      <c r="L5242" t="n">
        <v>0</v>
      </c>
      <c r="M5242" t="n">
        <v>0</v>
      </c>
      <c r="N5242" t="n">
        <v>0</v>
      </c>
      <c r="O5242" t="n">
        <v>0</v>
      </c>
      <c r="P5242" t="n">
        <v>0</v>
      </c>
      <c r="Q5242" t="n">
        <v>0</v>
      </c>
      <c r="R5242" s="2" t="inlineStr"/>
    </row>
    <row r="5243" ht="15" customHeight="1">
      <c r="A5243" t="inlineStr">
        <is>
          <t>A 23894-2025</t>
        </is>
      </c>
      <c r="B5243" s="1" t="n">
        <v>45794.25789351852</v>
      </c>
      <c r="C5243" s="1" t="n">
        <v>45962</v>
      </c>
      <c r="D5243" t="inlineStr">
        <is>
          <t>JÖNKÖPINGS LÄN</t>
        </is>
      </c>
      <c r="E5243" t="inlineStr">
        <is>
          <t>NÄSSJÖ</t>
        </is>
      </c>
      <c r="G5243" t="n">
        <v>2.2</v>
      </c>
      <c r="H5243" t="n">
        <v>0</v>
      </c>
      <c r="I5243" t="n">
        <v>0</v>
      </c>
      <c r="J5243" t="n">
        <v>0</v>
      </c>
      <c r="K5243" t="n">
        <v>0</v>
      </c>
      <c r="L5243" t="n">
        <v>0</v>
      </c>
      <c r="M5243" t="n">
        <v>0</v>
      </c>
      <c r="N5243" t="n">
        <v>0</v>
      </c>
      <c r="O5243" t="n">
        <v>0</v>
      </c>
      <c r="P5243" t="n">
        <v>0</v>
      </c>
      <c r="Q5243" t="n">
        <v>0</v>
      </c>
      <c r="R5243" s="2" t="inlineStr"/>
    </row>
    <row r="5244" ht="15" customHeight="1">
      <c r="A5244" t="inlineStr">
        <is>
          <t>A 26119-2025</t>
        </is>
      </c>
      <c r="B5244" s="1" t="n">
        <v>45805.38206018518</v>
      </c>
      <c r="C5244" s="1" t="n">
        <v>45962</v>
      </c>
      <c r="D5244" t="inlineStr">
        <is>
          <t>JÖNKÖPINGS LÄN</t>
        </is>
      </c>
      <c r="E5244" t="inlineStr">
        <is>
          <t>VÄRNAMO</t>
        </is>
      </c>
      <c r="G5244" t="n">
        <v>0.7</v>
      </c>
      <c r="H5244" t="n">
        <v>0</v>
      </c>
      <c r="I5244" t="n">
        <v>0</v>
      </c>
      <c r="J5244" t="n">
        <v>0</v>
      </c>
      <c r="K5244" t="n">
        <v>0</v>
      </c>
      <c r="L5244" t="n">
        <v>0</v>
      </c>
      <c r="M5244" t="n">
        <v>0</v>
      </c>
      <c r="N5244" t="n">
        <v>0</v>
      </c>
      <c r="O5244" t="n">
        <v>0</v>
      </c>
      <c r="P5244" t="n">
        <v>0</v>
      </c>
      <c r="Q5244" t="n">
        <v>0</v>
      </c>
      <c r="R5244" s="2" t="inlineStr"/>
    </row>
    <row r="5245" ht="15" customHeight="1">
      <c r="A5245" t="inlineStr">
        <is>
          <t>A 7328-2022</t>
        </is>
      </c>
      <c r="B5245" s="1" t="n">
        <v>44606</v>
      </c>
      <c r="C5245" s="1" t="n">
        <v>45962</v>
      </c>
      <c r="D5245" t="inlineStr">
        <is>
          <t>JÖNKÖPINGS LÄN</t>
        </is>
      </c>
      <c r="E5245" t="inlineStr">
        <is>
          <t>GISLAVED</t>
        </is>
      </c>
      <c r="G5245" t="n">
        <v>0.9</v>
      </c>
      <c r="H5245" t="n">
        <v>0</v>
      </c>
      <c r="I5245" t="n">
        <v>0</v>
      </c>
      <c r="J5245" t="n">
        <v>0</v>
      </c>
      <c r="K5245" t="n">
        <v>0</v>
      </c>
      <c r="L5245" t="n">
        <v>0</v>
      </c>
      <c r="M5245" t="n">
        <v>0</v>
      </c>
      <c r="N5245" t="n">
        <v>0</v>
      </c>
      <c r="O5245" t="n">
        <v>0</v>
      </c>
      <c r="P5245" t="n">
        <v>0</v>
      </c>
      <c r="Q5245" t="n">
        <v>0</v>
      </c>
      <c r="R5245" s="2" t="inlineStr"/>
    </row>
    <row r="5246" ht="15" customHeight="1">
      <c r="A5246" t="inlineStr">
        <is>
          <t>A 4957-2025</t>
        </is>
      </c>
      <c r="B5246" s="1" t="n">
        <v>45689.57192129629</v>
      </c>
      <c r="C5246" s="1" t="n">
        <v>45962</v>
      </c>
      <c r="D5246" t="inlineStr">
        <is>
          <t>JÖNKÖPINGS LÄN</t>
        </is>
      </c>
      <c r="E5246" t="inlineStr">
        <is>
          <t>HABO</t>
        </is>
      </c>
      <c r="G5246" t="n">
        <v>1.5</v>
      </c>
      <c r="H5246" t="n">
        <v>0</v>
      </c>
      <c r="I5246" t="n">
        <v>0</v>
      </c>
      <c r="J5246" t="n">
        <v>0</v>
      </c>
      <c r="K5246" t="n">
        <v>0</v>
      </c>
      <c r="L5246" t="n">
        <v>0</v>
      </c>
      <c r="M5246" t="n">
        <v>0</v>
      </c>
      <c r="N5246" t="n">
        <v>0</v>
      </c>
      <c r="O5246" t="n">
        <v>0</v>
      </c>
      <c r="P5246" t="n">
        <v>0</v>
      </c>
      <c r="Q5246" t="n">
        <v>0</v>
      </c>
      <c r="R5246" s="2" t="inlineStr"/>
    </row>
    <row r="5247" ht="15" customHeight="1">
      <c r="A5247" t="inlineStr">
        <is>
          <t>A 3046-2021</t>
        </is>
      </c>
      <c r="B5247" s="1" t="n">
        <v>44216</v>
      </c>
      <c r="C5247" s="1" t="n">
        <v>45962</v>
      </c>
      <c r="D5247" t="inlineStr">
        <is>
          <t>JÖNKÖPINGS LÄN</t>
        </is>
      </c>
      <c r="E5247" t="inlineStr">
        <is>
          <t>GISLAVED</t>
        </is>
      </c>
      <c r="G5247" t="n">
        <v>2.3</v>
      </c>
      <c r="H5247" t="n">
        <v>0</v>
      </c>
      <c r="I5247" t="n">
        <v>0</v>
      </c>
      <c r="J5247" t="n">
        <v>0</v>
      </c>
      <c r="K5247" t="n">
        <v>0</v>
      </c>
      <c r="L5247" t="n">
        <v>0</v>
      </c>
      <c r="M5247" t="n">
        <v>0</v>
      </c>
      <c r="N5247" t="n">
        <v>0</v>
      </c>
      <c r="O5247" t="n">
        <v>0</v>
      </c>
      <c r="P5247" t="n">
        <v>0</v>
      </c>
      <c r="Q5247" t="n">
        <v>0</v>
      </c>
      <c r="R5247" s="2" t="inlineStr"/>
    </row>
    <row r="5248" ht="15" customHeight="1">
      <c r="A5248" t="inlineStr">
        <is>
          <t>A 32278-2025</t>
        </is>
      </c>
      <c r="B5248" s="1" t="n">
        <v>45835.66958333334</v>
      </c>
      <c r="C5248" s="1" t="n">
        <v>45962</v>
      </c>
      <c r="D5248" t="inlineStr">
        <is>
          <t>JÖNKÖPINGS LÄN</t>
        </is>
      </c>
      <c r="E5248" t="inlineStr">
        <is>
          <t>HABO</t>
        </is>
      </c>
      <c r="G5248" t="n">
        <v>3.8</v>
      </c>
      <c r="H5248" t="n">
        <v>0</v>
      </c>
      <c r="I5248" t="n">
        <v>0</v>
      </c>
      <c r="J5248" t="n">
        <v>0</v>
      </c>
      <c r="K5248" t="n">
        <v>0</v>
      </c>
      <c r="L5248" t="n">
        <v>0</v>
      </c>
      <c r="M5248" t="n">
        <v>0</v>
      </c>
      <c r="N5248" t="n">
        <v>0</v>
      </c>
      <c r="O5248" t="n">
        <v>0</v>
      </c>
      <c r="P5248" t="n">
        <v>0</v>
      </c>
      <c r="Q5248" t="n">
        <v>0</v>
      </c>
      <c r="R5248" s="2" t="inlineStr"/>
    </row>
    <row r="5249" ht="15" customHeight="1">
      <c r="A5249" t="inlineStr">
        <is>
          <t>A 44592-2024</t>
        </is>
      </c>
      <c r="B5249" s="1" t="n">
        <v>45574.50712962963</v>
      </c>
      <c r="C5249" s="1" t="n">
        <v>45962</v>
      </c>
      <c r="D5249" t="inlineStr">
        <is>
          <t>JÖNKÖPINGS LÄN</t>
        </is>
      </c>
      <c r="E5249" t="inlineStr">
        <is>
          <t>GISLAVED</t>
        </is>
      </c>
      <c r="G5249" t="n">
        <v>1.3</v>
      </c>
      <c r="H5249" t="n">
        <v>0</v>
      </c>
      <c r="I5249" t="n">
        <v>0</v>
      </c>
      <c r="J5249" t="n">
        <v>0</v>
      </c>
      <c r="K5249" t="n">
        <v>0</v>
      </c>
      <c r="L5249" t="n">
        <v>0</v>
      </c>
      <c r="M5249" t="n">
        <v>0</v>
      </c>
      <c r="N5249" t="n">
        <v>0</v>
      </c>
      <c r="O5249" t="n">
        <v>0</v>
      </c>
      <c r="P5249" t="n">
        <v>0</v>
      </c>
      <c r="Q5249" t="n">
        <v>0</v>
      </c>
      <c r="R5249" s="2" t="inlineStr"/>
    </row>
    <row r="5250" ht="15" customHeight="1">
      <c r="A5250" t="inlineStr">
        <is>
          <t>A 60829-2023</t>
        </is>
      </c>
      <c r="B5250" s="1" t="n">
        <v>45260.85619212963</v>
      </c>
      <c r="C5250" s="1" t="n">
        <v>45962</v>
      </c>
      <c r="D5250" t="inlineStr">
        <is>
          <t>JÖNKÖPINGS LÄN</t>
        </is>
      </c>
      <c r="E5250" t="inlineStr">
        <is>
          <t>JÖNKÖPING</t>
        </is>
      </c>
      <c r="G5250" t="n">
        <v>0</v>
      </c>
      <c r="H5250" t="n">
        <v>0</v>
      </c>
      <c r="I5250" t="n">
        <v>0</v>
      </c>
      <c r="J5250" t="n">
        <v>0</v>
      </c>
      <c r="K5250" t="n">
        <v>0</v>
      </c>
      <c r="L5250" t="n">
        <v>0</v>
      </c>
      <c r="M5250" t="n">
        <v>0</v>
      </c>
      <c r="N5250" t="n">
        <v>0</v>
      </c>
      <c r="O5250" t="n">
        <v>0</v>
      </c>
      <c r="P5250" t="n">
        <v>0</v>
      </c>
      <c r="Q5250" t="n">
        <v>0</v>
      </c>
      <c r="R5250" s="2" t="inlineStr"/>
    </row>
    <row r="5251" ht="15" customHeight="1">
      <c r="A5251" t="inlineStr">
        <is>
          <t>A 31866-2025</t>
        </is>
      </c>
      <c r="B5251" s="1" t="n">
        <v>45834.64112268519</v>
      </c>
      <c r="C5251" s="1" t="n">
        <v>45962</v>
      </c>
      <c r="D5251" t="inlineStr">
        <is>
          <t>JÖNKÖPINGS LÄN</t>
        </is>
      </c>
      <c r="E5251" t="inlineStr">
        <is>
          <t>EKSJÖ</t>
        </is>
      </c>
      <c r="G5251" t="n">
        <v>0.7</v>
      </c>
      <c r="H5251" t="n">
        <v>0</v>
      </c>
      <c r="I5251" t="n">
        <v>0</v>
      </c>
      <c r="J5251" t="n">
        <v>0</v>
      </c>
      <c r="K5251" t="n">
        <v>0</v>
      </c>
      <c r="L5251" t="n">
        <v>0</v>
      </c>
      <c r="M5251" t="n">
        <v>0</v>
      </c>
      <c r="N5251" t="n">
        <v>0</v>
      </c>
      <c r="O5251" t="n">
        <v>0</v>
      </c>
      <c r="P5251" t="n">
        <v>0</v>
      </c>
      <c r="Q5251" t="n">
        <v>0</v>
      </c>
      <c r="R5251" s="2" t="inlineStr"/>
    </row>
    <row r="5252" ht="15" customHeight="1">
      <c r="A5252" t="inlineStr">
        <is>
          <t>A 2642-2025</t>
        </is>
      </c>
      <c r="B5252" s="1" t="n">
        <v>45676.46021990741</v>
      </c>
      <c r="C5252" s="1" t="n">
        <v>45962</v>
      </c>
      <c r="D5252" t="inlineStr">
        <is>
          <t>JÖNKÖPINGS LÄN</t>
        </is>
      </c>
      <c r="E5252" t="inlineStr">
        <is>
          <t>MULLSJÖ</t>
        </is>
      </c>
      <c r="G5252" t="n">
        <v>1</v>
      </c>
      <c r="H5252" t="n">
        <v>0</v>
      </c>
      <c r="I5252" t="n">
        <v>0</v>
      </c>
      <c r="J5252" t="n">
        <v>0</v>
      </c>
      <c r="K5252" t="n">
        <v>0</v>
      </c>
      <c r="L5252" t="n">
        <v>0</v>
      </c>
      <c r="M5252" t="n">
        <v>0</v>
      </c>
      <c r="N5252" t="n">
        <v>0</v>
      </c>
      <c r="O5252" t="n">
        <v>0</v>
      </c>
      <c r="P5252" t="n">
        <v>0</v>
      </c>
      <c r="Q5252" t="n">
        <v>0</v>
      </c>
      <c r="R5252" s="2" t="inlineStr"/>
    </row>
    <row r="5253" ht="15" customHeight="1">
      <c r="A5253" t="inlineStr">
        <is>
          <t>A 6445-2021</t>
        </is>
      </c>
      <c r="B5253" s="1" t="n">
        <v>44235</v>
      </c>
      <c r="C5253" s="1" t="n">
        <v>45962</v>
      </c>
      <c r="D5253" t="inlineStr">
        <is>
          <t>JÖNKÖPINGS LÄN</t>
        </is>
      </c>
      <c r="E5253" t="inlineStr">
        <is>
          <t>VÄRNAMO</t>
        </is>
      </c>
      <c r="G5253" t="n">
        <v>2.5</v>
      </c>
      <c r="H5253" t="n">
        <v>0</v>
      </c>
      <c r="I5253" t="n">
        <v>0</v>
      </c>
      <c r="J5253" t="n">
        <v>0</v>
      </c>
      <c r="K5253" t="n">
        <v>0</v>
      </c>
      <c r="L5253" t="n">
        <v>0</v>
      </c>
      <c r="M5253" t="n">
        <v>0</v>
      </c>
      <c r="N5253" t="n">
        <v>0</v>
      </c>
      <c r="O5253" t="n">
        <v>0</v>
      </c>
      <c r="P5253" t="n">
        <v>0</v>
      </c>
      <c r="Q5253" t="n">
        <v>0</v>
      </c>
      <c r="R5253" s="2" t="inlineStr"/>
    </row>
    <row r="5254" ht="15" customHeight="1">
      <c r="A5254" t="inlineStr">
        <is>
          <t>A 6458-2021</t>
        </is>
      </c>
      <c r="B5254" s="1" t="n">
        <v>44235</v>
      </c>
      <c r="C5254" s="1" t="n">
        <v>45962</v>
      </c>
      <c r="D5254" t="inlineStr">
        <is>
          <t>JÖNKÖPINGS LÄN</t>
        </is>
      </c>
      <c r="E5254" t="inlineStr">
        <is>
          <t>NÄSSJÖ</t>
        </is>
      </c>
      <c r="G5254" t="n">
        <v>1.2</v>
      </c>
      <c r="H5254" t="n">
        <v>0</v>
      </c>
      <c r="I5254" t="n">
        <v>0</v>
      </c>
      <c r="J5254" t="n">
        <v>0</v>
      </c>
      <c r="K5254" t="n">
        <v>0</v>
      </c>
      <c r="L5254" t="n">
        <v>0</v>
      </c>
      <c r="M5254" t="n">
        <v>0</v>
      </c>
      <c r="N5254" t="n">
        <v>0</v>
      </c>
      <c r="O5254" t="n">
        <v>0</v>
      </c>
      <c r="P5254" t="n">
        <v>0</v>
      </c>
      <c r="Q5254" t="n">
        <v>0</v>
      </c>
      <c r="R5254" s="2" t="inlineStr"/>
    </row>
    <row r="5255" ht="15" customHeight="1">
      <c r="A5255" t="inlineStr">
        <is>
          <t>A 19040-2021</t>
        </is>
      </c>
      <c r="B5255" s="1" t="n">
        <v>44308.520625</v>
      </c>
      <c r="C5255" s="1" t="n">
        <v>45962</v>
      </c>
      <c r="D5255" t="inlineStr">
        <is>
          <t>JÖNKÖPINGS LÄN</t>
        </is>
      </c>
      <c r="E5255" t="inlineStr">
        <is>
          <t>JÖNKÖPING</t>
        </is>
      </c>
      <c r="G5255" t="n">
        <v>1.6</v>
      </c>
      <c r="H5255" t="n">
        <v>0</v>
      </c>
      <c r="I5255" t="n">
        <v>0</v>
      </c>
      <c r="J5255" t="n">
        <v>0</v>
      </c>
      <c r="K5255" t="n">
        <v>0</v>
      </c>
      <c r="L5255" t="n">
        <v>0</v>
      </c>
      <c r="M5255" t="n">
        <v>0</v>
      </c>
      <c r="N5255" t="n">
        <v>0</v>
      </c>
      <c r="O5255" t="n">
        <v>0</v>
      </c>
      <c r="P5255" t="n">
        <v>0</v>
      </c>
      <c r="Q5255" t="n">
        <v>0</v>
      </c>
      <c r="R5255" s="2" t="inlineStr"/>
    </row>
    <row r="5256" ht="15" customHeight="1">
      <c r="A5256" t="inlineStr">
        <is>
          <t>A 19019-2025</t>
        </is>
      </c>
      <c r="B5256" s="1" t="n">
        <v>45764.614375</v>
      </c>
      <c r="C5256" s="1" t="n">
        <v>45962</v>
      </c>
      <c r="D5256" t="inlineStr">
        <is>
          <t>JÖNKÖPINGS LÄN</t>
        </is>
      </c>
      <c r="E5256" t="inlineStr">
        <is>
          <t>SÄVSJÖ</t>
        </is>
      </c>
      <c r="G5256" t="n">
        <v>2.2</v>
      </c>
      <c r="H5256" t="n">
        <v>0</v>
      </c>
      <c r="I5256" t="n">
        <v>0</v>
      </c>
      <c r="J5256" t="n">
        <v>0</v>
      </c>
      <c r="K5256" t="n">
        <v>0</v>
      </c>
      <c r="L5256" t="n">
        <v>0</v>
      </c>
      <c r="M5256" t="n">
        <v>0</v>
      </c>
      <c r="N5256" t="n">
        <v>0</v>
      </c>
      <c r="O5256" t="n">
        <v>0</v>
      </c>
      <c r="P5256" t="n">
        <v>0</v>
      </c>
      <c r="Q5256" t="n">
        <v>0</v>
      </c>
      <c r="R5256" s="2" t="inlineStr"/>
    </row>
    <row r="5257" ht="15" customHeight="1">
      <c r="A5257" t="inlineStr">
        <is>
          <t>A 35337-2024</t>
        </is>
      </c>
      <c r="B5257" s="1" t="n">
        <v>45530</v>
      </c>
      <c r="C5257" s="1" t="n">
        <v>45962</v>
      </c>
      <c r="D5257" t="inlineStr">
        <is>
          <t>JÖNKÖPINGS LÄN</t>
        </is>
      </c>
      <c r="E5257" t="inlineStr">
        <is>
          <t>GISLAVED</t>
        </is>
      </c>
      <c r="G5257" t="n">
        <v>1.3</v>
      </c>
      <c r="H5257" t="n">
        <v>0</v>
      </c>
      <c r="I5257" t="n">
        <v>0</v>
      </c>
      <c r="J5257" t="n">
        <v>0</v>
      </c>
      <c r="K5257" t="n">
        <v>0</v>
      </c>
      <c r="L5257" t="n">
        <v>0</v>
      </c>
      <c r="M5257" t="n">
        <v>0</v>
      </c>
      <c r="N5257" t="n">
        <v>0</v>
      </c>
      <c r="O5257" t="n">
        <v>0</v>
      </c>
      <c r="P5257" t="n">
        <v>0</v>
      </c>
      <c r="Q5257" t="n">
        <v>0</v>
      </c>
      <c r="R5257" s="2" t="inlineStr"/>
    </row>
    <row r="5258" ht="15" customHeight="1">
      <c r="A5258" t="inlineStr">
        <is>
          <t>A 197-2025</t>
        </is>
      </c>
      <c r="B5258" s="1" t="n">
        <v>45659.88552083333</v>
      </c>
      <c r="C5258" s="1" t="n">
        <v>45962</v>
      </c>
      <c r="D5258" t="inlineStr">
        <is>
          <t>JÖNKÖPINGS LÄN</t>
        </is>
      </c>
      <c r="E5258" t="inlineStr">
        <is>
          <t>VÄRNAMO</t>
        </is>
      </c>
      <c r="G5258" t="n">
        <v>5.3</v>
      </c>
      <c r="H5258" t="n">
        <v>0</v>
      </c>
      <c r="I5258" t="n">
        <v>0</v>
      </c>
      <c r="J5258" t="n">
        <v>0</v>
      </c>
      <c r="K5258" t="n">
        <v>0</v>
      </c>
      <c r="L5258" t="n">
        <v>0</v>
      </c>
      <c r="M5258" t="n">
        <v>0</v>
      </c>
      <c r="N5258" t="n">
        <v>0</v>
      </c>
      <c r="O5258" t="n">
        <v>0</v>
      </c>
      <c r="P5258" t="n">
        <v>0</v>
      </c>
      <c r="Q5258" t="n">
        <v>0</v>
      </c>
      <c r="R5258" s="2" t="inlineStr"/>
    </row>
    <row r="5259" ht="15" customHeight="1">
      <c r="A5259" t="inlineStr">
        <is>
          <t>A 32055-2025</t>
        </is>
      </c>
      <c r="B5259" s="1" t="n">
        <v>45835.44341435185</v>
      </c>
      <c r="C5259" s="1" t="n">
        <v>45962</v>
      </c>
      <c r="D5259" t="inlineStr">
        <is>
          <t>JÖNKÖPINGS LÄN</t>
        </is>
      </c>
      <c r="E5259" t="inlineStr">
        <is>
          <t>EKSJÖ</t>
        </is>
      </c>
      <c r="G5259" t="n">
        <v>9.199999999999999</v>
      </c>
      <c r="H5259" t="n">
        <v>0</v>
      </c>
      <c r="I5259" t="n">
        <v>0</v>
      </c>
      <c r="J5259" t="n">
        <v>0</v>
      </c>
      <c r="K5259" t="n">
        <v>0</v>
      </c>
      <c r="L5259" t="n">
        <v>0</v>
      </c>
      <c r="M5259" t="n">
        <v>0</v>
      </c>
      <c r="N5259" t="n">
        <v>0</v>
      </c>
      <c r="O5259" t="n">
        <v>0</v>
      </c>
      <c r="P5259" t="n">
        <v>0</v>
      </c>
      <c r="Q5259" t="n">
        <v>0</v>
      </c>
      <c r="R5259" s="2" t="inlineStr"/>
    </row>
    <row r="5260" ht="15" customHeight="1">
      <c r="A5260" t="inlineStr">
        <is>
          <t>A 32099-2025</t>
        </is>
      </c>
      <c r="B5260" s="1" t="n">
        <v>45835.46706018518</v>
      </c>
      <c r="C5260" s="1" t="n">
        <v>45962</v>
      </c>
      <c r="D5260" t="inlineStr">
        <is>
          <t>JÖNKÖPINGS LÄN</t>
        </is>
      </c>
      <c r="E5260" t="inlineStr">
        <is>
          <t>MULLSJÖ</t>
        </is>
      </c>
      <c r="G5260" t="n">
        <v>0.9</v>
      </c>
      <c r="H5260" t="n">
        <v>0</v>
      </c>
      <c r="I5260" t="n">
        <v>0</v>
      </c>
      <c r="J5260" t="n">
        <v>0</v>
      </c>
      <c r="K5260" t="n">
        <v>0</v>
      </c>
      <c r="L5260" t="n">
        <v>0</v>
      </c>
      <c r="M5260" t="n">
        <v>0</v>
      </c>
      <c r="N5260" t="n">
        <v>0</v>
      </c>
      <c r="O5260" t="n">
        <v>0</v>
      </c>
      <c r="P5260" t="n">
        <v>0</v>
      </c>
      <c r="Q5260" t="n">
        <v>0</v>
      </c>
      <c r="R5260" s="2" t="inlineStr"/>
    </row>
    <row r="5261" ht="15" customHeight="1">
      <c r="A5261" t="inlineStr">
        <is>
          <t>A 31927-2025</t>
        </is>
      </c>
      <c r="B5261" s="1" t="n">
        <v>45834.89795138889</v>
      </c>
      <c r="C5261" s="1" t="n">
        <v>45962</v>
      </c>
      <c r="D5261" t="inlineStr">
        <is>
          <t>JÖNKÖPINGS LÄN</t>
        </is>
      </c>
      <c r="E5261" t="inlineStr">
        <is>
          <t>VETLANDA</t>
        </is>
      </c>
      <c r="G5261" t="n">
        <v>1.2</v>
      </c>
      <c r="H5261" t="n">
        <v>0</v>
      </c>
      <c r="I5261" t="n">
        <v>0</v>
      </c>
      <c r="J5261" t="n">
        <v>0</v>
      </c>
      <c r="K5261" t="n">
        <v>0</v>
      </c>
      <c r="L5261" t="n">
        <v>0</v>
      </c>
      <c r="M5261" t="n">
        <v>0</v>
      </c>
      <c r="N5261" t="n">
        <v>0</v>
      </c>
      <c r="O5261" t="n">
        <v>0</v>
      </c>
      <c r="P5261" t="n">
        <v>0</v>
      </c>
      <c r="Q5261" t="n">
        <v>0</v>
      </c>
      <c r="R5261" s="2" t="inlineStr"/>
    </row>
    <row r="5262" ht="15" customHeight="1">
      <c r="A5262" t="inlineStr">
        <is>
          <t>A 53927-2023</t>
        </is>
      </c>
      <c r="B5262" s="1" t="n">
        <v>45231.57694444444</v>
      </c>
      <c r="C5262" s="1" t="n">
        <v>45962</v>
      </c>
      <c r="D5262" t="inlineStr">
        <is>
          <t>JÖNKÖPINGS LÄN</t>
        </is>
      </c>
      <c r="E5262" t="inlineStr">
        <is>
          <t>VETLANDA</t>
        </is>
      </c>
      <c r="G5262" t="n">
        <v>2.1</v>
      </c>
      <c r="H5262" t="n">
        <v>0</v>
      </c>
      <c r="I5262" t="n">
        <v>0</v>
      </c>
      <c r="J5262" t="n">
        <v>0</v>
      </c>
      <c r="K5262" t="n">
        <v>0</v>
      </c>
      <c r="L5262" t="n">
        <v>0</v>
      </c>
      <c r="M5262" t="n">
        <v>0</v>
      </c>
      <c r="N5262" t="n">
        <v>0</v>
      </c>
      <c r="O5262" t="n">
        <v>0</v>
      </c>
      <c r="P5262" t="n">
        <v>0</v>
      </c>
      <c r="Q5262" t="n">
        <v>0</v>
      </c>
      <c r="R5262" s="2" t="inlineStr"/>
    </row>
    <row r="5263" ht="15" customHeight="1">
      <c r="A5263" t="inlineStr">
        <is>
          <t>A 32181-2025</t>
        </is>
      </c>
      <c r="B5263" s="1" t="n">
        <v>45835.56049768518</v>
      </c>
      <c r="C5263" s="1" t="n">
        <v>45962</v>
      </c>
      <c r="D5263" t="inlineStr">
        <is>
          <t>JÖNKÖPINGS LÄN</t>
        </is>
      </c>
      <c r="E5263" t="inlineStr">
        <is>
          <t>VETLANDA</t>
        </is>
      </c>
      <c r="G5263" t="n">
        <v>2</v>
      </c>
      <c r="H5263" t="n">
        <v>0</v>
      </c>
      <c r="I5263" t="n">
        <v>0</v>
      </c>
      <c r="J5263" t="n">
        <v>0</v>
      </c>
      <c r="K5263" t="n">
        <v>0</v>
      </c>
      <c r="L5263" t="n">
        <v>0</v>
      </c>
      <c r="M5263" t="n">
        <v>0</v>
      </c>
      <c r="N5263" t="n">
        <v>0</v>
      </c>
      <c r="O5263" t="n">
        <v>0</v>
      </c>
      <c r="P5263" t="n">
        <v>0</v>
      </c>
      <c r="Q5263" t="n">
        <v>0</v>
      </c>
      <c r="R5263" s="2" t="inlineStr"/>
    </row>
    <row r="5264" ht="15" customHeight="1">
      <c r="A5264" t="inlineStr">
        <is>
          <t>A 9040-2025</t>
        </is>
      </c>
      <c r="B5264" s="1" t="n">
        <v>45713.62402777778</v>
      </c>
      <c r="C5264" s="1" t="n">
        <v>45962</v>
      </c>
      <c r="D5264" t="inlineStr">
        <is>
          <t>JÖNKÖPINGS LÄN</t>
        </is>
      </c>
      <c r="E5264" t="inlineStr">
        <is>
          <t>VÄRNAMO</t>
        </is>
      </c>
      <c r="F5264" t="inlineStr">
        <is>
          <t>Sveaskog</t>
        </is>
      </c>
      <c r="G5264" t="n">
        <v>6.4</v>
      </c>
      <c r="H5264" t="n">
        <v>0</v>
      </c>
      <c r="I5264" t="n">
        <v>0</v>
      </c>
      <c r="J5264" t="n">
        <v>0</v>
      </c>
      <c r="K5264" t="n">
        <v>0</v>
      </c>
      <c r="L5264" t="n">
        <v>0</v>
      </c>
      <c r="M5264" t="n">
        <v>0</v>
      </c>
      <c r="N5264" t="n">
        <v>0</v>
      </c>
      <c r="O5264" t="n">
        <v>0</v>
      </c>
      <c r="P5264" t="n">
        <v>0</v>
      </c>
      <c r="Q5264" t="n">
        <v>0</v>
      </c>
      <c r="R5264" s="2" t="inlineStr"/>
    </row>
    <row r="5265" ht="15" customHeight="1">
      <c r="A5265" t="inlineStr">
        <is>
          <t>A 24382-2022</t>
        </is>
      </c>
      <c r="B5265" s="1" t="n">
        <v>44726</v>
      </c>
      <c r="C5265" s="1" t="n">
        <v>45962</v>
      </c>
      <c r="D5265" t="inlineStr">
        <is>
          <t>JÖNKÖPINGS LÄN</t>
        </is>
      </c>
      <c r="E5265" t="inlineStr">
        <is>
          <t>VAGGERYD</t>
        </is>
      </c>
      <c r="G5265" t="n">
        <v>1.9</v>
      </c>
      <c r="H5265" t="n">
        <v>0</v>
      </c>
      <c r="I5265" t="n">
        <v>0</v>
      </c>
      <c r="J5265" t="n">
        <v>0</v>
      </c>
      <c r="K5265" t="n">
        <v>0</v>
      </c>
      <c r="L5265" t="n">
        <v>0</v>
      </c>
      <c r="M5265" t="n">
        <v>0</v>
      </c>
      <c r="N5265" t="n">
        <v>0</v>
      </c>
      <c r="O5265" t="n">
        <v>0</v>
      </c>
      <c r="P5265" t="n">
        <v>0</v>
      </c>
      <c r="Q5265" t="n">
        <v>0</v>
      </c>
      <c r="R5265" s="2" t="inlineStr"/>
    </row>
    <row r="5266" ht="15" customHeight="1">
      <c r="A5266" t="inlineStr">
        <is>
          <t>A 2772-2024</t>
        </is>
      </c>
      <c r="B5266" s="1" t="n">
        <v>45314.61902777778</v>
      </c>
      <c r="C5266" s="1" t="n">
        <v>45962</v>
      </c>
      <c r="D5266" t="inlineStr">
        <is>
          <t>JÖNKÖPINGS LÄN</t>
        </is>
      </c>
      <c r="E5266" t="inlineStr">
        <is>
          <t>VETLANDA</t>
        </is>
      </c>
      <c r="G5266" t="n">
        <v>2.3</v>
      </c>
      <c r="H5266" t="n">
        <v>0</v>
      </c>
      <c r="I5266" t="n">
        <v>0</v>
      </c>
      <c r="J5266" t="n">
        <v>0</v>
      </c>
      <c r="K5266" t="n">
        <v>0</v>
      </c>
      <c r="L5266" t="n">
        <v>0</v>
      </c>
      <c r="M5266" t="n">
        <v>0</v>
      </c>
      <c r="N5266" t="n">
        <v>0</v>
      </c>
      <c r="O5266" t="n">
        <v>0</v>
      </c>
      <c r="P5266" t="n">
        <v>0</v>
      </c>
      <c r="Q5266" t="n">
        <v>0</v>
      </c>
      <c r="R5266" s="2" t="inlineStr"/>
    </row>
    <row r="5267" ht="15" customHeight="1">
      <c r="A5267" t="inlineStr">
        <is>
          <t>A 37641-2023</t>
        </is>
      </c>
      <c r="B5267" s="1" t="n">
        <v>45159</v>
      </c>
      <c r="C5267" s="1" t="n">
        <v>45962</v>
      </c>
      <c r="D5267" t="inlineStr">
        <is>
          <t>JÖNKÖPINGS LÄN</t>
        </is>
      </c>
      <c r="E5267" t="inlineStr">
        <is>
          <t>GISLAVED</t>
        </is>
      </c>
      <c r="G5267" t="n">
        <v>1.7</v>
      </c>
      <c r="H5267" t="n">
        <v>0</v>
      </c>
      <c r="I5267" t="n">
        <v>0</v>
      </c>
      <c r="J5267" t="n">
        <v>0</v>
      </c>
      <c r="K5267" t="n">
        <v>0</v>
      </c>
      <c r="L5267" t="n">
        <v>0</v>
      </c>
      <c r="M5267" t="n">
        <v>0</v>
      </c>
      <c r="N5267" t="n">
        <v>0</v>
      </c>
      <c r="O5267" t="n">
        <v>0</v>
      </c>
      <c r="P5267" t="n">
        <v>0</v>
      </c>
      <c r="Q5267" t="n">
        <v>0</v>
      </c>
      <c r="R5267" s="2" t="inlineStr"/>
    </row>
    <row r="5268" ht="15" customHeight="1">
      <c r="A5268" t="inlineStr">
        <is>
          <t>A 963-2021</t>
        </is>
      </c>
      <c r="B5268" s="1" t="n">
        <v>44207</v>
      </c>
      <c r="C5268" s="1" t="n">
        <v>45962</v>
      </c>
      <c r="D5268" t="inlineStr">
        <is>
          <t>JÖNKÖPINGS LÄN</t>
        </is>
      </c>
      <c r="E5268" t="inlineStr">
        <is>
          <t>VETLANDA</t>
        </is>
      </c>
      <c r="G5268" t="n">
        <v>2.8</v>
      </c>
      <c r="H5268" t="n">
        <v>0</v>
      </c>
      <c r="I5268" t="n">
        <v>0</v>
      </c>
      <c r="J5268" t="n">
        <v>0</v>
      </c>
      <c r="K5268" t="n">
        <v>0</v>
      </c>
      <c r="L5268" t="n">
        <v>0</v>
      </c>
      <c r="M5268" t="n">
        <v>0</v>
      </c>
      <c r="N5268" t="n">
        <v>0</v>
      </c>
      <c r="O5268" t="n">
        <v>0</v>
      </c>
      <c r="P5268" t="n">
        <v>0</v>
      </c>
      <c r="Q5268" t="n">
        <v>0</v>
      </c>
      <c r="R5268" s="2" t="inlineStr"/>
    </row>
    <row r="5269" ht="15" customHeight="1">
      <c r="A5269" t="inlineStr">
        <is>
          <t>A 59955-2022</t>
        </is>
      </c>
      <c r="B5269" s="1" t="n">
        <v>44909.39881944445</v>
      </c>
      <c r="C5269" s="1" t="n">
        <v>45962</v>
      </c>
      <c r="D5269" t="inlineStr">
        <is>
          <t>JÖNKÖPINGS LÄN</t>
        </is>
      </c>
      <c r="E5269" t="inlineStr">
        <is>
          <t>EKSJÖ</t>
        </is>
      </c>
      <c r="G5269" t="n">
        <v>0.7</v>
      </c>
      <c r="H5269" t="n">
        <v>0</v>
      </c>
      <c r="I5269" t="n">
        <v>0</v>
      </c>
      <c r="J5269" t="n">
        <v>0</v>
      </c>
      <c r="K5269" t="n">
        <v>0</v>
      </c>
      <c r="L5269" t="n">
        <v>0</v>
      </c>
      <c r="M5269" t="n">
        <v>0</v>
      </c>
      <c r="N5269" t="n">
        <v>0</v>
      </c>
      <c r="O5269" t="n">
        <v>0</v>
      </c>
      <c r="P5269" t="n">
        <v>0</v>
      </c>
      <c r="Q5269" t="n">
        <v>0</v>
      </c>
      <c r="R5269" s="2" t="inlineStr"/>
    </row>
    <row r="5270" ht="15" customHeight="1">
      <c r="A5270" t="inlineStr">
        <is>
          <t>A 37683-2023</t>
        </is>
      </c>
      <c r="B5270" s="1" t="n">
        <v>45159</v>
      </c>
      <c r="C5270" s="1" t="n">
        <v>45962</v>
      </c>
      <c r="D5270" t="inlineStr">
        <is>
          <t>JÖNKÖPINGS LÄN</t>
        </is>
      </c>
      <c r="E5270" t="inlineStr">
        <is>
          <t>ANEBY</t>
        </is>
      </c>
      <c r="G5270" t="n">
        <v>1.9</v>
      </c>
      <c r="H5270" t="n">
        <v>0</v>
      </c>
      <c r="I5270" t="n">
        <v>0</v>
      </c>
      <c r="J5270" t="n">
        <v>0</v>
      </c>
      <c r="K5270" t="n">
        <v>0</v>
      </c>
      <c r="L5270" t="n">
        <v>0</v>
      </c>
      <c r="M5270" t="n">
        <v>0</v>
      </c>
      <c r="N5270" t="n">
        <v>0</v>
      </c>
      <c r="O5270" t="n">
        <v>0</v>
      </c>
      <c r="P5270" t="n">
        <v>0</v>
      </c>
      <c r="Q5270" t="n">
        <v>0</v>
      </c>
      <c r="R5270" s="2" t="inlineStr"/>
    </row>
    <row r="5271" ht="15" customHeight="1">
      <c r="A5271" t="inlineStr">
        <is>
          <t>A 879-2021</t>
        </is>
      </c>
      <c r="B5271" s="1" t="n">
        <v>44205</v>
      </c>
      <c r="C5271" s="1" t="n">
        <v>45962</v>
      </c>
      <c r="D5271" t="inlineStr">
        <is>
          <t>JÖNKÖPINGS LÄN</t>
        </is>
      </c>
      <c r="E5271" t="inlineStr">
        <is>
          <t>VETLANDA</t>
        </is>
      </c>
      <c r="G5271" t="n">
        <v>0.6</v>
      </c>
      <c r="H5271" t="n">
        <v>0</v>
      </c>
      <c r="I5271" t="n">
        <v>0</v>
      </c>
      <c r="J5271" t="n">
        <v>0</v>
      </c>
      <c r="K5271" t="n">
        <v>0</v>
      </c>
      <c r="L5271" t="n">
        <v>0</v>
      </c>
      <c r="M5271" t="n">
        <v>0</v>
      </c>
      <c r="N5271" t="n">
        <v>0</v>
      </c>
      <c r="O5271" t="n">
        <v>0</v>
      </c>
      <c r="P5271" t="n">
        <v>0</v>
      </c>
      <c r="Q5271" t="n">
        <v>0</v>
      </c>
      <c r="R5271" s="2" t="inlineStr"/>
    </row>
    <row r="5272" ht="15" customHeight="1">
      <c r="A5272" t="inlineStr">
        <is>
          <t>A 53053-2021</t>
        </is>
      </c>
      <c r="B5272" s="1" t="n">
        <v>44467.74497685185</v>
      </c>
      <c r="C5272" s="1" t="n">
        <v>45962</v>
      </c>
      <c r="D5272" t="inlineStr">
        <is>
          <t>JÖNKÖPINGS LÄN</t>
        </is>
      </c>
      <c r="E5272" t="inlineStr">
        <is>
          <t>EKSJÖ</t>
        </is>
      </c>
      <c r="G5272" t="n">
        <v>2.4</v>
      </c>
      <c r="H5272" t="n">
        <v>0</v>
      </c>
      <c r="I5272" t="n">
        <v>0</v>
      </c>
      <c r="J5272" t="n">
        <v>0</v>
      </c>
      <c r="K5272" t="n">
        <v>0</v>
      </c>
      <c r="L5272" t="n">
        <v>0</v>
      </c>
      <c r="M5272" t="n">
        <v>0</v>
      </c>
      <c r="N5272" t="n">
        <v>0</v>
      </c>
      <c r="O5272" t="n">
        <v>0</v>
      </c>
      <c r="P5272" t="n">
        <v>0</v>
      </c>
      <c r="Q5272" t="n">
        <v>0</v>
      </c>
      <c r="R5272" s="2" t="inlineStr"/>
    </row>
    <row r="5273" ht="15" customHeight="1">
      <c r="A5273" t="inlineStr">
        <is>
          <t>A 47968-2022</t>
        </is>
      </c>
      <c r="B5273" s="1" t="n">
        <v>44853</v>
      </c>
      <c r="C5273" s="1" t="n">
        <v>45962</v>
      </c>
      <c r="D5273" t="inlineStr">
        <is>
          <t>JÖNKÖPINGS LÄN</t>
        </is>
      </c>
      <c r="E5273" t="inlineStr">
        <is>
          <t>VÄRNAMO</t>
        </is>
      </c>
      <c r="G5273" t="n">
        <v>0.7</v>
      </c>
      <c r="H5273" t="n">
        <v>0</v>
      </c>
      <c r="I5273" t="n">
        <v>0</v>
      </c>
      <c r="J5273" t="n">
        <v>0</v>
      </c>
      <c r="K5273" t="n">
        <v>0</v>
      </c>
      <c r="L5273" t="n">
        <v>0</v>
      </c>
      <c r="M5273" t="n">
        <v>0</v>
      </c>
      <c r="N5273" t="n">
        <v>0</v>
      </c>
      <c r="O5273" t="n">
        <v>0</v>
      </c>
      <c r="P5273" t="n">
        <v>0</v>
      </c>
      <c r="Q5273" t="n">
        <v>0</v>
      </c>
      <c r="R5273" s="2" t="inlineStr"/>
    </row>
    <row r="5274" ht="15" customHeight="1">
      <c r="A5274" t="inlineStr">
        <is>
          <t>A 39758-2022</t>
        </is>
      </c>
      <c r="B5274" s="1" t="n">
        <v>44819.41871527778</v>
      </c>
      <c r="C5274" s="1" t="n">
        <v>45962</v>
      </c>
      <c r="D5274" t="inlineStr">
        <is>
          <t>JÖNKÖPINGS LÄN</t>
        </is>
      </c>
      <c r="E5274" t="inlineStr">
        <is>
          <t>VAGGERYD</t>
        </is>
      </c>
      <c r="G5274" t="n">
        <v>1.4</v>
      </c>
      <c r="H5274" t="n">
        <v>0</v>
      </c>
      <c r="I5274" t="n">
        <v>0</v>
      </c>
      <c r="J5274" t="n">
        <v>0</v>
      </c>
      <c r="K5274" t="n">
        <v>0</v>
      </c>
      <c r="L5274" t="n">
        <v>0</v>
      </c>
      <c r="M5274" t="n">
        <v>0</v>
      </c>
      <c r="N5274" t="n">
        <v>0</v>
      </c>
      <c r="O5274" t="n">
        <v>0</v>
      </c>
      <c r="P5274" t="n">
        <v>0</v>
      </c>
      <c r="Q5274" t="n">
        <v>0</v>
      </c>
      <c r="R5274" s="2" t="inlineStr"/>
    </row>
    <row r="5275" ht="15" customHeight="1">
      <c r="A5275" t="inlineStr">
        <is>
          <t>A 31609-2025</t>
        </is>
      </c>
      <c r="B5275" s="1" t="n">
        <v>45833.78055555555</v>
      </c>
      <c r="C5275" s="1" t="n">
        <v>45962</v>
      </c>
      <c r="D5275" t="inlineStr">
        <is>
          <t>JÖNKÖPINGS LÄN</t>
        </is>
      </c>
      <c r="E5275" t="inlineStr">
        <is>
          <t>HABO</t>
        </is>
      </c>
      <c r="G5275" t="n">
        <v>2.7</v>
      </c>
      <c r="H5275" t="n">
        <v>0</v>
      </c>
      <c r="I5275" t="n">
        <v>0</v>
      </c>
      <c r="J5275" t="n">
        <v>0</v>
      </c>
      <c r="K5275" t="n">
        <v>0</v>
      </c>
      <c r="L5275" t="n">
        <v>0</v>
      </c>
      <c r="M5275" t="n">
        <v>0</v>
      </c>
      <c r="N5275" t="n">
        <v>0</v>
      </c>
      <c r="O5275" t="n">
        <v>0</v>
      </c>
      <c r="P5275" t="n">
        <v>0</v>
      </c>
      <c r="Q5275" t="n">
        <v>0</v>
      </c>
      <c r="R5275" s="2" t="inlineStr"/>
    </row>
    <row r="5276" ht="15" customHeight="1">
      <c r="A5276" t="inlineStr">
        <is>
          <t>A 47987-2022</t>
        </is>
      </c>
      <c r="B5276" s="1" t="n">
        <v>44853</v>
      </c>
      <c r="C5276" s="1" t="n">
        <v>45962</v>
      </c>
      <c r="D5276" t="inlineStr">
        <is>
          <t>JÖNKÖPINGS LÄN</t>
        </is>
      </c>
      <c r="E5276" t="inlineStr">
        <is>
          <t>VÄRNAMO</t>
        </is>
      </c>
      <c r="G5276" t="n">
        <v>2.3</v>
      </c>
      <c r="H5276" t="n">
        <v>0</v>
      </c>
      <c r="I5276" t="n">
        <v>0</v>
      </c>
      <c r="J5276" t="n">
        <v>0</v>
      </c>
      <c r="K5276" t="n">
        <v>0</v>
      </c>
      <c r="L5276" t="n">
        <v>0</v>
      </c>
      <c r="M5276" t="n">
        <v>0</v>
      </c>
      <c r="N5276" t="n">
        <v>0</v>
      </c>
      <c r="O5276" t="n">
        <v>0</v>
      </c>
      <c r="P5276" t="n">
        <v>0</v>
      </c>
      <c r="Q5276" t="n">
        <v>0</v>
      </c>
      <c r="R5276" s="2" t="inlineStr"/>
    </row>
    <row r="5277" ht="15" customHeight="1">
      <c r="A5277" t="inlineStr">
        <is>
          <t>A 47846-2021</t>
        </is>
      </c>
      <c r="B5277" s="1" t="n">
        <v>44448.65282407407</v>
      </c>
      <c r="C5277" s="1" t="n">
        <v>45962</v>
      </c>
      <c r="D5277" t="inlineStr">
        <is>
          <t>JÖNKÖPINGS LÄN</t>
        </is>
      </c>
      <c r="E5277" t="inlineStr">
        <is>
          <t>VETLANDA</t>
        </is>
      </c>
      <c r="F5277" t="inlineStr">
        <is>
          <t>Sveaskog</t>
        </is>
      </c>
      <c r="G5277" t="n">
        <v>1.5</v>
      </c>
      <c r="H5277" t="n">
        <v>0</v>
      </c>
      <c r="I5277" t="n">
        <v>0</v>
      </c>
      <c r="J5277" t="n">
        <v>0</v>
      </c>
      <c r="K5277" t="n">
        <v>0</v>
      </c>
      <c r="L5277" t="n">
        <v>0</v>
      </c>
      <c r="M5277" t="n">
        <v>0</v>
      </c>
      <c r="N5277" t="n">
        <v>0</v>
      </c>
      <c r="O5277" t="n">
        <v>0</v>
      </c>
      <c r="P5277" t="n">
        <v>0</v>
      </c>
      <c r="Q5277" t="n">
        <v>0</v>
      </c>
      <c r="R5277" s="2" t="inlineStr"/>
    </row>
    <row r="5278" ht="15" customHeight="1">
      <c r="A5278" t="inlineStr">
        <is>
          <t>A 31755-2025</t>
        </is>
      </c>
      <c r="B5278" s="1" t="n">
        <v>45834.48693287037</v>
      </c>
      <c r="C5278" s="1" t="n">
        <v>45962</v>
      </c>
      <c r="D5278" t="inlineStr">
        <is>
          <t>JÖNKÖPINGS LÄN</t>
        </is>
      </c>
      <c r="E5278" t="inlineStr">
        <is>
          <t>SÄVSJÖ</t>
        </is>
      </c>
      <c r="G5278" t="n">
        <v>0.9</v>
      </c>
      <c r="H5278" t="n">
        <v>0</v>
      </c>
      <c r="I5278" t="n">
        <v>0</v>
      </c>
      <c r="J5278" t="n">
        <v>0</v>
      </c>
      <c r="K5278" t="n">
        <v>0</v>
      </c>
      <c r="L5278" t="n">
        <v>0</v>
      </c>
      <c r="M5278" t="n">
        <v>0</v>
      </c>
      <c r="N5278" t="n">
        <v>0</v>
      </c>
      <c r="O5278" t="n">
        <v>0</v>
      </c>
      <c r="P5278" t="n">
        <v>0</v>
      </c>
      <c r="Q5278" t="n">
        <v>0</v>
      </c>
      <c r="R5278" s="2" t="inlineStr"/>
    </row>
    <row r="5279" ht="15" customHeight="1">
      <c r="A5279" t="inlineStr">
        <is>
          <t>A 31983-2025</t>
        </is>
      </c>
      <c r="B5279" s="1" t="n">
        <v>45835.36065972222</v>
      </c>
      <c r="C5279" s="1" t="n">
        <v>45962</v>
      </c>
      <c r="D5279" t="inlineStr">
        <is>
          <t>JÖNKÖPINGS LÄN</t>
        </is>
      </c>
      <c r="E5279" t="inlineStr">
        <is>
          <t>VETLANDA</t>
        </is>
      </c>
      <c r="G5279" t="n">
        <v>5.1</v>
      </c>
      <c r="H5279" t="n">
        <v>0</v>
      </c>
      <c r="I5279" t="n">
        <v>0</v>
      </c>
      <c r="J5279" t="n">
        <v>0</v>
      </c>
      <c r="K5279" t="n">
        <v>0</v>
      </c>
      <c r="L5279" t="n">
        <v>0</v>
      </c>
      <c r="M5279" t="n">
        <v>0</v>
      </c>
      <c r="N5279" t="n">
        <v>0</v>
      </c>
      <c r="O5279" t="n">
        <v>0</v>
      </c>
      <c r="P5279" t="n">
        <v>0</v>
      </c>
      <c r="Q5279" t="n">
        <v>0</v>
      </c>
      <c r="R5279" s="2" t="inlineStr"/>
    </row>
    <row r="5280" ht="15" customHeight="1">
      <c r="A5280" t="inlineStr">
        <is>
          <t>A 58792-2023</t>
        </is>
      </c>
      <c r="B5280" s="1" t="n">
        <v>45252.34416666667</v>
      </c>
      <c r="C5280" s="1" t="n">
        <v>45962</v>
      </c>
      <c r="D5280" t="inlineStr">
        <is>
          <t>JÖNKÖPINGS LÄN</t>
        </is>
      </c>
      <c r="E5280" t="inlineStr">
        <is>
          <t>VÄRNAMO</t>
        </is>
      </c>
      <c r="G5280" t="n">
        <v>2.8</v>
      </c>
      <c r="H5280" t="n">
        <v>0</v>
      </c>
      <c r="I5280" t="n">
        <v>0</v>
      </c>
      <c r="J5280" t="n">
        <v>0</v>
      </c>
      <c r="K5280" t="n">
        <v>0</v>
      </c>
      <c r="L5280" t="n">
        <v>0</v>
      </c>
      <c r="M5280" t="n">
        <v>0</v>
      </c>
      <c r="N5280" t="n">
        <v>0</v>
      </c>
      <c r="O5280" t="n">
        <v>0</v>
      </c>
      <c r="P5280" t="n">
        <v>0</v>
      </c>
      <c r="Q5280" t="n">
        <v>0</v>
      </c>
      <c r="R5280" s="2" t="inlineStr"/>
    </row>
    <row r="5281" ht="15" customHeight="1">
      <c r="A5281" t="inlineStr">
        <is>
          <t>A 45261-2023</t>
        </is>
      </c>
      <c r="B5281" s="1" t="n">
        <v>45191</v>
      </c>
      <c r="C5281" s="1" t="n">
        <v>45962</v>
      </c>
      <c r="D5281" t="inlineStr">
        <is>
          <t>JÖNKÖPINGS LÄN</t>
        </is>
      </c>
      <c r="E5281" t="inlineStr">
        <is>
          <t>GISLAVED</t>
        </is>
      </c>
      <c r="G5281" t="n">
        <v>0.9</v>
      </c>
      <c r="H5281" t="n">
        <v>0</v>
      </c>
      <c r="I5281" t="n">
        <v>0</v>
      </c>
      <c r="J5281" t="n">
        <v>0</v>
      </c>
      <c r="K5281" t="n">
        <v>0</v>
      </c>
      <c r="L5281" t="n">
        <v>0</v>
      </c>
      <c r="M5281" t="n">
        <v>0</v>
      </c>
      <c r="N5281" t="n">
        <v>0</v>
      </c>
      <c r="O5281" t="n">
        <v>0</v>
      </c>
      <c r="P5281" t="n">
        <v>0</v>
      </c>
      <c r="Q5281" t="n">
        <v>0</v>
      </c>
      <c r="R5281" s="2" t="inlineStr"/>
    </row>
    <row r="5282" ht="15" customHeight="1">
      <c r="A5282" t="inlineStr">
        <is>
          <t>A 45263-2023</t>
        </is>
      </c>
      <c r="B5282" s="1" t="n">
        <v>45191</v>
      </c>
      <c r="C5282" s="1" t="n">
        <v>45962</v>
      </c>
      <c r="D5282" t="inlineStr">
        <is>
          <t>JÖNKÖPINGS LÄN</t>
        </is>
      </c>
      <c r="E5282" t="inlineStr">
        <is>
          <t>GISLAVED</t>
        </is>
      </c>
      <c r="G5282" t="n">
        <v>1.8</v>
      </c>
      <c r="H5282" t="n">
        <v>0</v>
      </c>
      <c r="I5282" t="n">
        <v>0</v>
      </c>
      <c r="J5282" t="n">
        <v>0</v>
      </c>
      <c r="K5282" t="n">
        <v>0</v>
      </c>
      <c r="L5282" t="n">
        <v>0</v>
      </c>
      <c r="M5282" t="n">
        <v>0</v>
      </c>
      <c r="N5282" t="n">
        <v>0</v>
      </c>
      <c r="O5282" t="n">
        <v>0</v>
      </c>
      <c r="P5282" t="n">
        <v>0</v>
      </c>
      <c r="Q5282" t="n">
        <v>0</v>
      </c>
      <c r="R5282" s="2" t="inlineStr"/>
    </row>
    <row r="5283" ht="15" customHeight="1">
      <c r="A5283" t="inlineStr">
        <is>
          <t>A 63413-2020</t>
        </is>
      </c>
      <c r="B5283" s="1" t="n">
        <v>44165.55216435185</v>
      </c>
      <c r="C5283" s="1" t="n">
        <v>45962</v>
      </c>
      <c r="D5283" t="inlineStr">
        <is>
          <t>JÖNKÖPINGS LÄN</t>
        </is>
      </c>
      <c r="E5283" t="inlineStr">
        <is>
          <t>GISLAVED</t>
        </is>
      </c>
      <c r="G5283" t="n">
        <v>1</v>
      </c>
      <c r="H5283" t="n">
        <v>0</v>
      </c>
      <c r="I5283" t="n">
        <v>0</v>
      </c>
      <c r="J5283" t="n">
        <v>0</v>
      </c>
      <c r="K5283" t="n">
        <v>0</v>
      </c>
      <c r="L5283" t="n">
        <v>0</v>
      </c>
      <c r="M5283" t="n">
        <v>0</v>
      </c>
      <c r="N5283" t="n">
        <v>0</v>
      </c>
      <c r="O5283" t="n">
        <v>0</v>
      </c>
      <c r="P5283" t="n">
        <v>0</v>
      </c>
      <c r="Q5283" t="n">
        <v>0</v>
      </c>
      <c r="R5283" s="2" t="inlineStr"/>
    </row>
    <row r="5284" ht="15" customHeight="1">
      <c r="A5284" t="inlineStr">
        <is>
          <t>A 72411-2021</t>
        </is>
      </c>
      <c r="B5284" s="1" t="n">
        <v>44545.62172453704</v>
      </c>
      <c r="C5284" s="1" t="n">
        <v>45962</v>
      </c>
      <c r="D5284" t="inlineStr">
        <is>
          <t>JÖNKÖPINGS LÄN</t>
        </is>
      </c>
      <c r="E5284" t="inlineStr">
        <is>
          <t>VETLANDA</t>
        </is>
      </c>
      <c r="G5284" t="n">
        <v>2.9</v>
      </c>
      <c r="H5284" t="n">
        <v>0</v>
      </c>
      <c r="I5284" t="n">
        <v>0</v>
      </c>
      <c r="J5284" t="n">
        <v>0</v>
      </c>
      <c r="K5284" t="n">
        <v>0</v>
      </c>
      <c r="L5284" t="n">
        <v>0</v>
      </c>
      <c r="M5284" t="n">
        <v>0</v>
      </c>
      <c r="N5284" t="n">
        <v>0</v>
      </c>
      <c r="O5284" t="n">
        <v>0</v>
      </c>
      <c r="P5284" t="n">
        <v>0</v>
      </c>
      <c r="Q5284" t="n">
        <v>0</v>
      </c>
      <c r="R5284" s="2" t="inlineStr"/>
    </row>
    <row r="5285" ht="15" customHeight="1">
      <c r="A5285" t="inlineStr">
        <is>
          <t>A 19469-2025</t>
        </is>
      </c>
      <c r="B5285" s="1" t="n">
        <v>45770.38188657408</v>
      </c>
      <c r="C5285" s="1" t="n">
        <v>45962</v>
      </c>
      <c r="D5285" t="inlineStr">
        <is>
          <t>JÖNKÖPINGS LÄN</t>
        </is>
      </c>
      <c r="E5285" t="inlineStr">
        <is>
          <t>EKSJÖ</t>
        </is>
      </c>
      <c r="F5285" t="inlineStr">
        <is>
          <t>Sveaskog</t>
        </is>
      </c>
      <c r="G5285" t="n">
        <v>1.9</v>
      </c>
      <c r="H5285" t="n">
        <v>0</v>
      </c>
      <c r="I5285" t="n">
        <v>0</v>
      </c>
      <c r="J5285" t="n">
        <v>0</v>
      </c>
      <c r="K5285" t="n">
        <v>0</v>
      </c>
      <c r="L5285" t="n">
        <v>0</v>
      </c>
      <c r="M5285" t="n">
        <v>0</v>
      </c>
      <c r="N5285" t="n">
        <v>0</v>
      </c>
      <c r="O5285" t="n">
        <v>0</v>
      </c>
      <c r="P5285" t="n">
        <v>0</v>
      </c>
      <c r="Q5285" t="n">
        <v>0</v>
      </c>
      <c r="R5285" s="2" t="inlineStr"/>
    </row>
    <row r="5286" ht="15" customHeight="1">
      <c r="A5286" t="inlineStr">
        <is>
          <t>A 19491-2025</t>
        </is>
      </c>
      <c r="B5286" s="1" t="n">
        <v>45770.38864583334</v>
      </c>
      <c r="C5286" s="1" t="n">
        <v>45962</v>
      </c>
      <c r="D5286" t="inlineStr">
        <is>
          <t>JÖNKÖPINGS LÄN</t>
        </is>
      </c>
      <c r="E5286" t="inlineStr">
        <is>
          <t>EKSJÖ</t>
        </is>
      </c>
      <c r="F5286" t="inlineStr">
        <is>
          <t>Sveaskog</t>
        </is>
      </c>
      <c r="G5286" t="n">
        <v>1.8</v>
      </c>
      <c r="H5286" t="n">
        <v>0</v>
      </c>
      <c r="I5286" t="n">
        <v>0</v>
      </c>
      <c r="J5286" t="n">
        <v>0</v>
      </c>
      <c r="K5286" t="n">
        <v>0</v>
      </c>
      <c r="L5286" t="n">
        <v>0</v>
      </c>
      <c r="M5286" t="n">
        <v>0</v>
      </c>
      <c r="N5286" t="n">
        <v>0</v>
      </c>
      <c r="O5286" t="n">
        <v>0</v>
      </c>
      <c r="P5286" t="n">
        <v>0</v>
      </c>
      <c r="Q5286" t="n">
        <v>0</v>
      </c>
      <c r="R5286" s="2" t="inlineStr"/>
    </row>
    <row r="5287" ht="15" customHeight="1">
      <c r="A5287" t="inlineStr">
        <is>
          <t>A 30162-2023</t>
        </is>
      </c>
      <c r="B5287" s="1" t="n">
        <v>45110</v>
      </c>
      <c r="C5287" s="1" t="n">
        <v>45962</v>
      </c>
      <c r="D5287" t="inlineStr">
        <is>
          <t>JÖNKÖPINGS LÄN</t>
        </is>
      </c>
      <c r="E5287" t="inlineStr">
        <is>
          <t>SÄVSJÖ</t>
        </is>
      </c>
      <c r="F5287" t="inlineStr">
        <is>
          <t>Kommuner</t>
        </is>
      </c>
      <c r="G5287" t="n">
        <v>4.4</v>
      </c>
      <c r="H5287" t="n">
        <v>0</v>
      </c>
      <c r="I5287" t="n">
        <v>0</v>
      </c>
      <c r="J5287" t="n">
        <v>0</v>
      </c>
      <c r="K5287" t="n">
        <v>0</v>
      </c>
      <c r="L5287" t="n">
        <v>0</v>
      </c>
      <c r="M5287" t="n">
        <v>0</v>
      </c>
      <c r="N5287" t="n">
        <v>0</v>
      </c>
      <c r="O5287" t="n">
        <v>0</v>
      </c>
      <c r="P5287" t="n">
        <v>0</v>
      </c>
      <c r="Q5287" t="n">
        <v>0</v>
      </c>
      <c r="R5287" s="2" t="inlineStr"/>
    </row>
    <row r="5288" ht="15" customHeight="1">
      <c r="A5288" t="inlineStr">
        <is>
          <t>A 22166-2021</t>
        </is>
      </c>
      <c r="B5288" s="1" t="n">
        <v>44325.75769675926</v>
      </c>
      <c r="C5288" s="1" t="n">
        <v>45962</v>
      </c>
      <c r="D5288" t="inlineStr">
        <is>
          <t>JÖNKÖPINGS LÄN</t>
        </is>
      </c>
      <c r="E5288" t="inlineStr">
        <is>
          <t>VETLANDA</t>
        </is>
      </c>
      <c r="G5288" t="n">
        <v>2.1</v>
      </c>
      <c r="H5288" t="n">
        <v>0</v>
      </c>
      <c r="I5288" t="n">
        <v>0</v>
      </c>
      <c r="J5288" t="n">
        <v>0</v>
      </c>
      <c r="K5288" t="n">
        <v>0</v>
      </c>
      <c r="L5288" t="n">
        <v>0</v>
      </c>
      <c r="M5288" t="n">
        <v>0</v>
      </c>
      <c r="N5288" t="n">
        <v>0</v>
      </c>
      <c r="O5288" t="n">
        <v>0</v>
      </c>
      <c r="P5288" t="n">
        <v>0</v>
      </c>
      <c r="Q5288" t="n">
        <v>0</v>
      </c>
      <c r="R5288" s="2" t="inlineStr"/>
    </row>
    <row r="5289" ht="15" customHeight="1">
      <c r="A5289" t="inlineStr">
        <is>
          <t>A 13967-2023</t>
        </is>
      </c>
      <c r="B5289" s="1" t="n">
        <v>45008</v>
      </c>
      <c r="C5289" s="1" t="n">
        <v>45962</v>
      </c>
      <c r="D5289" t="inlineStr">
        <is>
          <t>JÖNKÖPINGS LÄN</t>
        </is>
      </c>
      <c r="E5289" t="inlineStr">
        <is>
          <t>JÖNKÖPING</t>
        </is>
      </c>
      <c r="G5289" t="n">
        <v>2.9</v>
      </c>
      <c r="H5289" t="n">
        <v>0</v>
      </c>
      <c r="I5289" t="n">
        <v>0</v>
      </c>
      <c r="J5289" t="n">
        <v>0</v>
      </c>
      <c r="K5289" t="n">
        <v>0</v>
      </c>
      <c r="L5289" t="n">
        <v>0</v>
      </c>
      <c r="M5289" t="n">
        <v>0</v>
      </c>
      <c r="N5289" t="n">
        <v>0</v>
      </c>
      <c r="O5289" t="n">
        <v>0</v>
      </c>
      <c r="P5289" t="n">
        <v>0</v>
      </c>
      <c r="Q5289" t="n">
        <v>0</v>
      </c>
      <c r="R5289" s="2" t="inlineStr"/>
    </row>
    <row r="5290" ht="15" customHeight="1">
      <c r="A5290" t="inlineStr">
        <is>
          <t>A 31691-2025</t>
        </is>
      </c>
      <c r="B5290" s="1" t="n">
        <v>45834.40570601852</v>
      </c>
      <c r="C5290" s="1" t="n">
        <v>45962</v>
      </c>
      <c r="D5290" t="inlineStr">
        <is>
          <t>JÖNKÖPINGS LÄN</t>
        </is>
      </c>
      <c r="E5290" t="inlineStr">
        <is>
          <t>EKSJÖ</t>
        </is>
      </c>
      <c r="G5290" t="n">
        <v>0.8</v>
      </c>
      <c r="H5290" t="n">
        <v>0</v>
      </c>
      <c r="I5290" t="n">
        <v>0</v>
      </c>
      <c r="J5290" t="n">
        <v>0</v>
      </c>
      <c r="K5290" t="n">
        <v>0</v>
      </c>
      <c r="L5290" t="n">
        <v>0</v>
      </c>
      <c r="M5290" t="n">
        <v>0</v>
      </c>
      <c r="N5290" t="n">
        <v>0</v>
      </c>
      <c r="O5290" t="n">
        <v>0</v>
      </c>
      <c r="P5290" t="n">
        <v>0</v>
      </c>
      <c r="Q5290" t="n">
        <v>0</v>
      </c>
      <c r="R5290" s="2" t="inlineStr"/>
    </row>
    <row r="5291" ht="15" customHeight="1">
      <c r="A5291" t="inlineStr">
        <is>
          <t>A 3624-2025</t>
        </is>
      </c>
      <c r="B5291" s="1" t="n">
        <v>45681.3709375</v>
      </c>
      <c r="C5291" s="1" t="n">
        <v>45962</v>
      </c>
      <c r="D5291" t="inlineStr">
        <is>
          <t>JÖNKÖPINGS LÄN</t>
        </is>
      </c>
      <c r="E5291" t="inlineStr">
        <is>
          <t>VETLANDA</t>
        </is>
      </c>
      <c r="G5291" t="n">
        <v>2.2</v>
      </c>
      <c r="H5291" t="n">
        <v>0</v>
      </c>
      <c r="I5291" t="n">
        <v>0</v>
      </c>
      <c r="J5291" t="n">
        <v>0</v>
      </c>
      <c r="K5291" t="n">
        <v>0</v>
      </c>
      <c r="L5291" t="n">
        <v>0</v>
      </c>
      <c r="M5291" t="n">
        <v>0</v>
      </c>
      <c r="N5291" t="n">
        <v>0</v>
      </c>
      <c r="O5291" t="n">
        <v>0</v>
      </c>
      <c r="P5291" t="n">
        <v>0</v>
      </c>
      <c r="Q5291" t="n">
        <v>0</v>
      </c>
      <c r="R5291" s="2" t="inlineStr"/>
    </row>
    <row r="5292" ht="15" customHeight="1">
      <c r="A5292" t="inlineStr">
        <is>
          <t>A 3625-2025</t>
        </is>
      </c>
      <c r="B5292" s="1" t="n">
        <v>45681.37099537037</v>
      </c>
      <c r="C5292" s="1" t="n">
        <v>45962</v>
      </c>
      <c r="D5292" t="inlineStr">
        <is>
          <t>JÖNKÖPINGS LÄN</t>
        </is>
      </c>
      <c r="E5292" t="inlineStr">
        <is>
          <t>VETLANDA</t>
        </is>
      </c>
      <c r="G5292" t="n">
        <v>0.6</v>
      </c>
      <c r="H5292" t="n">
        <v>0</v>
      </c>
      <c r="I5292" t="n">
        <v>0</v>
      </c>
      <c r="J5292" t="n">
        <v>0</v>
      </c>
      <c r="K5292" t="n">
        <v>0</v>
      </c>
      <c r="L5292" t="n">
        <v>0</v>
      </c>
      <c r="M5292" t="n">
        <v>0</v>
      </c>
      <c r="N5292" t="n">
        <v>0</v>
      </c>
      <c r="O5292" t="n">
        <v>0</v>
      </c>
      <c r="P5292" t="n">
        <v>0</v>
      </c>
      <c r="Q5292" t="n">
        <v>0</v>
      </c>
      <c r="R5292" s="2" t="inlineStr"/>
    </row>
    <row r="5293" ht="15" customHeight="1">
      <c r="A5293" t="inlineStr">
        <is>
          <t>A 36440-2023</t>
        </is>
      </c>
      <c r="B5293" s="1" t="n">
        <v>45152</v>
      </c>
      <c r="C5293" s="1" t="n">
        <v>45962</v>
      </c>
      <c r="D5293" t="inlineStr">
        <is>
          <t>JÖNKÖPINGS LÄN</t>
        </is>
      </c>
      <c r="E5293" t="inlineStr">
        <is>
          <t>VETLANDA</t>
        </is>
      </c>
      <c r="G5293" t="n">
        <v>11.2</v>
      </c>
      <c r="H5293" t="n">
        <v>0</v>
      </c>
      <c r="I5293" t="n">
        <v>0</v>
      </c>
      <c r="J5293" t="n">
        <v>0</v>
      </c>
      <c r="K5293" t="n">
        <v>0</v>
      </c>
      <c r="L5293" t="n">
        <v>0</v>
      </c>
      <c r="M5293" t="n">
        <v>0</v>
      </c>
      <c r="N5293" t="n">
        <v>0</v>
      </c>
      <c r="O5293" t="n">
        <v>0</v>
      </c>
      <c r="P5293" t="n">
        <v>0</v>
      </c>
      <c r="Q5293" t="n">
        <v>0</v>
      </c>
      <c r="R5293" s="2" t="inlineStr"/>
    </row>
    <row r="5294" ht="15" customHeight="1">
      <c r="A5294" t="inlineStr">
        <is>
          <t>A 51855-2024</t>
        </is>
      </c>
      <c r="B5294" s="1" t="n">
        <v>45607.54099537037</v>
      </c>
      <c r="C5294" s="1" t="n">
        <v>45962</v>
      </c>
      <c r="D5294" t="inlineStr">
        <is>
          <t>JÖNKÖPINGS LÄN</t>
        </is>
      </c>
      <c r="E5294" t="inlineStr">
        <is>
          <t>VAGGERYD</t>
        </is>
      </c>
      <c r="F5294" t="inlineStr">
        <is>
          <t>Sveaskog</t>
        </is>
      </c>
      <c r="G5294" t="n">
        <v>1.8</v>
      </c>
      <c r="H5294" t="n">
        <v>0</v>
      </c>
      <c r="I5294" t="n">
        <v>0</v>
      </c>
      <c r="J5294" t="n">
        <v>0</v>
      </c>
      <c r="K5294" t="n">
        <v>0</v>
      </c>
      <c r="L5294" t="n">
        <v>0</v>
      </c>
      <c r="M5294" t="n">
        <v>0</v>
      </c>
      <c r="N5294" t="n">
        <v>0</v>
      </c>
      <c r="O5294" t="n">
        <v>0</v>
      </c>
      <c r="P5294" t="n">
        <v>0</v>
      </c>
      <c r="Q5294" t="n">
        <v>0</v>
      </c>
      <c r="R5294" s="2" t="inlineStr"/>
    </row>
    <row r="5295" ht="15" customHeight="1">
      <c r="A5295" t="inlineStr">
        <is>
          <t>A 38283-2023</t>
        </is>
      </c>
      <c r="B5295" s="1" t="n">
        <v>45161.63494212963</v>
      </c>
      <c r="C5295" s="1" t="n">
        <v>45962</v>
      </c>
      <c r="D5295" t="inlineStr">
        <is>
          <t>JÖNKÖPINGS LÄN</t>
        </is>
      </c>
      <c r="E5295" t="inlineStr">
        <is>
          <t>SÄVSJÖ</t>
        </is>
      </c>
      <c r="G5295" t="n">
        <v>1.6</v>
      </c>
      <c r="H5295" t="n">
        <v>0</v>
      </c>
      <c r="I5295" t="n">
        <v>0</v>
      </c>
      <c r="J5295" t="n">
        <v>0</v>
      </c>
      <c r="K5295" t="n">
        <v>0</v>
      </c>
      <c r="L5295" t="n">
        <v>0</v>
      </c>
      <c r="M5295" t="n">
        <v>0</v>
      </c>
      <c r="N5295" t="n">
        <v>0</v>
      </c>
      <c r="O5295" t="n">
        <v>0</v>
      </c>
      <c r="P5295" t="n">
        <v>0</v>
      </c>
      <c r="Q5295" t="n">
        <v>0</v>
      </c>
      <c r="R5295" s="2" t="inlineStr"/>
    </row>
    <row r="5296" ht="15" customHeight="1">
      <c r="A5296" t="inlineStr">
        <is>
          <t>A 38337-2023</t>
        </is>
      </c>
      <c r="B5296" s="1" t="n">
        <v>45161.86523148148</v>
      </c>
      <c r="C5296" s="1" t="n">
        <v>45962</v>
      </c>
      <c r="D5296" t="inlineStr">
        <is>
          <t>JÖNKÖPINGS LÄN</t>
        </is>
      </c>
      <c r="E5296" t="inlineStr">
        <is>
          <t>EKSJÖ</t>
        </is>
      </c>
      <c r="G5296" t="n">
        <v>1.1</v>
      </c>
      <c r="H5296" t="n">
        <v>0</v>
      </c>
      <c r="I5296" t="n">
        <v>0</v>
      </c>
      <c r="J5296" t="n">
        <v>0</v>
      </c>
      <c r="K5296" t="n">
        <v>0</v>
      </c>
      <c r="L5296" t="n">
        <v>0</v>
      </c>
      <c r="M5296" t="n">
        <v>0</v>
      </c>
      <c r="N5296" t="n">
        <v>0</v>
      </c>
      <c r="O5296" t="n">
        <v>0</v>
      </c>
      <c r="P5296" t="n">
        <v>0</v>
      </c>
      <c r="Q5296" t="n">
        <v>0</v>
      </c>
      <c r="R5296" s="2" t="inlineStr"/>
    </row>
    <row r="5297" ht="15" customHeight="1">
      <c r="A5297" t="inlineStr">
        <is>
          <t>A 62721-2021</t>
        </is>
      </c>
      <c r="B5297" s="1" t="n">
        <v>44503</v>
      </c>
      <c r="C5297" s="1" t="n">
        <v>45962</v>
      </c>
      <c r="D5297" t="inlineStr">
        <is>
          <t>JÖNKÖPINGS LÄN</t>
        </is>
      </c>
      <c r="E5297" t="inlineStr">
        <is>
          <t>VETLANDA</t>
        </is>
      </c>
      <c r="G5297" t="n">
        <v>4.5</v>
      </c>
      <c r="H5297" t="n">
        <v>0</v>
      </c>
      <c r="I5297" t="n">
        <v>0</v>
      </c>
      <c r="J5297" t="n">
        <v>0</v>
      </c>
      <c r="K5297" t="n">
        <v>0</v>
      </c>
      <c r="L5297" t="n">
        <v>0</v>
      </c>
      <c r="M5297" t="n">
        <v>0</v>
      </c>
      <c r="N5297" t="n">
        <v>0</v>
      </c>
      <c r="O5297" t="n">
        <v>0</v>
      </c>
      <c r="P5297" t="n">
        <v>0</v>
      </c>
      <c r="Q5297" t="n">
        <v>0</v>
      </c>
      <c r="R5297" s="2" t="inlineStr"/>
    </row>
    <row r="5298" ht="15" customHeight="1">
      <c r="A5298" t="inlineStr">
        <is>
          <t>A 29091-2023</t>
        </is>
      </c>
      <c r="B5298" s="1" t="n">
        <v>45105.34402777778</v>
      </c>
      <c r="C5298" s="1" t="n">
        <v>45962</v>
      </c>
      <c r="D5298" t="inlineStr">
        <is>
          <t>JÖNKÖPINGS LÄN</t>
        </is>
      </c>
      <c r="E5298" t="inlineStr">
        <is>
          <t>JÖNKÖPING</t>
        </is>
      </c>
      <c r="G5298" t="n">
        <v>1.9</v>
      </c>
      <c r="H5298" t="n">
        <v>0</v>
      </c>
      <c r="I5298" t="n">
        <v>0</v>
      </c>
      <c r="J5298" t="n">
        <v>0</v>
      </c>
      <c r="K5298" t="n">
        <v>0</v>
      </c>
      <c r="L5298" t="n">
        <v>0</v>
      </c>
      <c r="M5298" t="n">
        <v>0</v>
      </c>
      <c r="N5298" t="n">
        <v>0</v>
      </c>
      <c r="O5298" t="n">
        <v>0</v>
      </c>
      <c r="P5298" t="n">
        <v>0</v>
      </c>
      <c r="Q5298" t="n">
        <v>0</v>
      </c>
      <c r="R5298" s="2" t="inlineStr"/>
    </row>
    <row r="5299" ht="15" customHeight="1">
      <c r="A5299" t="inlineStr">
        <is>
          <t>A 31767-2025</t>
        </is>
      </c>
      <c r="B5299" s="1" t="n">
        <v>45834.49851851852</v>
      </c>
      <c r="C5299" s="1" t="n">
        <v>45962</v>
      </c>
      <c r="D5299" t="inlineStr">
        <is>
          <t>JÖNKÖPINGS LÄN</t>
        </is>
      </c>
      <c r="E5299" t="inlineStr">
        <is>
          <t>VETLANDA</t>
        </is>
      </c>
      <c r="G5299" t="n">
        <v>0.9</v>
      </c>
      <c r="H5299" t="n">
        <v>0</v>
      </c>
      <c r="I5299" t="n">
        <v>0</v>
      </c>
      <c r="J5299" t="n">
        <v>0</v>
      </c>
      <c r="K5299" t="n">
        <v>0</v>
      </c>
      <c r="L5299" t="n">
        <v>0</v>
      </c>
      <c r="M5299" t="n">
        <v>0</v>
      </c>
      <c r="N5299" t="n">
        <v>0</v>
      </c>
      <c r="O5299" t="n">
        <v>0</v>
      </c>
      <c r="P5299" t="n">
        <v>0</v>
      </c>
      <c r="Q5299" t="n">
        <v>0</v>
      </c>
      <c r="R5299" s="2" t="inlineStr"/>
    </row>
    <row r="5300" ht="15" customHeight="1">
      <c r="A5300" t="inlineStr">
        <is>
          <t>A 14219-2023</t>
        </is>
      </c>
      <c r="B5300" s="1" t="n">
        <v>45009</v>
      </c>
      <c r="C5300" s="1" t="n">
        <v>45962</v>
      </c>
      <c r="D5300" t="inlineStr">
        <is>
          <t>JÖNKÖPINGS LÄN</t>
        </is>
      </c>
      <c r="E5300" t="inlineStr">
        <is>
          <t>GISLAVED</t>
        </is>
      </c>
      <c r="G5300" t="n">
        <v>1.6</v>
      </c>
      <c r="H5300" t="n">
        <v>0</v>
      </c>
      <c r="I5300" t="n">
        <v>0</v>
      </c>
      <c r="J5300" t="n">
        <v>0</v>
      </c>
      <c r="K5300" t="n">
        <v>0</v>
      </c>
      <c r="L5300" t="n">
        <v>0</v>
      </c>
      <c r="M5300" t="n">
        <v>0</v>
      </c>
      <c r="N5300" t="n">
        <v>0</v>
      </c>
      <c r="O5300" t="n">
        <v>0</v>
      </c>
      <c r="P5300" t="n">
        <v>0</v>
      </c>
      <c r="Q5300" t="n">
        <v>0</v>
      </c>
      <c r="R5300" s="2" t="inlineStr"/>
    </row>
    <row r="5301" ht="15" customHeight="1">
      <c r="A5301" t="inlineStr">
        <is>
          <t>A 37611-2024</t>
        </is>
      </c>
      <c r="B5301" s="1" t="n">
        <v>45541.5005787037</v>
      </c>
      <c r="C5301" s="1" t="n">
        <v>45962</v>
      </c>
      <c r="D5301" t="inlineStr">
        <is>
          <t>JÖNKÖPINGS LÄN</t>
        </is>
      </c>
      <c r="E5301" t="inlineStr">
        <is>
          <t>SÄVSJÖ</t>
        </is>
      </c>
      <c r="G5301" t="n">
        <v>3.4</v>
      </c>
      <c r="H5301" t="n">
        <v>0</v>
      </c>
      <c r="I5301" t="n">
        <v>0</v>
      </c>
      <c r="J5301" t="n">
        <v>0</v>
      </c>
      <c r="K5301" t="n">
        <v>0</v>
      </c>
      <c r="L5301" t="n">
        <v>0</v>
      </c>
      <c r="M5301" t="n">
        <v>0</v>
      </c>
      <c r="N5301" t="n">
        <v>0</v>
      </c>
      <c r="O5301" t="n">
        <v>0</v>
      </c>
      <c r="P5301" t="n">
        <v>0</v>
      </c>
      <c r="Q5301" t="n">
        <v>0</v>
      </c>
      <c r="R5301" s="2" t="inlineStr"/>
    </row>
    <row r="5302" ht="15" customHeight="1">
      <c r="A5302" t="inlineStr">
        <is>
          <t>A 49494-2023</t>
        </is>
      </c>
      <c r="B5302" s="1" t="n">
        <v>45211.56078703704</v>
      </c>
      <c r="C5302" s="1" t="n">
        <v>45962</v>
      </c>
      <c r="D5302" t="inlineStr">
        <is>
          <t>JÖNKÖPINGS LÄN</t>
        </is>
      </c>
      <c r="E5302" t="inlineStr">
        <is>
          <t>GISLAVED</t>
        </is>
      </c>
      <c r="G5302" t="n">
        <v>0.5</v>
      </c>
      <c r="H5302" t="n">
        <v>0</v>
      </c>
      <c r="I5302" t="n">
        <v>0</v>
      </c>
      <c r="J5302" t="n">
        <v>0</v>
      </c>
      <c r="K5302" t="n">
        <v>0</v>
      </c>
      <c r="L5302" t="n">
        <v>0</v>
      </c>
      <c r="M5302" t="n">
        <v>0</v>
      </c>
      <c r="N5302" t="n">
        <v>0</v>
      </c>
      <c r="O5302" t="n">
        <v>0</v>
      </c>
      <c r="P5302" t="n">
        <v>0</v>
      </c>
      <c r="Q5302" t="n">
        <v>0</v>
      </c>
      <c r="R5302" s="2" t="inlineStr"/>
    </row>
    <row r="5303" ht="15" customHeight="1">
      <c r="A5303" t="inlineStr">
        <is>
          <t>A 68171-2021</t>
        </is>
      </c>
      <c r="B5303" s="1" t="n">
        <v>44526</v>
      </c>
      <c r="C5303" s="1" t="n">
        <v>45962</v>
      </c>
      <c r="D5303" t="inlineStr">
        <is>
          <t>JÖNKÖPINGS LÄN</t>
        </is>
      </c>
      <c r="E5303" t="inlineStr">
        <is>
          <t>VÄRNAMO</t>
        </is>
      </c>
      <c r="F5303" t="inlineStr">
        <is>
          <t>Kommuner</t>
        </is>
      </c>
      <c r="G5303" t="n">
        <v>1.2</v>
      </c>
      <c r="H5303" t="n">
        <v>0</v>
      </c>
      <c r="I5303" t="n">
        <v>0</v>
      </c>
      <c r="J5303" t="n">
        <v>0</v>
      </c>
      <c r="K5303" t="n">
        <v>0</v>
      </c>
      <c r="L5303" t="n">
        <v>0</v>
      </c>
      <c r="M5303" t="n">
        <v>0</v>
      </c>
      <c r="N5303" t="n">
        <v>0</v>
      </c>
      <c r="O5303" t="n">
        <v>0</v>
      </c>
      <c r="P5303" t="n">
        <v>0</v>
      </c>
      <c r="Q5303" t="n">
        <v>0</v>
      </c>
      <c r="R5303" s="2" t="inlineStr"/>
    </row>
    <row r="5304" ht="15" customHeight="1">
      <c r="A5304" t="inlineStr">
        <is>
          <t>A 40190-2024</t>
        </is>
      </c>
      <c r="B5304" s="1" t="n">
        <v>45554.57090277778</v>
      </c>
      <c r="C5304" s="1" t="n">
        <v>45962</v>
      </c>
      <c r="D5304" t="inlineStr">
        <is>
          <t>JÖNKÖPINGS LÄN</t>
        </is>
      </c>
      <c r="E5304" t="inlineStr">
        <is>
          <t>VAGGERYD</t>
        </is>
      </c>
      <c r="F5304" t="inlineStr">
        <is>
          <t>Sveaskog</t>
        </is>
      </c>
      <c r="G5304" t="n">
        <v>1.9</v>
      </c>
      <c r="H5304" t="n">
        <v>0</v>
      </c>
      <c r="I5304" t="n">
        <v>0</v>
      </c>
      <c r="J5304" t="n">
        <v>0</v>
      </c>
      <c r="K5304" t="n">
        <v>0</v>
      </c>
      <c r="L5304" t="n">
        <v>0</v>
      </c>
      <c r="M5304" t="n">
        <v>0</v>
      </c>
      <c r="N5304" t="n">
        <v>0</v>
      </c>
      <c r="O5304" t="n">
        <v>0</v>
      </c>
      <c r="P5304" t="n">
        <v>0</v>
      </c>
      <c r="Q5304" t="n">
        <v>0</v>
      </c>
      <c r="R5304" s="2" t="inlineStr"/>
    </row>
    <row r="5305" ht="15" customHeight="1">
      <c r="A5305" t="inlineStr">
        <is>
          <t>A 41440-2024</t>
        </is>
      </c>
      <c r="B5305" s="1" t="n">
        <v>45560</v>
      </c>
      <c r="C5305" s="1" t="n">
        <v>45962</v>
      </c>
      <c r="D5305" t="inlineStr">
        <is>
          <t>JÖNKÖPINGS LÄN</t>
        </is>
      </c>
      <c r="E5305" t="inlineStr">
        <is>
          <t>EKSJÖ</t>
        </is>
      </c>
      <c r="F5305" t="inlineStr">
        <is>
          <t>Kyrkan</t>
        </is>
      </c>
      <c r="G5305" t="n">
        <v>2.5</v>
      </c>
      <c r="H5305" t="n">
        <v>0</v>
      </c>
      <c r="I5305" t="n">
        <v>0</v>
      </c>
      <c r="J5305" t="n">
        <v>0</v>
      </c>
      <c r="K5305" t="n">
        <v>0</v>
      </c>
      <c r="L5305" t="n">
        <v>0</v>
      </c>
      <c r="M5305" t="n">
        <v>0</v>
      </c>
      <c r="N5305" t="n">
        <v>0</v>
      </c>
      <c r="O5305" t="n">
        <v>0</v>
      </c>
      <c r="P5305" t="n">
        <v>0</v>
      </c>
      <c r="Q5305" t="n">
        <v>0</v>
      </c>
      <c r="R5305" s="2" t="inlineStr"/>
    </row>
    <row r="5306" ht="15" customHeight="1">
      <c r="A5306" t="inlineStr">
        <is>
          <t>A 26450-2024</t>
        </is>
      </c>
      <c r="B5306" s="1" t="n">
        <v>45469.51027777778</v>
      </c>
      <c r="C5306" s="1" t="n">
        <v>45962</v>
      </c>
      <c r="D5306" t="inlineStr">
        <is>
          <t>JÖNKÖPINGS LÄN</t>
        </is>
      </c>
      <c r="E5306" t="inlineStr">
        <is>
          <t>VAGGERYD</t>
        </is>
      </c>
      <c r="F5306" t="inlineStr">
        <is>
          <t>Sveaskog</t>
        </is>
      </c>
      <c r="G5306" t="n">
        <v>1</v>
      </c>
      <c r="H5306" t="n">
        <v>0</v>
      </c>
      <c r="I5306" t="n">
        <v>0</v>
      </c>
      <c r="J5306" t="n">
        <v>0</v>
      </c>
      <c r="K5306" t="n">
        <v>0</v>
      </c>
      <c r="L5306" t="n">
        <v>0</v>
      </c>
      <c r="M5306" t="n">
        <v>0</v>
      </c>
      <c r="N5306" t="n">
        <v>0</v>
      </c>
      <c r="O5306" t="n">
        <v>0</v>
      </c>
      <c r="P5306" t="n">
        <v>0</v>
      </c>
      <c r="Q5306" t="n">
        <v>0</v>
      </c>
      <c r="R5306" s="2" t="inlineStr"/>
    </row>
    <row r="5307" ht="15" customHeight="1">
      <c r="A5307" t="inlineStr">
        <is>
          <t>A 35691-2021</t>
        </is>
      </c>
      <c r="B5307" s="1" t="n">
        <v>44386</v>
      </c>
      <c r="C5307" s="1" t="n">
        <v>45962</v>
      </c>
      <c r="D5307" t="inlineStr">
        <is>
          <t>JÖNKÖPINGS LÄN</t>
        </is>
      </c>
      <c r="E5307" t="inlineStr">
        <is>
          <t>TRANÅS</t>
        </is>
      </c>
      <c r="G5307" t="n">
        <v>8.5</v>
      </c>
      <c r="H5307" t="n">
        <v>0</v>
      </c>
      <c r="I5307" t="n">
        <v>0</v>
      </c>
      <c r="J5307" t="n">
        <v>0</v>
      </c>
      <c r="K5307" t="n">
        <v>0</v>
      </c>
      <c r="L5307" t="n">
        <v>0</v>
      </c>
      <c r="M5307" t="n">
        <v>0</v>
      </c>
      <c r="N5307" t="n">
        <v>0</v>
      </c>
      <c r="O5307" t="n">
        <v>0</v>
      </c>
      <c r="P5307" t="n">
        <v>0</v>
      </c>
      <c r="Q5307" t="n">
        <v>0</v>
      </c>
      <c r="R5307" s="2" t="inlineStr"/>
    </row>
    <row r="5308" ht="15" customHeight="1">
      <c r="A5308" t="inlineStr">
        <is>
          <t>A 35696-2021</t>
        </is>
      </c>
      <c r="B5308" s="1" t="n">
        <v>44386.48453703704</v>
      </c>
      <c r="C5308" s="1" t="n">
        <v>45962</v>
      </c>
      <c r="D5308" t="inlineStr">
        <is>
          <t>JÖNKÖPINGS LÄN</t>
        </is>
      </c>
      <c r="E5308" t="inlineStr">
        <is>
          <t>TRANÅS</t>
        </is>
      </c>
      <c r="G5308" t="n">
        <v>1.3</v>
      </c>
      <c r="H5308" t="n">
        <v>0</v>
      </c>
      <c r="I5308" t="n">
        <v>0</v>
      </c>
      <c r="J5308" t="n">
        <v>0</v>
      </c>
      <c r="K5308" t="n">
        <v>0</v>
      </c>
      <c r="L5308" t="n">
        <v>0</v>
      </c>
      <c r="M5308" t="n">
        <v>0</v>
      </c>
      <c r="N5308" t="n">
        <v>0</v>
      </c>
      <c r="O5308" t="n">
        <v>0</v>
      </c>
      <c r="P5308" t="n">
        <v>0</v>
      </c>
      <c r="Q5308" t="n">
        <v>0</v>
      </c>
      <c r="R5308" s="2" t="inlineStr"/>
    </row>
    <row r="5309" ht="15" customHeight="1">
      <c r="A5309" t="inlineStr">
        <is>
          <t>A 31063-2023</t>
        </is>
      </c>
      <c r="B5309" s="1" t="n">
        <v>45113</v>
      </c>
      <c r="C5309" s="1" t="n">
        <v>45962</v>
      </c>
      <c r="D5309" t="inlineStr">
        <is>
          <t>JÖNKÖPINGS LÄN</t>
        </is>
      </c>
      <c r="E5309" t="inlineStr">
        <is>
          <t>GISLAVED</t>
        </is>
      </c>
      <c r="G5309" t="n">
        <v>1</v>
      </c>
      <c r="H5309" t="n">
        <v>0</v>
      </c>
      <c r="I5309" t="n">
        <v>0</v>
      </c>
      <c r="J5309" t="n">
        <v>0</v>
      </c>
      <c r="K5309" t="n">
        <v>0</v>
      </c>
      <c r="L5309" t="n">
        <v>0</v>
      </c>
      <c r="M5309" t="n">
        <v>0</v>
      </c>
      <c r="N5309" t="n">
        <v>0</v>
      </c>
      <c r="O5309" t="n">
        <v>0</v>
      </c>
      <c r="P5309" t="n">
        <v>0</v>
      </c>
      <c r="Q5309" t="n">
        <v>0</v>
      </c>
      <c r="R5309" s="2" t="inlineStr"/>
    </row>
    <row r="5310" ht="15" customHeight="1">
      <c r="A5310" t="inlineStr">
        <is>
          <t>A 7594-2025</t>
        </is>
      </c>
      <c r="B5310" s="1" t="n">
        <v>45705.65043981482</v>
      </c>
      <c r="C5310" s="1" t="n">
        <v>45962</v>
      </c>
      <c r="D5310" t="inlineStr">
        <is>
          <t>JÖNKÖPINGS LÄN</t>
        </is>
      </c>
      <c r="E5310" t="inlineStr">
        <is>
          <t>VÄRNAMO</t>
        </is>
      </c>
      <c r="G5310" t="n">
        <v>2.2</v>
      </c>
      <c r="H5310" t="n">
        <v>0</v>
      </c>
      <c r="I5310" t="n">
        <v>0</v>
      </c>
      <c r="J5310" t="n">
        <v>0</v>
      </c>
      <c r="K5310" t="n">
        <v>0</v>
      </c>
      <c r="L5310" t="n">
        <v>0</v>
      </c>
      <c r="M5310" t="n">
        <v>0</v>
      </c>
      <c r="N5310" t="n">
        <v>0</v>
      </c>
      <c r="O5310" t="n">
        <v>0</v>
      </c>
      <c r="P5310" t="n">
        <v>0</v>
      </c>
      <c r="Q5310" t="n">
        <v>0</v>
      </c>
      <c r="R5310" s="2" t="inlineStr"/>
    </row>
    <row r="5311" ht="15" customHeight="1">
      <c r="A5311" t="inlineStr">
        <is>
          <t>A 54292-2023</t>
        </is>
      </c>
      <c r="B5311" s="1" t="n">
        <v>45232</v>
      </c>
      <c r="C5311" s="1" t="n">
        <v>45962</v>
      </c>
      <c r="D5311" t="inlineStr">
        <is>
          <t>JÖNKÖPINGS LÄN</t>
        </is>
      </c>
      <c r="E5311" t="inlineStr">
        <is>
          <t>EKSJÖ</t>
        </is>
      </c>
      <c r="G5311" t="n">
        <v>18.3</v>
      </c>
      <c r="H5311" t="n">
        <v>0</v>
      </c>
      <c r="I5311" t="n">
        <v>0</v>
      </c>
      <c r="J5311" t="n">
        <v>0</v>
      </c>
      <c r="K5311" t="n">
        <v>0</v>
      </c>
      <c r="L5311" t="n">
        <v>0</v>
      </c>
      <c r="M5311" t="n">
        <v>0</v>
      </c>
      <c r="N5311" t="n">
        <v>0</v>
      </c>
      <c r="O5311" t="n">
        <v>0</v>
      </c>
      <c r="P5311" t="n">
        <v>0</v>
      </c>
      <c r="Q5311" t="n">
        <v>0</v>
      </c>
      <c r="R5311" s="2" t="inlineStr"/>
    </row>
    <row r="5312" ht="15" customHeight="1">
      <c r="A5312" t="inlineStr">
        <is>
          <t>A 18087-2025</t>
        </is>
      </c>
      <c r="B5312" s="1" t="n">
        <v>45761.525</v>
      </c>
      <c r="C5312" s="1" t="n">
        <v>45962</v>
      </c>
      <c r="D5312" t="inlineStr">
        <is>
          <t>JÖNKÖPINGS LÄN</t>
        </is>
      </c>
      <c r="E5312" t="inlineStr">
        <is>
          <t>EKSJÖ</t>
        </is>
      </c>
      <c r="G5312" t="n">
        <v>0.6</v>
      </c>
      <c r="H5312" t="n">
        <v>0</v>
      </c>
      <c r="I5312" t="n">
        <v>0</v>
      </c>
      <c r="J5312" t="n">
        <v>0</v>
      </c>
      <c r="K5312" t="n">
        <v>0</v>
      </c>
      <c r="L5312" t="n">
        <v>0</v>
      </c>
      <c r="M5312" t="n">
        <v>0</v>
      </c>
      <c r="N5312" t="n">
        <v>0</v>
      </c>
      <c r="O5312" t="n">
        <v>0</v>
      </c>
      <c r="P5312" t="n">
        <v>0</v>
      </c>
      <c r="Q5312" t="n">
        <v>0</v>
      </c>
      <c r="R5312" s="2" t="inlineStr"/>
    </row>
    <row r="5313" ht="15" customHeight="1">
      <c r="A5313" t="inlineStr">
        <is>
          <t>A 3017-2025</t>
        </is>
      </c>
      <c r="B5313" s="1" t="n">
        <v>45678.57498842593</v>
      </c>
      <c r="C5313" s="1" t="n">
        <v>45962</v>
      </c>
      <c r="D5313" t="inlineStr">
        <is>
          <t>JÖNKÖPINGS LÄN</t>
        </is>
      </c>
      <c r="E5313" t="inlineStr">
        <is>
          <t>VÄRNAMO</t>
        </is>
      </c>
      <c r="G5313" t="n">
        <v>0.6</v>
      </c>
      <c r="H5313" t="n">
        <v>0</v>
      </c>
      <c r="I5313" t="n">
        <v>0</v>
      </c>
      <c r="J5313" t="n">
        <v>0</v>
      </c>
      <c r="K5313" t="n">
        <v>0</v>
      </c>
      <c r="L5313" t="n">
        <v>0</v>
      </c>
      <c r="M5313" t="n">
        <v>0</v>
      </c>
      <c r="N5313" t="n">
        <v>0</v>
      </c>
      <c r="O5313" t="n">
        <v>0</v>
      </c>
      <c r="P5313" t="n">
        <v>0</v>
      </c>
      <c r="Q5313" t="n">
        <v>0</v>
      </c>
      <c r="R5313" s="2" t="inlineStr"/>
    </row>
    <row r="5314" ht="15" customHeight="1">
      <c r="A5314" t="inlineStr">
        <is>
          <t>A 23612-2022</t>
        </is>
      </c>
      <c r="B5314" s="1" t="n">
        <v>44721</v>
      </c>
      <c r="C5314" s="1" t="n">
        <v>45962</v>
      </c>
      <c r="D5314" t="inlineStr">
        <is>
          <t>JÖNKÖPINGS LÄN</t>
        </is>
      </c>
      <c r="E5314" t="inlineStr">
        <is>
          <t>GNOSJÖ</t>
        </is>
      </c>
      <c r="G5314" t="n">
        <v>4.4</v>
      </c>
      <c r="H5314" t="n">
        <v>0</v>
      </c>
      <c r="I5314" t="n">
        <v>0</v>
      </c>
      <c r="J5314" t="n">
        <v>0</v>
      </c>
      <c r="K5314" t="n">
        <v>0</v>
      </c>
      <c r="L5314" t="n">
        <v>0</v>
      </c>
      <c r="M5314" t="n">
        <v>0</v>
      </c>
      <c r="N5314" t="n">
        <v>0</v>
      </c>
      <c r="O5314" t="n">
        <v>0</v>
      </c>
      <c r="P5314" t="n">
        <v>0</v>
      </c>
      <c r="Q5314" t="n">
        <v>0</v>
      </c>
      <c r="R5314" s="2" t="inlineStr"/>
    </row>
    <row r="5315" ht="15" customHeight="1">
      <c r="A5315" t="inlineStr">
        <is>
          <t>A 3113-2025</t>
        </is>
      </c>
      <c r="B5315" s="1" t="n">
        <v>45678.70277777778</v>
      </c>
      <c r="C5315" s="1" t="n">
        <v>45962</v>
      </c>
      <c r="D5315" t="inlineStr">
        <is>
          <t>JÖNKÖPINGS LÄN</t>
        </is>
      </c>
      <c r="E5315" t="inlineStr">
        <is>
          <t>VAGGERYD</t>
        </is>
      </c>
      <c r="G5315" t="n">
        <v>3</v>
      </c>
      <c r="H5315" t="n">
        <v>0</v>
      </c>
      <c r="I5315" t="n">
        <v>0</v>
      </c>
      <c r="J5315" t="n">
        <v>0</v>
      </c>
      <c r="K5315" t="n">
        <v>0</v>
      </c>
      <c r="L5315" t="n">
        <v>0</v>
      </c>
      <c r="M5315" t="n">
        <v>0</v>
      </c>
      <c r="N5315" t="n">
        <v>0</v>
      </c>
      <c r="O5315" t="n">
        <v>0</v>
      </c>
      <c r="P5315" t="n">
        <v>0</v>
      </c>
      <c r="Q5315" t="n">
        <v>0</v>
      </c>
      <c r="R5315" s="2" t="inlineStr"/>
    </row>
    <row r="5316" ht="15" customHeight="1">
      <c r="A5316" t="inlineStr">
        <is>
          <t>A 11210-2024</t>
        </is>
      </c>
      <c r="B5316" s="1" t="n">
        <v>45371.57340277778</v>
      </c>
      <c r="C5316" s="1" t="n">
        <v>45962</v>
      </c>
      <c r="D5316" t="inlineStr">
        <is>
          <t>JÖNKÖPINGS LÄN</t>
        </is>
      </c>
      <c r="E5316" t="inlineStr">
        <is>
          <t>VÄRNAMO</t>
        </is>
      </c>
      <c r="F5316" t="inlineStr">
        <is>
          <t>Sveaskog</t>
        </is>
      </c>
      <c r="G5316" t="n">
        <v>1.9</v>
      </c>
      <c r="H5316" t="n">
        <v>0</v>
      </c>
      <c r="I5316" t="n">
        <v>0</v>
      </c>
      <c r="J5316" t="n">
        <v>0</v>
      </c>
      <c r="K5316" t="n">
        <v>0</v>
      </c>
      <c r="L5316" t="n">
        <v>0</v>
      </c>
      <c r="M5316" t="n">
        <v>0</v>
      </c>
      <c r="N5316" t="n">
        <v>0</v>
      </c>
      <c r="O5316" t="n">
        <v>0</v>
      </c>
      <c r="P5316" t="n">
        <v>0</v>
      </c>
      <c r="Q5316" t="n">
        <v>0</v>
      </c>
      <c r="R5316" s="2" t="inlineStr"/>
    </row>
    <row r="5317" ht="15" customHeight="1">
      <c r="A5317" t="inlineStr">
        <is>
          <t>A 18179-2024</t>
        </is>
      </c>
      <c r="B5317" s="1" t="n">
        <v>45420.64155092592</v>
      </c>
      <c r="C5317" s="1" t="n">
        <v>45962</v>
      </c>
      <c r="D5317" t="inlineStr">
        <is>
          <t>JÖNKÖPINGS LÄN</t>
        </is>
      </c>
      <c r="E5317" t="inlineStr">
        <is>
          <t>TRANÅS</t>
        </is>
      </c>
      <c r="G5317" t="n">
        <v>1.9</v>
      </c>
      <c r="H5317" t="n">
        <v>0</v>
      </c>
      <c r="I5317" t="n">
        <v>0</v>
      </c>
      <c r="J5317" t="n">
        <v>0</v>
      </c>
      <c r="K5317" t="n">
        <v>0</v>
      </c>
      <c r="L5317" t="n">
        <v>0</v>
      </c>
      <c r="M5317" t="n">
        <v>0</v>
      </c>
      <c r="N5317" t="n">
        <v>0</v>
      </c>
      <c r="O5317" t="n">
        <v>0</v>
      </c>
      <c r="P5317" t="n">
        <v>0</v>
      </c>
      <c r="Q5317" t="n">
        <v>0</v>
      </c>
      <c r="R5317" s="2" t="inlineStr"/>
    </row>
    <row r="5318" ht="15" customHeight="1">
      <c r="A5318" t="inlineStr">
        <is>
          <t>A 18193-2024</t>
        </is>
      </c>
      <c r="B5318" s="1" t="n">
        <v>45420.6628125</v>
      </c>
      <c r="C5318" s="1" t="n">
        <v>45962</v>
      </c>
      <c r="D5318" t="inlineStr">
        <is>
          <t>JÖNKÖPINGS LÄN</t>
        </is>
      </c>
      <c r="E5318" t="inlineStr">
        <is>
          <t>VETLANDA</t>
        </is>
      </c>
      <c r="G5318" t="n">
        <v>1.1</v>
      </c>
      <c r="H5318" t="n">
        <v>0</v>
      </c>
      <c r="I5318" t="n">
        <v>0</v>
      </c>
      <c r="J5318" t="n">
        <v>0</v>
      </c>
      <c r="K5318" t="n">
        <v>0</v>
      </c>
      <c r="L5318" t="n">
        <v>0</v>
      </c>
      <c r="M5318" t="n">
        <v>0</v>
      </c>
      <c r="N5318" t="n">
        <v>0</v>
      </c>
      <c r="O5318" t="n">
        <v>0</v>
      </c>
      <c r="P5318" t="n">
        <v>0</v>
      </c>
      <c r="Q5318" t="n">
        <v>0</v>
      </c>
      <c r="R5318" s="2" t="inlineStr"/>
    </row>
    <row r="5319" ht="15" customHeight="1">
      <c r="A5319" t="inlineStr">
        <is>
          <t>A 31757-2025</t>
        </is>
      </c>
      <c r="B5319" s="1" t="n">
        <v>45834.48820601852</v>
      </c>
      <c r="C5319" s="1" t="n">
        <v>45962</v>
      </c>
      <c r="D5319" t="inlineStr">
        <is>
          <t>JÖNKÖPINGS LÄN</t>
        </is>
      </c>
      <c r="E5319" t="inlineStr">
        <is>
          <t>JÖNKÖPING</t>
        </is>
      </c>
      <c r="G5319" t="n">
        <v>2.1</v>
      </c>
      <c r="H5319" t="n">
        <v>0</v>
      </c>
      <c r="I5319" t="n">
        <v>0</v>
      </c>
      <c r="J5319" t="n">
        <v>0</v>
      </c>
      <c r="K5319" t="n">
        <v>0</v>
      </c>
      <c r="L5319" t="n">
        <v>0</v>
      </c>
      <c r="M5319" t="n">
        <v>0</v>
      </c>
      <c r="N5319" t="n">
        <v>0</v>
      </c>
      <c r="O5319" t="n">
        <v>0</v>
      </c>
      <c r="P5319" t="n">
        <v>0</v>
      </c>
      <c r="Q5319" t="n">
        <v>0</v>
      </c>
      <c r="R5319" s="2" t="inlineStr"/>
    </row>
    <row r="5320" ht="15" customHeight="1">
      <c r="A5320" t="inlineStr">
        <is>
          <t>A 38505-2025</t>
        </is>
      </c>
      <c r="B5320" s="1" t="n">
        <v>45884.38428240741</v>
      </c>
      <c r="C5320" s="1" t="n">
        <v>45962</v>
      </c>
      <c r="D5320" t="inlineStr">
        <is>
          <t>JÖNKÖPINGS LÄN</t>
        </is>
      </c>
      <c r="E5320" t="inlineStr">
        <is>
          <t>SÄVSJÖ</t>
        </is>
      </c>
      <c r="G5320" t="n">
        <v>4.2</v>
      </c>
      <c r="H5320" t="n">
        <v>0</v>
      </c>
      <c r="I5320" t="n">
        <v>0</v>
      </c>
      <c r="J5320" t="n">
        <v>0</v>
      </c>
      <c r="K5320" t="n">
        <v>0</v>
      </c>
      <c r="L5320" t="n">
        <v>0</v>
      </c>
      <c r="M5320" t="n">
        <v>0</v>
      </c>
      <c r="N5320" t="n">
        <v>0</v>
      </c>
      <c r="O5320" t="n">
        <v>0</v>
      </c>
      <c r="P5320" t="n">
        <v>0</v>
      </c>
      <c r="Q5320" t="n">
        <v>0</v>
      </c>
      <c r="R5320" s="2" t="inlineStr"/>
    </row>
    <row r="5321" ht="15" customHeight="1">
      <c r="A5321" t="inlineStr">
        <is>
          <t>A 27608-2024</t>
        </is>
      </c>
      <c r="B5321" s="1" t="n">
        <v>45474.70864583334</v>
      </c>
      <c r="C5321" s="1" t="n">
        <v>45962</v>
      </c>
      <c r="D5321" t="inlineStr">
        <is>
          <t>JÖNKÖPINGS LÄN</t>
        </is>
      </c>
      <c r="E5321" t="inlineStr">
        <is>
          <t>JÖNKÖPING</t>
        </is>
      </c>
      <c r="G5321" t="n">
        <v>5</v>
      </c>
      <c r="H5321" t="n">
        <v>0</v>
      </c>
      <c r="I5321" t="n">
        <v>0</v>
      </c>
      <c r="J5321" t="n">
        <v>0</v>
      </c>
      <c r="K5321" t="n">
        <v>0</v>
      </c>
      <c r="L5321" t="n">
        <v>0</v>
      </c>
      <c r="M5321" t="n">
        <v>0</v>
      </c>
      <c r="N5321" t="n">
        <v>0</v>
      </c>
      <c r="O5321" t="n">
        <v>0</v>
      </c>
      <c r="P5321" t="n">
        <v>0</v>
      </c>
      <c r="Q5321" t="n">
        <v>0</v>
      </c>
      <c r="R5321" s="2" t="inlineStr"/>
    </row>
    <row r="5322" ht="15" customHeight="1">
      <c r="A5322" t="inlineStr">
        <is>
          <t>A 53474-2023</t>
        </is>
      </c>
      <c r="B5322" s="1" t="n">
        <v>45230.33274305556</v>
      </c>
      <c r="C5322" s="1" t="n">
        <v>45962</v>
      </c>
      <c r="D5322" t="inlineStr">
        <is>
          <t>JÖNKÖPINGS LÄN</t>
        </is>
      </c>
      <c r="E5322" t="inlineStr">
        <is>
          <t>VETLANDA</t>
        </is>
      </c>
      <c r="F5322" t="inlineStr">
        <is>
          <t>Sveaskog</t>
        </is>
      </c>
      <c r="G5322" t="n">
        <v>1.9</v>
      </c>
      <c r="H5322" t="n">
        <v>0</v>
      </c>
      <c r="I5322" t="n">
        <v>0</v>
      </c>
      <c r="J5322" t="n">
        <v>0</v>
      </c>
      <c r="K5322" t="n">
        <v>0</v>
      </c>
      <c r="L5322" t="n">
        <v>0</v>
      </c>
      <c r="M5322" t="n">
        <v>0</v>
      </c>
      <c r="N5322" t="n">
        <v>0</v>
      </c>
      <c r="O5322" t="n">
        <v>0</v>
      </c>
      <c r="P5322" t="n">
        <v>0</v>
      </c>
      <c r="Q5322" t="n">
        <v>0</v>
      </c>
      <c r="R5322" s="2" t="inlineStr"/>
    </row>
    <row r="5323" ht="15" customHeight="1">
      <c r="A5323" t="inlineStr">
        <is>
          <t>A 3937-2024</t>
        </is>
      </c>
      <c r="B5323" s="1" t="n">
        <v>45322</v>
      </c>
      <c r="C5323" s="1" t="n">
        <v>45962</v>
      </c>
      <c r="D5323" t="inlineStr">
        <is>
          <t>JÖNKÖPINGS LÄN</t>
        </is>
      </c>
      <c r="E5323" t="inlineStr">
        <is>
          <t>VÄRNAMO</t>
        </is>
      </c>
      <c r="G5323" t="n">
        <v>0.9</v>
      </c>
      <c r="H5323" t="n">
        <v>0</v>
      </c>
      <c r="I5323" t="n">
        <v>0</v>
      </c>
      <c r="J5323" t="n">
        <v>0</v>
      </c>
      <c r="K5323" t="n">
        <v>0</v>
      </c>
      <c r="L5323" t="n">
        <v>0</v>
      </c>
      <c r="M5323" t="n">
        <v>0</v>
      </c>
      <c r="N5323" t="n">
        <v>0</v>
      </c>
      <c r="O5323" t="n">
        <v>0</v>
      </c>
      <c r="P5323" t="n">
        <v>0</v>
      </c>
      <c r="Q5323" t="n">
        <v>0</v>
      </c>
      <c r="R5323" s="2" t="inlineStr"/>
    </row>
    <row r="5324" ht="15" customHeight="1">
      <c r="A5324" t="inlineStr">
        <is>
          <t>A 13786-2025</t>
        </is>
      </c>
      <c r="B5324" s="1" t="n">
        <v>45737.45231481481</v>
      </c>
      <c r="C5324" s="1" t="n">
        <v>45962</v>
      </c>
      <c r="D5324" t="inlineStr">
        <is>
          <t>JÖNKÖPINGS LÄN</t>
        </is>
      </c>
      <c r="E5324" t="inlineStr">
        <is>
          <t>VETLANDA</t>
        </is>
      </c>
      <c r="G5324" t="n">
        <v>3.1</v>
      </c>
      <c r="H5324" t="n">
        <v>0</v>
      </c>
      <c r="I5324" t="n">
        <v>0</v>
      </c>
      <c r="J5324" t="n">
        <v>0</v>
      </c>
      <c r="K5324" t="n">
        <v>0</v>
      </c>
      <c r="L5324" t="n">
        <v>0</v>
      </c>
      <c r="M5324" t="n">
        <v>0</v>
      </c>
      <c r="N5324" t="n">
        <v>0</v>
      </c>
      <c r="O5324" t="n">
        <v>0</v>
      </c>
      <c r="P5324" t="n">
        <v>0</v>
      </c>
      <c r="Q5324" t="n">
        <v>0</v>
      </c>
      <c r="R5324" s="2" t="inlineStr"/>
    </row>
    <row r="5325" ht="15" customHeight="1">
      <c r="A5325" t="inlineStr">
        <is>
          <t>A 18098-2021</t>
        </is>
      </c>
      <c r="B5325" s="1" t="n">
        <v>44302.48252314814</v>
      </c>
      <c r="C5325" s="1" t="n">
        <v>45962</v>
      </c>
      <c r="D5325" t="inlineStr">
        <is>
          <t>JÖNKÖPINGS LÄN</t>
        </is>
      </c>
      <c r="E5325" t="inlineStr">
        <is>
          <t>GISLAVED</t>
        </is>
      </c>
      <c r="G5325" t="n">
        <v>2</v>
      </c>
      <c r="H5325" t="n">
        <v>0</v>
      </c>
      <c r="I5325" t="n">
        <v>0</v>
      </c>
      <c r="J5325" t="n">
        <v>0</v>
      </c>
      <c r="K5325" t="n">
        <v>0</v>
      </c>
      <c r="L5325" t="n">
        <v>0</v>
      </c>
      <c r="M5325" t="n">
        <v>0</v>
      </c>
      <c r="N5325" t="n">
        <v>0</v>
      </c>
      <c r="O5325" t="n">
        <v>0</v>
      </c>
      <c r="P5325" t="n">
        <v>0</v>
      </c>
      <c r="Q5325" t="n">
        <v>0</v>
      </c>
      <c r="R5325" s="2" t="inlineStr"/>
    </row>
    <row r="5326" ht="15" customHeight="1">
      <c r="A5326" t="inlineStr">
        <is>
          <t>A 32769-2025</t>
        </is>
      </c>
      <c r="B5326" s="1" t="n">
        <v>45839.45849537037</v>
      </c>
      <c r="C5326" s="1" t="n">
        <v>45962</v>
      </c>
      <c r="D5326" t="inlineStr">
        <is>
          <t>JÖNKÖPINGS LÄN</t>
        </is>
      </c>
      <c r="E5326" t="inlineStr">
        <is>
          <t>SÄVSJÖ</t>
        </is>
      </c>
      <c r="G5326" t="n">
        <v>6.2</v>
      </c>
      <c r="H5326" t="n">
        <v>0</v>
      </c>
      <c r="I5326" t="n">
        <v>0</v>
      </c>
      <c r="J5326" t="n">
        <v>0</v>
      </c>
      <c r="K5326" t="n">
        <v>0</v>
      </c>
      <c r="L5326" t="n">
        <v>0</v>
      </c>
      <c r="M5326" t="n">
        <v>0</v>
      </c>
      <c r="N5326" t="n">
        <v>0</v>
      </c>
      <c r="O5326" t="n">
        <v>0</v>
      </c>
      <c r="P5326" t="n">
        <v>0</v>
      </c>
      <c r="Q5326" t="n">
        <v>0</v>
      </c>
      <c r="R5326" s="2" t="inlineStr"/>
    </row>
    <row r="5327" ht="15" customHeight="1">
      <c r="A5327" t="inlineStr">
        <is>
          <t>A 13096-2025</t>
        </is>
      </c>
      <c r="B5327" s="1" t="n">
        <v>45734.65965277778</v>
      </c>
      <c r="C5327" s="1" t="n">
        <v>45962</v>
      </c>
      <c r="D5327" t="inlineStr">
        <is>
          <t>JÖNKÖPINGS LÄN</t>
        </is>
      </c>
      <c r="E5327" t="inlineStr">
        <is>
          <t>NÄSSJÖ</t>
        </is>
      </c>
      <c r="G5327" t="n">
        <v>8.699999999999999</v>
      </c>
      <c r="H5327" t="n">
        <v>0</v>
      </c>
      <c r="I5327" t="n">
        <v>0</v>
      </c>
      <c r="J5327" t="n">
        <v>0</v>
      </c>
      <c r="K5327" t="n">
        <v>0</v>
      </c>
      <c r="L5327" t="n">
        <v>0</v>
      </c>
      <c r="M5327" t="n">
        <v>0</v>
      </c>
      <c r="N5327" t="n">
        <v>0</v>
      </c>
      <c r="O5327" t="n">
        <v>0</v>
      </c>
      <c r="P5327" t="n">
        <v>0</v>
      </c>
      <c r="Q5327" t="n">
        <v>0</v>
      </c>
      <c r="R5327" s="2" t="inlineStr"/>
    </row>
    <row r="5328" ht="15" customHeight="1">
      <c r="A5328" t="inlineStr">
        <is>
          <t>A 40346-2023</t>
        </is>
      </c>
      <c r="B5328" s="1" t="n">
        <v>45169</v>
      </c>
      <c r="C5328" s="1" t="n">
        <v>45962</v>
      </c>
      <c r="D5328" t="inlineStr">
        <is>
          <t>JÖNKÖPINGS LÄN</t>
        </is>
      </c>
      <c r="E5328" t="inlineStr">
        <is>
          <t>VAGGERYD</t>
        </is>
      </c>
      <c r="G5328" t="n">
        <v>3.6</v>
      </c>
      <c r="H5328" t="n">
        <v>0</v>
      </c>
      <c r="I5328" t="n">
        <v>0</v>
      </c>
      <c r="J5328" t="n">
        <v>0</v>
      </c>
      <c r="K5328" t="n">
        <v>0</v>
      </c>
      <c r="L5328" t="n">
        <v>0</v>
      </c>
      <c r="M5328" t="n">
        <v>0</v>
      </c>
      <c r="N5328" t="n">
        <v>0</v>
      </c>
      <c r="O5328" t="n">
        <v>0</v>
      </c>
      <c r="P5328" t="n">
        <v>0</v>
      </c>
      <c r="Q5328" t="n">
        <v>0</v>
      </c>
      <c r="R5328" s="2" t="inlineStr"/>
    </row>
    <row r="5329" ht="15" customHeight="1">
      <c r="A5329" t="inlineStr">
        <is>
          <t>A 11351-2024</t>
        </is>
      </c>
      <c r="B5329" s="1" t="n">
        <v>45372.34530092592</v>
      </c>
      <c r="C5329" s="1" t="n">
        <v>45962</v>
      </c>
      <c r="D5329" t="inlineStr">
        <is>
          <t>JÖNKÖPINGS LÄN</t>
        </is>
      </c>
      <c r="E5329" t="inlineStr">
        <is>
          <t>JÖNKÖPING</t>
        </is>
      </c>
      <c r="G5329" t="n">
        <v>3.7</v>
      </c>
      <c r="H5329" t="n">
        <v>0</v>
      </c>
      <c r="I5329" t="n">
        <v>0</v>
      </c>
      <c r="J5329" t="n">
        <v>0</v>
      </c>
      <c r="K5329" t="n">
        <v>0</v>
      </c>
      <c r="L5329" t="n">
        <v>0</v>
      </c>
      <c r="M5329" t="n">
        <v>0</v>
      </c>
      <c r="N5329" t="n">
        <v>0</v>
      </c>
      <c r="O5329" t="n">
        <v>0</v>
      </c>
      <c r="P5329" t="n">
        <v>0</v>
      </c>
      <c r="Q5329" t="n">
        <v>0</v>
      </c>
      <c r="R5329" s="2" t="inlineStr"/>
    </row>
    <row r="5330" ht="15" customHeight="1">
      <c r="A5330" t="inlineStr">
        <is>
          <t>A 11353-2024</t>
        </is>
      </c>
      <c r="B5330" s="1" t="n">
        <v>45372.34880787037</v>
      </c>
      <c r="C5330" s="1" t="n">
        <v>45962</v>
      </c>
      <c r="D5330" t="inlineStr">
        <is>
          <t>JÖNKÖPINGS LÄN</t>
        </is>
      </c>
      <c r="E5330" t="inlineStr">
        <is>
          <t>ANEBY</t>
        </is>
      </c>
      <c r="G5330" t="n">
        <v>1.1</v>
      </c>
      <c r="H5330" t="n">
        <v>0</v>
      </c>
      <c r="I5330" t="n">
        <v>0</v>
      </c>
      <c r="J5330" t="n">
        <v>0</v>
      </c>
      <c r="K5330" t="n">
        <v>0</v>
      </c>
      <c r="L5330" t="n">
        <v>0</v>
      </c>
      <c r="M5330" t="n">
        <v>0</v>
      </c>
      <c r="N5330" t="n">
        <v>0</v>
      </c>
      <c r="O5330" t="n">
        <v>0</v>
      </c>
      <c r="P5330" t="n">
        <v>0</v>
      </c>
      <c r="Q5330" t="n">
        <v>0</v>
      </c>
      <c r="R5330" s="2" t="inlineStr"/>
    </row>
    <row r="5331" ht="15" customHeight="1">
      <c r="A5331" t="inlineStr">
        <is>
          <t>A 11358-2024</t>
        </is>
      </c>
      <c r="B5331" s="1" t="n">
        <v>45372</v>
      </c>
      <c r="C5331" s="1" t="n">
        <v>45962</v>
      </c>
      <c r="D5331" t="inlineStr">
        <is>
          <t>JÖNKÖPINGS LÄN</t>
        </is>
      </c>
      <c r="E5331" t="inlineStr">
        <is>
          <t>NÄSSJÖ</t>
        </is>
      </c>
      <c r="G5331" t="n">
        <v>0.4</v>
      </c>
      <c r="H5331" t="n">
        <v>0</v>
      </c>
      <c r="I5331" t="n">
        <v>0</v>
      </c>
      <c r="J5331" t="n">
        <v>0</v>
      </c>
      <c r="K5331" t="n">
        <v>0</v>
      </c>
      <c r="L5331" t="n">
        <v>0</v>
      </c>
      <c r="M5331" t="n">
        <v>0</v>
      </c>
      <c r="N5331" t="n">
        <v>0</v>
      </c>
      <c r="O5331" t="n">
        <v>0</v>
      </c>
      <c r="P5331" t="n">
        <v>0</v>
      </c>
      <c r="Q5331" t="n">
        <v>0</v>
      </c>
      <c r="R5331" s="2" t="inlineStr"/>
    </row>
    <row r="5332" ht="15" customHeight="1">
      <c r="A5332" t="inlineStr">
        <is>
          <t>A 32871-2025</t>
        </is>
      </c>
      <c r="B5332" s="1" t="n">
        <v>45839.59015046297</v>
      </c>
      <c r="C5332" s="1" t="n">
        <v>45962</v>
      </c>
      <c r="D5332" t="inlineStr">
        <is>
          <t>JÖNKÖPINGS LÄN</t>
        </is>
      </c>
      <c r="E5332" t="inlineStr">
        <is>
          <t>EKSJÖ</t>
        </is>
      </c>
      <c r="F5332" t="inlineStr">
        <is>
          <t>Sveaskog</t>
        </is>
      </c>
      <c r="G5332" t="n">
        <v>3</v>
      </c>
      <c r="H5332" t="n">
        <v>0</v>
      </c>
      <c r="I5332" t="n">
        <v>0</v>
      </c>
      <c r="J5332" t="n">
        <v>0</v>
      </c>
      <c r="K5332" t="n">
        <v>0</v>
      </c>
      <c r="L5332" t="n">
        <v>0</v>
      </c>
      <c r="M5332" t="n">
        <v>0</v>
      </c>
      <c r="N5332" t="n">
        <v>0</v>
      </c>
      <c r="O5332" t="n">
        <v>0</v>
      </c>
      <c r="P5332" t="n">
        <v>0</v>
      </c>
      <c r="Q5332" t="n">
        <v>0</v>
      </c>
      <c r="R5332" s="2" t="inlineStr"/>
    </row>
    <row r="5333" ht="15" customHeight="1">
      <c r="A5333" t="inlineStr">
        <is>
          <t>A 11363-2024</t>
        </is>
      </c>
      <c r="B5333" s="1" t="n">
        <v>45372</v>
      </c>
      <c r="C5333" s="1" t="n">
        <v>45962</v>
      </c>
      <c r="D5333" t="inlineStr">
        <is>
          <t>JÖNKÖPINGS LÄN</t>
        </is>
      </c>
      <c r="E5333" t="inlineStr">
        <is>
          <t>NÄSSJÖ</t>
        </is>
      </c>
      <c r="G5333" t="n">
        <v>4.4</v>
      </c>
      <c r="H5333" t="n">
        <v>0</v>
      </c>
      <c r="I5333" t="n">
        <v>0</v>
      </c>
      <c r="J5333" t="n">
        <v>0</v>
      </c>
      <c r="K5333" t="n">
        <v>0</v>
      </c>
      <c r="L5333" t="n">
        <v>0</v>
      </c>
      <c r="M5333" t="n">
        <v>0</v>
      </c>
      <c r="N5333" t="n">
        <v>0</v>
      </c>
      <c r="O5333" t="n">
        <v>0</v>
      </c>
      <c r="P5333" t="n">
        <v>0</v>
      </c>
      <c r="Q5333" t="n">
        <v>0</v>
      </c>
      <c r="R5333" s="2" t="inlineStr"/>
    </row>
    <row r="5334" ht="15" customHeight="1">
      <c r="A5334" t="inlineStr">
        <is>
          <t>A 11365-2024</t>
        </is>
      </c>
      <c r="B5334" s="1" t="n">
        <v>45372</v>
      </c>
      <c r="C5334" s="1" t="n">
        <v>45962</v>
      </c>
      <c r="D5334" t="inlineStr">
        <is>
          <t>JÖNKÖPINGS LÄN</t>
        </is>
      </c>
      <c r="E5334" t="inlineStr">
        <is>
          <t>NÄSSJÖ</t>
        </is>
      </c>
      <c r="G5334" t="n">
        <v>0.3</v>
      </c>
      <c r="H5334" t="n">
        <v>0</v>
      </c>
      <c r="I5334" t="n">
        <v>0</v>
      </c>
      <c r="J5334" t="n">
        <v>0</v>
      </c>
      <c r="K5334" t="n">
        <v>0</v>
      </c>
      <c r="L5334" t="n">
        <v>0</v>
      </c>
      <c r="M5334" t="n">
        <v>0</v>
      </c>
      <c r="N5334" t="n">
        <v>0</v>
      </c>
      <c r="O5334" t="n">
        <v>0</v>
      </c>
      <c r="P5334" t="n">
        <v>0</v>
      </c>
      <c r="Q5334" t="n">
        <v>0</v>
      </c>
      <c r="R5334" s="2" t="inlineStr"/>
    </row>
    <row r="5335" ht="15" customHeight="1">
      <c r="A5335" t="inlineStr">
        <is>
          <t>A 54533-2023</t>
        </is>
      </c>
      <c r="B5335" s="1" t="n">
        <v>45226</v>
      </c>
      <c r="C5335" s="1" t="n">
        <v>45962</v>
      </c>
      <c r="D5335" t="inlineStr">
        <is>
          <t>JÖNKÖPINGS LÄN</t>
        </is>
      </c>
      <c r="E5335" t="inlineStr">
        <is>
          <t>SÄVSJÖ</t>
        </is>
      </c>
      <c r="F5335" t="inlineStr">
        <is>
          <t>Kyrkan</t>
        </is>
      </c>
      <c r="G5335" t="n">
        <v>0.3</v>
      </c>
      <c r="H5335" t="n">
        <v>0</v>
      </c>
      <c r="I5335" t="n">
        <v>0</v>
      </c>
      <c r="J5335" t="n">
        <v>0</v>
      </c>
      <c r="K5335" t="n">
        <v>0</v>
      </c>
      <c r="L5335" t="n">
        <v>0</v>
      </c>
      <c r="M5335" t="n">
        <v>0</v>
      </c>
      <c r="N5335" t="n">
        <v>0</v>
      </c>
      <c r="O5335" t="n">
        <v>0</v>
      </c>
      <c r="P5335" t="n">
        <v>0</v>
      </c>
      <c r="Q5335" t="n">
        <v>0</v>
      </c>
      <c r="R5335" s="2" t="inlineStr"/>
    </row>
    <row r="5336" ht="15" customHeight="1">
      <c r="A5336" t="inlineStr">
        <is>
          <t>A 45882-2023</t>
        </is>
      </c>
      <c r="B5336" s="1" t="n">
        <v>45195.6445949074</v>
      </c>
      <c r="C5336" s="1" t="n">
        <v>45962</v>
      </c>
      <c r="D5336" t="inlineStr">
        <is>
          <t>JÖNKÖPINGS LÄN</t>
        </is>
      </c>
      <c r="E5336" t="inlineStr">
        <is>
          <t>VETLANDA</t>
        </is>
      </c>
      <c r="G5336" t="n">
        <v>0.4</v>
      </c>
      <c r="H5336" t="n">
        <v>0</v>
      </c>
      <c r="I5336" t="n">
        <v>0</v>
      </c>
      <c r="J5336" t="n">
        <v>0</v>
      </c>
      <c r="K5336" t="n">
        <v>0</v>
      </c>
      <c r="L5336" t="n">
        <v>0</v>
      </c>
      <c r="M5336" t="n">
        <v>0</v>
      </c>
      <c r="N5336" t="n">
        <v>0</v>
      </c>
      <c r="O5336" t="n">
        <v>0</v>
      </c>
      <c r="P5336" t="n">
        <v>0</v>
      </c>
      <c r="Q5336" t="n">
        <v>0</v>
      </c>
      <c r="R5336" s="2" t="inlineStr"/>
    </row>
    <row r="5337" ht="15" customHeight="1">
      <c r="A5337" t="inlineStr">
        <is>
          <t>A 32691-2025</t>
        </is>
      </c>
      <c r="B5337" s="1" t="n">
        <v>45839.28930555555</v>
      </c>
      <c r="C5337" s="1" t="n">
        <v>45962</v>
      </c>
      <c r="D5337" t="inlineStr">
        <is>
          <t>JÖNKÖPINGS LÄN</t>
        </is>
      </c>
      <c r="E5337" t="inlineStr">
        <is>
          <t>VETLANDA</t>
        </is>
      </c>
      <c r="G5337" t="n">
        <v>0.9</v>
      </c>
      <c r="H5337" t="n">
        <v>0</v>
      </c>
      <c r="I5337" t="n">
        <v>0</v>
      </c>
      <c r="J5337" t="n">
        <v>0</v>
      </c>
      <c r="K5337" t="n">
        <v>0</v>
      </c>
      <c r="L5337" t="n">
        <v>0</v>
      </c>
      <c r="M5337" t="n">
        <v>0</v>
      </c>
      <c r="N5337" t="n">
        <v>0</v>
      </c>
      <c r="O5337" t="n">
        <v>0</v>
      </c>
      <c r="P5337" t="n">
        <v>0</v>
      </c>
      <c r="Q5337" t="n">
        <v>0</v>
      </c>
      <c r="R5337" s="2" t="inlineStr"/>
    </row>
    <row r="5338" ht="15" customHeight="1">
      <c r="A5338" t="inlineStr">
        <is>
          <t>A 32782-2025</t>
        </is>
      </c>
      <c r="B5338" s="1" t="n">
        <v>45839.47649305555</v>
      </c>
      <c r="C5338" s="1" t="n">
        <v>45962</v>
      </c>
      <c r="D5338" t="inlineStr">
        <is>
          <t>JÖNKÖPINGS LÄN</t>
        </is>
      </c>
      <c r="E5338" t="inlineStr">
        <is>
          <t>VETLANDA</t>
        </is>
      </c>
      <c r="G5338" t="n">
        <v>2.8</v>
      </c>
      <c r="H5338" t="n">
        <v>0</v>
      </c>
      <c r="I5338" t="n">
        <v>0</v>
      </c>
      <c r="J5338" t="n">
        <v>0</v>
      </c>
      <c r="K5338" t="n">
        <v>0</v>
      </c>
      <c r="L5338" t="n">
        <v>0</v>
      </c>
      <c r="M5338" t="n">
        <v>0</v>
      </c>
      <c r="N5338" t="n">
        <v>0</v>
      </c>
      <c r="O5338" t="n">
        <v>0</v>
      </c>
      <c r="P5338" t="n">
        <v>0</v>
      </c>
      <c r="Q5338" t="n">
        <v>0</v>
      </c>
      <c r="R5338" s="2" t="inlineStr"/>
    </row>
    <row r="5339" ht="15" customHeight="1">
      <c r="A5339" t="inlineStr">
        <is>
          <t>A 23836-2022</t>
        </is>
      </c>
      <c r="B5339" s="1" t="n">
        <v>44722</v>
      </c>
      <c r="C5339" s="1" t="n">
        <v>45962</v>
      </c>
      <c r="D5339" t="inlineStr">
        <is>
          <t>JÖNKÖPINGS LÄN</t>
        </is>
      </c>
      <c r="E5339" t="inlineStr">
        <is>
          <t>VÄRNAMO</t>
        </is>
      </c>
      <c r="G5339" t="n">
        <v>1.1</v>
      </c>
      <c r="H5339" t="n">
        <v>0</v>
      </c>
      <c r="I5339" t="n">
        <v>0</v>
      </c>
      <c r="J5339" t="n">
        <v>0</v>
      </c>
      <c r="K5339" t="n">
        <v>0</v>
      </c>
      <c r="L5339" t="n">
        <v>0</v>
      </c>
      <c r="M5339" t="n">
        <v>0</v>
      </c>
      <c r="N5339" t="n">
        <v>0</v>
      </c>
      <c r="O5339" t="n">
        <v>0</v>
      </c>
      <c r="P5339" t="n">
        <v>0</v>
      </c>
      <c r="Q5339" t="n">
        <v>0</v>
      </c>
      <c r="R5339" s="2" t="inlineStr"/>
    </row>
    <row r="5340" ht="15" customHeight="1">
      <c r="A5340" t="inlineStr">
        <is>
          <t>A 32542-2025</t>
        </is>
      </c>
      <c r="B5340" s="1" t="n">
        <v>45838.5287962963</v>
      </c>
      <c r="C5340" s="1" t="n">
        <v>45962</v>
      </c>
      <c r="D5340" t="inlineStr">
        <is>
          <t>JÖNKÖPINGS LÄN</t>
        </is>
      </c>
      <c r="E5340" t="inlineStr">
        <is>
          <t>NÄSSJÖ</t>
        </is>
      </c>
      <c r="G5340" t="n">
        <v>3.5</v>
      </c>
      <c r="H5340" t="n">
        <v>0</v>
      </c>
      <c r="I5340" t="n">
        <v>0</v>
      </c>
      <c r="J5340" t="n">
        <v>0</v>
      </c>
      <c r="K5340" t="n">
        <v>0</v>
      </c>
      <c r="L5340" t="n">
        <v>0</v>
      </c>
      <c r="M5340" t="n">
        <v>0</v>
      </c>
      <c r="N5340" t="n">
        <v>0</v>
      </c>
      <c r="O5340" t="n">
        <v>0</v>
      </c>
      <c r="P5340" t="n">
        <v>0</v>
      </c>
      <c r="Q5340" t="n">
        <v>0</v>
      </c>
      <c r="R5340" s="2" t="inlineStr"/>
    </row>
    <row r="5341" ht="15" customHeight="1">
      <c r="A5341" t="inlineStr">
        <is>
          <t>A 26218-2022</t>
        </is>
      </c>
      <c r="B5341" s="1" t="n">
        <v>44735.44400462963</v>
      </c>
      <c r="C5341" s="1" t="n">
        <v>45962</v>
      </c>
      <c r="D5341" t="inlineStr">
        <is>
          <t>JÖNKÖPINGS LÄN</t>
        </is>
      </c>
      <c r="E5341" t="inlineStr">
        <is>
          <t>GISLAVED</t>
        </is>
      </c>
      <c r="G5341" t="n">
        <v>2.7</v>
      </c>
      <c r="H5341" t="n">
        <v>0</v>
      </c>
      <c r="I5341" t="n">
        <v>0</v>
      </c>
      <c r="J5341" t="n">
        <v>0</v>
      </c>
      <c r="K5341" t="n">
        <v>0</v>
      </c>
      <c r="L5341" t="n">
        <v>0</v>
      </c>
      <c r="M5341" t="n">
        <v>0</v>
      </c>
      <c r="N5341" t="n">
        <v>0</v>
      </c>
      <c r="O5341" t="n">
        <v>0</v>
      </c>
      <c r="P5341" t="n">
        <v>0</v>
      </c>
      <c r="Q5341" t="n">
        <v>0</v>
      </c>
      <c r="R5341" s="2" t="inlineStr"/>
    </row>
    <row r="5342" ht="15" customHeight="1">
      <c r="A5342" t="inlineStr">
        <is>
          <t>A 32765-2025</t>
        </is>
      </c>
      <c r="B5342" s="1" t="n">
        <v>45839.44773148148</v>
      </c>
      <c r="C5342" s="1" t="n">
        <v>45962</v>
      </c>
      <c r="D5342" t="inlineStr">
        <is>
          <t>JÖNKÖPINGS LÄN</t>
        </is>
      </c>
      <c r="E5342" t="inlineStr">
        <is>
          <t>SÄVSJÖ</t>
        </is>
      </c>
      <c r="G5342" t="n">
        <v>0.7</v>
      </c>
      <c r="H5342" t="n">
        <v>0</v>
      </c>
      <c r="I5342" t="n">
        <v>0</v>
      </c>
      <c r="J5342" t="n">
        <v>0</v>
      </c>
      <c r="K5342" t="n">
        <v>0</v>
      </c>
      <c r="L5342" t="n">
        <v>0</v>
      </c>
      <c r="M5342" t="n">
        <v>0</v>
      </c>
      <c r="N5342" t="n">
        <v>0</v>
      </c>
      <c r="O5342" t="n">
        <v>0</v>
      </c>
      <c r="P5342" t="n">
        <v>0</v>
      </c>
      <c r="Q5342" t="n">
        <v>0</v>
      </c>
      <c r="R5342" s="2" t="inlineStr"/>
    </row>
    <row r="5343" ht="15" customHeight="1">
      <c r="A5343" t="inlineStr">
        <is>
          <t>A 56547-2021</t>
        </is>
      </c>
      <c r="B5343" s="1" t="n">
        <v>44480.61528935185</v>
      </c>
      <c r="C5343" s="1" t="n">
        <v>45962</v>
      </c>
      <c r="D5343" t="inlineStr">
        <is>
          <t>JÖNKÖPINGS LÄN</t>
        </is>
      </c>
      <c r="E5343" t="inlineStr">
        <is>
          <t>VETLANDA</t>
        </is>
      </c>
      <c r="G5343" t="n">
        <v>0.7</v>
      </c>
      <c r="H5343" t="n">
        <v>0</v>
      </c>
      <c r="I5343" t="n">
        <v>0</v>
      </c>
      <c r="J5343" t="n">
        <v>0</v>
      </c>
      <c r="K5343" t="n">
        <v>0</v>
      </c>
      <c r="L5343" t="n">
        <v>0</v>
      </c>
      <c r="M5343" t="n">
        <v>0</v>
      </c>
      <c r="N5343" t="n">
        <v>0</v>
      </c>
      <c r="O5343" t="n">
        <v>0</v>
      </c>
      <c r="P5343" t="n">
        <v>0</v>
      </c>
      <c r="Q5343" t="n">
        <v>0</v>
      </c>
      <c r="R5343" s="2" t="inlineStr"/>
    </row>
    <row r="5344" ht="15" customHeight="1">
      <c r="A5344" t="inlineStr">
        <is>
          <t>A 66923-2020</t>
        </is>
      </c>
      <c r="B5344" s="1" t="n">
        <v>44180</v>
      </c>
      <c r="C5344" s="1" t="n">
        <v>45962</v>
      </c>
      <c r="D5344" t="inlineStr">
        <is>
          <t>JÖNKÖPINGS LÄN</t>
        </is>
      </c>
      <c r="E5344" t="inlineStr">
        <is>
          <t>VAGGERYD</t>
        </is>
      </c>
      <c r="G5344" t="n">
        <v>1.2</v>
      </c>
      <c r="H5344" t="n">
        <v>0</v>
      </c>
      <c r="I5344" t="n">
        <v>0</v>
      </c>
      <c r="J5344" t="n">
        <v>0</v>
      </c>
      <c r="K5344" t="n">
        <v>0</v>
      </c>
      <c r="L5344" t="n">
        <v>0</v>
      </c>
      <c r="M5344" t="n">
        <v>0</v>
      </c>
      <c r="N5344" t="n">
        <v>0</v>
      </c>
      <c r="O5344" t="n">
        <v>0</v>
      </c>
      <c r="P5344" t="n">
        <v>0</v>
      </c>
      <c r="Q5344" t="n">
        <v>0</v>
      </c>
      <c r="R5344" s="2" t="inlineStr"/>
    </row>
    <row r="5345" ht="15" customHeight="1">
      <c r="A5345" t="inlineStr">
        <is>
          <t>A 20663-2022</t>
        </is>
      </c>
      <c r="B5345" s="1" t="n">
        <v>44700.65034722222</v>
      </c>
      <c r="C5345" s="1" t="n">
        <v>45962</v>
      </c>
      <c r="D5345" t="inlineStr">
        <is>
          <t>JÖNKÖPINGS LÄN</t>
        </is>
      </c>
      <c r="E5345" t="inlineStr">
        <is>
          <t>TRANÅS</t>
        </is>
      </c>
      <c r="F5345" t="inlineStr">
        <is>
          <t>Allmännings- och besparingsskogar</t>
        </is>
      </c>
      <c r="G5345" t="n">
        <v>6.8</v>
      </c>
      <c r="H5345" t="n">
        <v>0</v>
      </c>
      <c r="I5345" t="n">
        <v>0</v>
      </c>
      <c r="J5345" t="n">
        <v>0</v>
      </c>
      <c r="K5345" t="n">
        <v>0</v>
      </c>
      <c r="L5345" t="n">
        <v>0</v>
      </c>
      <c r="M5345" t="n">
        <v>0</v>
      </c>
      <c r="N5345" t="n">
        <v>0</v>
      </c>
      <c r="O5345" t="n">
        <v>0</v>
      </c>
      <c r="P5345" t="n">
        <v>0</v>
      </c>
      <c r="Q5345" t="n">
        <v>0</v>
      </c>
      <c r="R5345" s="2" t="inlineStr"/>
    </row>
    <row r="5346" ht="15" customHeight="1">
      <c r="A5346" t="inlineStr">
        <is>
          <t>A 20671-2022</t>
        </is>
      </c>
      <c r="B5346" s="1" t="n">
        <v>44700.65571759259</v>
      </c>
      <c r="C5346" s="1" t="n">
        <v>45962</v>
      </c>
      <c r="D5346" t="inlineStr">
        <is>
          <t>JÖNKÖPINGS LÄN</t>
        </is>
      </c>
      <c r="E5346" t="inlineStr">
        <is>
          <t>MULLSJÖ</t>
        </is>
      </c>
      <c r="G5346" t="n">
        <v>2.4</v>
      </c>
      <c r="H5346" t="n">
        <v>0</v>
      </c>
      <c r="I5346" t="n">
        <v>0</v>
      </c>
      <c r="J5346" t="n">
        <v>0</v>
      </c>
      <c r="K5346" t="n">
        <v>0</v>
      </c>
      <c r="L5346" t="n">
        <v>0</v>
      </c>
      <c r="M5346" t="n">
        <v>0</v>
      </c>
      <c r="N5346" t="n">
        <v>0</v>
      </c>
      <c r="O5346" t="n">
        <v>0</v>
      </c>
      <c r="P5346" t="n">
        <v>0</v>
      </c>
      <c r="Q5346" t="n">
        <v>0</v>
      </c>
      <c r="R5346" s="2" t="inlineStr"/>
    </row>
    <row r="5347" ht="15" customHeight="1">
      <c r="A5347" t="inlineStr">
        <is>
          <t>A 32882-2025</t>
        </is>
      </c>
      <c r="B5347" s="1" t="n">
        <v>45839.59694444444</v>
      </c>
      <c r="C5347" s="1" t="n">
        <v>45962</v>
      </c>
      <c r="D5347" t="inlineStr">
        <is>
          <t>JÖNKÖPINGS LÄN</t>
        </is>
      </c>
      <c r="E5347" t="inlineStr">
        <is>
          <t>VAGGERYD</t>
        </is>
      </c>
      <c r="G5347" t="n">
        <v>1.7</v>
      </c>
      <c r="H5347" t="n">
        <v>0</v>
      </c>
      <c r="I5347" t="n">
        <v>0</v>
      </c>
      <c r="J5347" t="n">
        <v>0</v>
      </c>
      <c r="K5347" t="n">
        <v>0</v>
      </c>
      <c r="L5347" t="n">
        <v>0</v>
      </c>
      <c r="M5347" t="n">
        <v>0</v>
      </c>
      <c r="N5347" t="n">
        <v>0</v>
      </c>
      <c r="O5347" t="n">
        <v>0</v>
      </c>
      <c r="P5347" t="n">
        <v>0</v>
      </c>
      <c r="Q5347" t="n">
        <v>0</v>
      </c>
      <c r="R5347" s="2" t="inlineStr"/>
    </row>
    <row r="5348" ht="15" customHeight="1">
      <c r="A5348" t="inlineStr">
        <is>
          <t>A 27119-2022</t>
        </is>
      </c>
      <c r="B5348" s="1" t="n">
        <v>44741.47328703704</v>
      </c>
      <c r="C5348" s="1" t="n">
        <v>45962</v>
      </c>
      <c r="D5348" t="inlineStr">
        <is>
          <t>JÖNKÖPINGS LÄN</t>
        </is>
      </c>
      <c r="E5348" t="inlineStr">
        <is>
          <t>VETLANDA</t>
        </is>
      </c>
      <c r="G5348" t="n">
        <v>4.1</v>
      </c>
      <c r="H5348" t="n">
        <v>0</v>
      </c>
      <c r="I5348" t="n">
        <v>0</v>
      </c>
      <c r="J5348" t="n">
        <v>0</v>
      </c>
      <c r="K5348" t="n">
        <v>0</v>
      </c>
      <c r="L5348" t="n">
        <v>0</v>
      </c>
      <c r="M5348" t="n">
        <v>0</v>
      </c>
      <c r="N5348" t="n">
        <v>0</v>
      </c>
      <c r="O5348" t="n">
        <v>0</v>
      </c>
      <c r="P5348" t="n">
        <v>0</v>
      </c>
      <c r="Q5348" t="n">
        <v>0</v>
      </c>
      <c r="R5348" s="2" t="inlineStr"/>
    </row>
    <row r="5349" ht="15" customHeight="1">
      <c r="A5349" t="inlineStr">
        <is>
          <t>A 44808-2023</t>
        </is>
      </c>
      <c r="B5349" s="1" t="n">
        <v>45190</v>
      </c>
      <c r="C5349" s="1" t="n">
        <v>45962</v>
      </c>
      <c r="D5349" t="inlineStr">
        <is>
          <t>JÖNKÖPINGS LÄN</t>
        </is>
      </c>
      <c r="E5349" t="inlineStr">
        <is>
          <t>VAGGERYD</t>
        </is>
      </c>
      <c r="G5349" t="n">
        <v>3.2</v>
      </c>
      <c r="H5349" t="n">
        <v>0</v>
      </c>
      <c r="I5349" t="n">
        <v>0</v>
      </c>
      <c r="J5349" t="n">
        <v>0</v>
      </c>
      <c r="K5349" t="n">
        <v>0</v>
      </c>
      <c r="L5349" t="n">
        <v>0</v>
      </c>
      <c r="M5349" t="n">
        <v>0</v>
      </c>
      <c r="N5349" t="n">
        <v>0</v>
      </c>
      <c r="O5349" t="n">
        <v>0</v>
      </c>
      <c r="P5349" t="n">
        <v>0</v>
      </c>
      <c r="Q5349" t="n">
        <v>0</v>
      </c>
      <c r="R5349" s="2" t="inlineStr"/>
    </row>
    <row r="5350" ht="15" customHeight="1">
      <c r="A5350" t="inlineStr">
        <is>
          <t>A 62860-2023</t>
        </is>
      </c>
      <c r="B5350" s="1" t="n">
        <v>45272</v>
      </c>
      <c r="C5350" s="1" t="n">
        <v>45962</v>
      </c>
      <c r="D5350" t="inlineStr">
        <is>
          <t>JÖNKÖPINGS LÄN</t>
        </is>
      </c>
      <c r="E5350" t="inlineStr">
        <is>
          <t>VETLANDA</t>
        </is>
      </c>
      <c r="G5350" t="n">
        <v>3</v>
      </c>
      <c r="H5350" t="n">
        <v>0</v>
      </c>
      <c r="I5350" t="n">
        <v>0</v>
      </c>
      <c r="J5350" t="n">
        <v>0</v>
      </c>
      <c r="K5350" t="n">
        <v>0</v>
      </c>
      <c r="L5350" t="n">
        <v>0</v>
      </c>
      <c r="M5350" t="n">
        <v>0</v>
      </c>
      <c r="N5350" t="n">
        <v>0</v>
      </c>
      <c r="O5350" t="n">
        <v>0</v>
      </c>
      <c r="P5350" t="n">
        <v>0</v>
      </c>
      <c r="Q5350" t="n">
        <v>0</v>
      </c>
      <c r="R5350" s="2" t="inlineStr"/>
    </row>
    <row r="5351" ht="15" customHeight="1">
      <c r="A5351" t="inlineStr">
        <is>
          <t>A 57195-2024</t>
        </is>
      </c>
      <c r="B5351" s="1" t="n">
        <v>45629.47</v>
      </c>
      <c r="C5351" s="1" t="n">
        <v>45962</v>
      </c>
      <c r="D5351" t="inlineStr">
        <is>
          <t>JÖNKÖPINGS LÄN</t>
        </is>
      </c>
      <c r="E5351" t="inlineStr">
        <is>
          <t>MULLSJÖ</t>
        </is>
      </c>
      <c r="F5351" t="inlineStr">
        <is>
          <t>Kommuner</t>
        </is>
      </c>
      <c r="G5351" t="n">
        <v>5.3</v>
      </c>
      <c r="H5351" t="n">
        <v>0</v>
      </c>
      <c r="I5351" t="n">
        <v>0</v>
      </c>
      <c r="J5351" t="n">
        <v>0</v>
      </c>
      <c r="K5351" t="n">
        <v>0</v>
      </c>
      <c r="L5351" t="n">
        <v>0</v>
      </c>
      <c r="M5351" t="n">
        <v>0</v>
      </c>
      <c r="N5351" t="n">
        <v>0</v>
      </c>
      <c r="O5351" t="n">
        <v>0</v>
      </c>
      <c r="P5351" t="n">
        <v>0</v>
      </c>
      <c r="Q5351" t="n">
        <v>0</v>
      </c>
      <c r="R5351" s="2" t="inlineStr"/>
    </row>
    <row r="5352" ht="15" customHeight="1">
      <c r="A5352" t="inlineStr">
        <is>
          <t>A 24673-2023</t>
        </is>
      </c>
      <c r="B5352" s="1" t="n">
        <v>45084.49469907407</v>
      </c>
      <c r="C5352" s="1" t="n">
        <v>45962</v>
      </c>
      <c r="D5352" t="inlineStr">
        <is>
          <t>JÖNKÖPINGS LÄN</t>
        </is>
      </c>
      <c r="E5352" t="inlineStr">
        <is>
          <t>VETLANDA</t>
        </is>
      </c>
      <c r="G5352" t="n">
        <v>0.6</v>
      </c>
      <c r="H5352" t="n">
        <v>0</v>
      </c>
      <c r="I5352" t="n">
        <v>0</v>
      </c>
      <c r="J5352" t="n">
        <v>0</v>
      </c>
      <c r="K5352" t="n">
        <v>0</v>
      </c>
      <c r="L5352" t="n">
        <v>0</v>
      </c>
      <c r="M5352" t="n">
        <v>0</v>
      </c>
      <c r="N5352" t="n">
        <v>0</v>
      </c>
      <c r="O5352" t="n">
        <v>0</v>
      </c>
      <c r="P5352" t="n">
        <v>0</v>
      </c>
      <c r="Q5352" t="n">
        <v>0</v>
      </c>
      <c r="R5352" s="2" t="inlineStr"/>
    </row>
    <row r="5353" ht="15" customHeight="1">
      <c r="A5353" t="inlineStr">
        <is>
          <t>A 58797-2023</t>
        </is>
      </c>
      <c r="B5353" s="1" t="n">
        <v>45247</v>
      </c>
      <c r="C5353" s="1" t="n">
        <v>45962</v>
      </c>
      <c r="D5353" t="inlineStr">
        <is>
          <t>JÖNKÖPINGS LÄN</t>
        </is>
      </c>
      <c r="E5353" t="inlineStr">
        <is>
          <t>VAGGERYD</t>
        </is>
      </c>
      <c r="G5353" t="n">
        <v>4.3</v>
      </c>
      <c r="H5353" t="n">
        <v>0</v>
      </c>
      <c r="I5353" t="n">
        <v>0</v>
      </c>
      <c r="J5353" t="n">
        <v>0</v>
      </c>
      <c r="K5353" t="n">
        <v>0</v>
      </c>
      <c r="L5353" t="n">
        <v>0</v>
      </c>
      <c r="M5353" t="n">
        <v>0</v>
      </c>
      <c r="N5353" t="n">
        <v>0</v>
      </c>
      <c r="O5353" t="n">
        <v>0</v>
      </c>
      <c r="P5353" t="n">
        <v>0</v>
      </c>
      <c r="Q5353" t="n">
        <v>0</v>
      </c>
      <c r="R5353" s="2" t="inlineStr"/>
    </row>
    <row r="5354" ht="15" customHeight="1">
      <c r="A5354" t="inlineStr">
        <is>
          <t>A 18271-2021</t>
        </is>
      </c>
      <c r="B5354" s="1" t="n">
        <v>44305.38892361111</v>
      </c>
      <c r="C5354" s="1" t="n">
        <v>45962</v>
      </c>
      <c r="D5354" t="inlineStr">
        <is>
          <t>JÖNKÖPINGS LÄN</t>
        </is>
      </c>
      <c r="E5354" t="inlineStr">
        <is>
          <t>VETLANDA</t>
        </is>
      </c>
      <c r="G5354" t="n">
        <v>1.2</v>
      </c>
      <c r="H5354" t="n">
        <v>0</v>
      </c>
      <c r="I5354" t="n">
        <v>0</v>
      </c>
      <c r="J5354" t="n">
        <v>0</v>
      </c>
      <c r="K5354" t="n">
        <v>0</v>
      </c>
      <c r="L5354" t="n">
        <v>0</v>
      </c>
      <c r="M5354" t="n">
        <v>0</v>
      </c>
      <c r="N5354" t="n">
        <v>0</v>
      </c>
      <c r="O5354" t="n">
        <v>0</v>
      </c>
      <c r="P5354" t="n">
        <v>0</v>
      </c>
      <c r="Q5354" t="n">
        <v>0</v>
      </c>
      <c r="R5354" s="2" t="inlineStr"/>
    </row>
    <row r="5355" ht="15" customHeight="1">
      <c r="A5355" t="inlineStr">
        <is>
          <t>A 55372-2023</t>
        </is>
      </c>
      <c r="B5355" s="1" t="n">
        <v>45238.34974537037</v>
      </c>
      <c r="C5355" s="1" t="n">
        <v>45962</v>
      </c>
      <c r="D5355" t="inlineStr">
        <is>
          <t>JÖNKÖPINGS LÄN</t>
        </is>
      </c>
      <c r="E5355" t="inlineStr">
        <is>
          <t>VETLANDA</t>
        </is>
      </c>
      <c r="F5355" t="inlineStr">
        <is>
          <t>Kyrkan</t>
        </is>
      </c>
      <c r="G5355" t="n">
        <v>8</v>
      </c>
      <c r="H5355" t="n">
        <v>0</v>
      </c>
      <c r="I5355" t="n">
        <v>0</v>
      </c>
      <c r="J5355" t="n">
        <v>0</v>
      </c>
      <c r="K5355" t="n">
        <v>0</v>
      </c>
      <c r="L5355" t="n">
        <v>0</v>
      </c>
      <c r="M5355" t="n">
        <v>0</v>
      </c>
      <c r="N5355" t="n">
        <v>0</v>
      </c>
      <c r="O5355" t="n">
        <v>0</v>
      </c>
      <c r="P5355" t="n">
        <v>0</v>
      </c>
      <c r="Q5355" t="n">
        <v>0</v>
      </c>
      <c r="R5355" s="2" t="inlineStr"/>
    </row>
    <row r="5356" ht="15" customHeight="1">
      <c r="A5356" t="inlineStr">
        <is>
          <t>A 55373-2023</t>
        </is>
      </c>
      <c r="B5356" s="1" t="n">
        <v>45238</v>
      </c>
      <c r="C5356" s="1" t="n">
        <v>45962</v>
      </c>
      <c r="D5356" t="inlineStr">
        <is>
          <t>JÖNKÖPINGS LÄN</t>
        </is>
      </c>
      <c r="E5356" t="inlineStr">
        <is>
          <t>VÄRNAMO</t>
        </is>
      </c>
      <c r="F5356" t="inlineStr">
        <is>
          <t>Sveaskog</t>
        </is>
      </c>
      <c r="G5356" t="n">
        <v>10.6</v>
      </c>
      <c r="H5356" t="n">
        <v>0</v>
      </c>
      <c r="I5356" t="n">
        <v>0</v>
      </c>
      <c r="J5356" t="n">
        <v>0</v>
      </c>
      <c r="K5356" t="n">
        <v>0</v>
      </c>
      <c r="L5356" t="n">
        <v>0</v>
      </c>
      <c r="M5356" t="n">
        <v>0</v>
      </c>
      <c r="N5356" t="n">
        <v>0</v>
      </c>
      <c r="O5356" t="n">
        <v>0</v>
      </c>
      <c r="P5356" t="n">
        <v>0</v>
      </c>
      <c r="Q5356" t="n">
        <v>0</v>
      </c>
      <c r="R5356" s="2" t="inlineStr"/>
    </row>
    <row r="5357" ht="15" customHeight="1">
      <c r="A5357" t="inlineStr">
        <is>
          <t>A 32840-2023</t>
        </is>
      </c>
      <c r="B5357" s="1" t="n">
        <v>45124.59594907407</v>
      </c>
      <c r="C5357" s="1" t="n">
        <v>45962</v>
      </c>
      <c r="D5357" t="inlineStr">
        <is>
          <t>JÖNKÖPINGS LÄN</t>
        </is>
      </c>
      <c r="E5357" t="inlineStr">
        <is>
          <t>JÖNKÖPING</t>
        </is>
      </c>
      <c r="G5357" t="n">
        <v>3.5</v>
      </c>
      <c r="H5357" t="n">
        <v>0</v>
      </c>
      <c r="I5357" t="n">
        <v>0</v>
      </c>
      <c r="J5357" t="n">
        <v>0</v>
      </c>
      <c r="K5357" t="n">
        <v>0</v>
      </c>
      <c r="L5357" t="n">
        <v>0</v>
      </c>
      <c r="M5357" t="n">
        <v>0</v>
      </c>
      <c r="N5357" t="n">
        <v>0</v>
      </c>
      <c r="O5357" t="n">
        <v>0</v>
      </c>
      <c r="P5357" t="n">
        <v>0</v>
      </c>
      <c r="Q5357" t="n">
        <v>0</v>
      </c>
      <c r="R5357" s="2" t="inlineStr"/>
    </row>
    <row r="5358" ht="15" customHeight="1">
      <c r="A5358" t="inlineStr">
        <is>
          <t>A 32422-2025</t>
        </is>
      </c>
      <c r="B5358" s="1" t="n">
        <v>45838.35412037037</v>
      </c>
      <c r="C5358" s="1" t="n">
        <v>45962</v>
      </c>
      <c r="D5358" t="inlineStr">
        <is>
          <t>JÖNKÖPINGS LÄN</t>
        </is>
      </c>
      <c r="E5358" t="inlineStr">
        <is>
          <t>VETLANDA</t>
        </is>
      </c>
      <c r="G5358" t="n">
        <v>0.6</v>
      </c>
      <c r="H5358" t="n">
        <v>0</v>
      </c>
      <c r="I5358" t="n">
        <v>0</v>
      </c>
      <c r="J5358" t="n">
        <v>0</v>
      </c>
      <c r="K5358" t="n">
        <v>0</v>
      </c>
      <c r="L5358" t="n">
        <v>0</v>
      </c>
      <c r="M5358" t="n">
        <v>0</v>
      </c>
      <c r="N5358" t="n">
        <v>0</v>
      </c>
      <c r="O5358" t="n">
        <v>0</v>
      </c>
      <c r="P5358" t="n">
        <v>0</v>
      </c>
      <c r="Q5358" t="n">
        <v>0</v>
      </c>
      <c r="R5358" s="2" t="inlineStr"/>
    </row>
    <row r="5359" ht="15" customHeight="1">
      <c r="A5359" t="inlineStr">
        <is>
          <t>A 32867-2025</t>
        </is>
      </c>
      <c r="B5359" s="1" t="n">
        <v>45839.58798611111</v>
      </c>
      <c r="C5359" s="1" t="n">
        <v>45962</v>
      </c>
      <c r="D5359" t="inlineStr">
        <is>
          <t>JÖNKÖPINGS LÄN</t>
        </is>
      </c>
      <c r="E5359" t="inlineStr">
        <is>
          <t>VETLANDA</t>
        </is>
      </c>
      <c r="G5359" t="n">
        <v>1.8</v>
      </c>
      <c r="H5359" t="n">
        <v>0</v>
      </c>
      <c r="I5359" t="n">
        <v>0</v>
      </c>
      <c r="J5359" t="n">
        <v>0</v>
      </c>
      <c r="K5359" t="n">
        <v>0</v>
      </c>
      <c r="L5359" t="n">
        <v>0</v>
      </c>
      <c r="M5359" t="n">
        <v>0</v>
      </c>
      <c r="N5359" t="n">
        <v>0</v>
      </c>
      <c r="O5359" t="n">
        <v>0</v>
      </c>
      <c r="P5359" t="n">
        <v>0</v>
      </c>
      <c r="Q5359" t="n">
        <v>0</v>
      </c>
      <c r="R5359" s="2" t="inlineStr"/>
    </row>
    <row r="5360" ht="15" customHeight="1">
      <c r="A5360" t="inlineStr">
        <is>
          <t>A 11157-2024</t>
        </is>
      </c>
      <c r="B5360" s="1" t="n">
        <v>45371.48430555555</v>
      </c>
      <c r="C5360" s="1" t="n">
        <v>45962</v>
      </c>
      <c r="D5360" t="inlineStr">
        <is>
          <t>JÖNKÖPINGS LÄN</t>
        </is>
      </c>
      <c r="E5360" t="inlineStr">
        <is>
          <t>GNOSJÖ</t>
        </is>
      </c>
      <c r="G5360" t="n">
        <v>3.1</v>
      </c>
      <c r="H5360" t="n">
        <v>0</v>
      </c>
      <c r="I5360" t="n">
        <v>0</v>
      </c>
      <c r="J5360" t="n">
        <v>0</v>
      </c>
      <c r="K5360" t="n">
        <v>0</v>
      </c>
      <c r="L5360" t="n">
        <v>0</v>
      </c>
      <c r="M5360" t="n">
        <v>0</v>
      </c>
      <c r="N5360" t="n">
        <v>0</v>
      </c>
      <c r="O5360" t="n">
        <v>0</v>
      </c>
      <c r="P5360" t="n">
        <v>0</v>
      </c>
      <c r="Q5360" t="n">
        <v>0</v>
      </c>
      <c r="R5360" s="2" t="inlineStr"/>
    </row>
    <row r="5361" ht="15" customHeight="1">
      <c r="A5361" t="inlineStr">
        <is>
          <t>A 11163-2024</t>
        </is>
      </c>
      <c r="B5361" s="1" t="n">
        <v>45371.49185185185</v>
      </c>
      <c r="C5361" s="1" t="n">
        <v>45962</v>
      </c>
      <c r="D5361" t="inlineStr">
        <is>
          <t>JÖNKÖPINGS LÄN</t>
        </is>
      </c>
      <c r="E5361" t="inlineStr">
        <is>
          <t>GNOSJÖ</t>
        </is>
      </c>
      <c r="G5361" t="n">
        <v>1.9</v>
      </c>
      <c r="H5361" t="n">
        <v>0</v>
      </c>
      <c r="I5361" t="n">
        <v>0</v>
      </c>
      <c r="J5361" t="n">
        <v>0</v>
      </c>
      <c r="K5361" t="n">
        <v>0</v>
      </c>
      <c r="L5361" t="n">
        <v>0</v>
      </c>
      <c r="M5361" t="n">
        <v>0</v>
      </c>
      <c r="N5361" t="n">
        <v>0</v>
      </c>
      <c r="O5361" t="n">
        <v>0</v>
      </c>
      <c r="P5361" t="n">
        <v>0</v>
      </c>
      <c r="Q5361" t="n">
        <v>0</v>
      </c>
      <c r="R5361" s="2" t="inlineStr"/>
    </row>
    <row r="5362" ht="15" customHeight="1">
      <c r="A5362" t="inlineStr">
        <is>
          <t>A 28401-2023</t>
        </is>
      </c>
      <c r="B5362" s="1" t="n">
        <v>45100.55548611111</v>
      </c>
      <c r="C5362" s="1" t="n">
        <v>45962</v>
      </c>
      <c r="D5362" t="inlineStr">
        <is>
          <t>JÖNKÖPINGS LÄN</t>
        </is>
      </c>
      <c r="E5362" t="inlineStr">
        <is>
          <t>GISLAVED</t>
        </is>
      </c>
      <c r="G5362" t="n">
        <v>1.9</v>
      </c>
      <c r="H5362" t="n">
        <v>0</v>
      </c>
      <c r="I5362" t="n">
        <v>0</v>
      </c>
      <c r="J5362" t="n">
        <v>0</v>
      </c>
      <c r="K5362" t="n">
        <v>0</v>
      </c>
      <c r="L5362" t="n">
        <v>0</v>
      </c>
      <c r="M5362" t="n">
        <v>0</v>
      </c>
      <c r="N5362" t="n">
        <v>0</v>
      </c>
      <c r="O5362" t="n">
        <v>0</v>
      </c>
      <c r="P5362" t="n">
        <v>0</v>
      </c>
      <c r="Q5362" t="n">
        <v>0</v>
      </c>
      <c r="R5362" s="2" t="inlineStr"/>
    </row>
    <row r="5363" ht="15" customHeight="1">
      <c r="A5363" t="inlineStr">
        <is>
          <t>A 32413-2025</t>
        </is>
      </c>
      <c r="B5363" s="1" t="n">
        <v>45838.33894675926</v>
      </c>
      <c r="C5363" s="1" t="n">
        <v>45962</v>
      </c>
      <c r="D5363" t="inlineStr">
        <is>
          <t>JÖNKÖPINGS LÄN</t>
        </is>
      </c>
      <c r="E5363" t="inlineStr">
        <is>
          <t>VETLANDA</t>
        </is>
      </c>
      <c r="G5363" t="n">
        <v>0.7</v>
      </c>
      <c r="H5363" t="n">
        <v>0</v>
      </c>
      <c r="I5363" t="n">
        <v>0</v>
      </c>
      <c r="J5363" t="n">
        <v>0</v>
      </c>
      <c r="K5363" t="n">
        <v>0</v>
      </c>
      <c r="L5363" t="n">
        <v>0</v>
      </c>
      <c r="M5363" t="n">
        <v>0</v>
      </c>
      <c r="N5363" t="n">
        <v>0</v>
      </c>
      <c r="O5363" t="n">
        <v>0</v>
      </c>
      <c r="P5363" t="n">
        <v>0</v>
      </c>
      <c r="Q5363" t="n">
        <v>0</v>
      </c>
      <c r="R5363" s="2" t="inlineStr"/>
    </row>
    <row r="5364" ht="15" customHeight="1">
      <c r="A5364" t="inlineStr">
        <is>
          <t>A 53790-2022</t>
        </is>
      </c>
      <c r="B5364" s="1" t="n">
        <v>44880.49763888889</v>
      </c>
      <c r="C5364" s="1" t="n">
        <v>45962</v>
      </c>
      <c r="D5364" t="inlineStr">
        <is>
          <t>JÖNKÖPINGS LÄN</t>
        </is>
      </c>
      <c r="E5364" t="inlineStr">
        <is>
          <t>VETLANDA</t>
        </is>
      </c>
      <c r="G5364" t="n">
        <v>1.3</v>
      </c>
      <c r="H5364" t="n">
        <v>0</v>
      </c>
      <c r="I5364" t="n">
        <v>0</v>
      </c>
      <c r="J5364" t="n">
        <v>0</v>
      </c>
      <c r="K5364" t="n">
        <v>0</v>
      </c>
      <c r="L5364" t="n">
        <v>0</v>
      </c>
      <c r="M5364" t="n">
        <v>0</v>
      </c>
      <c r="N5364" t="n">
        <v>0</v>
      </c>
      <c r="O5364" t="n">
        <v>0</v>
      </c>
      <c r="P5364" t="n">
        <v>0</v>
      </c>
      <c r="Q5364" t="n">
        <v>0</v>
      </c>
      <c r="R5364" s="2" t="inlineStr"/>
    </row>
    <row r="5365" ht="15" customHeight="1">
      <c r="A5365" t="inlineStr">
        <is>
          <t>A 53794-2022</t>
        </is>
      </c>
      <c r="B5365" s="1" t="n">
        <v>44880.50003472222</v>
      </c>
      <c r="C5365" s="1" t="n">
        <v>45962</v>
      </c>
      <c r="D5365" t="inlineStr">
        <is>
          <t>JÖNKÖPINGS LÄN</t>
        </is>
      </c>
      <c r="E5365" t="inlineStr">
        <is>
          <t>VETLANDA</t>
        </is>
      </c>
      <c r="G5365" t="n">
        <v>2.1</v>
      </c>
      <c r="H5365" t="n">
        <v>0</v>
      </c>
      <c r="I5365" t="n">
        <v>0</v>
      </c>
      <c r="J5365" t="n">
        <v>0</v>
      </c>
      <c r="K5365" t="n">
        <v>0</v>
      </c>
      <c r="L5365" t="n">
        <v>0</v>
      </c>
      <c r="M5365" t="n">
        <v>0</v>
      </c>
      <c r="N5365" t="n">
        <v>0</v>
      </c>
      <c r="O5365" t="n">
        <v>0</v>
      </c>
      <c r="P5365" t="n">
        <v>0</v>
      </c>
      <c r="Q5365" t="n">
        <v>0</v>
      </c>
      <c r="R5365" s="2" t="inlineStr"/>
    </row>
    <row r="5366" ht="15" customHeight="1">
      <c r="A5366" t="inlineStr">
        <is>
          <t>A 4356-2023</t>
        </is>
      </c>
      <c r="B5366" s="1" t="n">
        <v>44954.60174768518</v>
      </c>
      <c r="C5366" s="1" t="n">
        <v>45962</v>
      </c>
      <c r="D5366" t="inlineStr">
        <is>
          <t>JÖNKÖPINGS LÄN</t>
        </is>
      </c>
      <c r="E5366" t="inlineStr">
        <is>
          <t>MULLSJÖ</t>
        </is>
      </c>
      <c r="G5366" t="n">
        <v>3</v>
      </c>
      <c r="H5366" t="n">
        <v>0</v>
      </c>
      <c r="I5366" t="n">
        <v>0</v>
      </c>
      <c r="J5366" t="n">
        <v>0</v>
      </c>
      <c r="K5366" t="n">
        <v>0</v>
      </c>
      <c r="L5366" t="n">
        <v>0</v>
      </c>
      <c r="M5366" t="n">
        <v>0</v>
      </c>
      <c r="N5366" t="n">
        <v>0</v>
      </c>
      <c r="O5366" t="n">
        <v>0</v>
      </c>
      <c r="P5366" t="n">
        <v>0</v>
      </c>
      <c r="Q5366" t="n">
        <v>0</v>
      </c>
      <c r="R5366" s="2" t="inlineStr"/>
    </row>
    <row r="5367" ht="15" customHeight="1">
      <c r="A5367" t="inlineStr">
        <is>
          <t>A 49661-2023</t>
        </is>
      </c>
      <c r="B5367" s="1" t="n">
        <v>45211.98679398148</v>
      </c>
      <c r="C5367" s="1" t="n">
        <v>45962</v>
      </c>
      <c r="D5367" t="inlineStr">
        <is>
          <t>JÖNKÖPINGS LÄN</t>
        </is>
      </c>
      <c r="E5367" t="inlineStr">
        <is>
          <t>NÄSSJÖ</t>
        </is>
      </c>
      <c r="G5367" t="n">
        <v>0</v>
      </c>
      <c r="H5367" t="n">
        <v>0</v>
      </c>
      <c r="I5367" t="n">
        <v>0</v>
      </c>
      <c r="J5367" t="n">
        <v>0</v>
      </c>
      <c r="K5367" t="n">
        <v>0</v>
      </c>
      <c r="L5367" t="n">
        <v>0</v>
      </c>
      <c r="M5367" t="n">
        <v>0</v>
      </c>
      <c r="N5367" t="n">
        <v>0</v>
      </c>
      <c r="O5367" t="n">
        <v>0</v>
      </c>
      <c r="P5367" t="n">
        <v>0</v>
      </c>
      <c r="Q5367" t="n">
        <v>0</v>
      </c>
      <c r="R5367" s="2" t="inlineStr"/>
    </row>
    <row r="5368" ht="15" customHeight="1">
      <c r="A5368" t="inlineStr">
        <is>
          <t>A 38258-2024</t>
        </is>
      </c>
      <c r="B5368" s="1" t="n">
        <v>45545.59315972222</v>
      </c>
      <c r="C5368" s="1" t="n">
        <v>45962</v>
      </c>
      <c r="D5368" t="inlineStr">
        <is>
          <t>JÖNKÖPINGS LÄN</t>
        </is>
      </c>
      <c r="E5368" t="inlineStr">
        <is>
          <t>JÖNKÖPING</t>
        </is>
      </c>
      <c r="F5368" t="inlineStr">
        <is>
          <t>Sveaskog</t>
        </is>
      </c>
      <c r="G5368" t="n">
        <v>4.3</v>
      </c>
      <c r="H5368" t="n">
        <v>0</v>
      </c>
      <c r="I5368" t="n">
        <v>0</v>
      </c>
      <c r="J5368" t="n">
        <v>0</v>
      </c>
      <c r="K5368" t="n">
        <v>0</v>
      </c>
      <c r="L5368" t="n">
        <v>0</v>
      </c>
      <c r="M5368" t="n">
        <v>0</v>
      </c>
      <c r="N5368" t="n">
        <v>0</v>
      </c>
      <c r="O5368" t="n">
        <v>0</v>
      </c>
      <c r="P5368" t="n">
        <v>0</v>
      </c>
      <c r="Q5368" t="n">
        <v>0</v>
      </c>
      <c r="R5368" s="2" t="inlineStr"/>
    </row>
    <row r="5369" ht="15" customHeight="1">
      <c r="A5369" t="inlineStr">
        <is>
          <t>A 17928-2025</t>
        </is>
      </c>
      <c r="B5369" s="1" t="n">
        <v>45759.5549537037</v>
      </c>
      <c r="C5369" s="1" t="n">
        <v>45962</v>
      </c>
      <c r="D5369" t="inlineStr">
        <is>
          <t>JÖNKÖPINGS LÄN</t>
        </is>
      </c>
      <c r="E5369" t="inlineStr">
        <is>
          <t>JÖNKÖPING</t>
        </is>
      </c>
      <c r="G5369" t="n">
        <v>1.6</v>
      </c>
      <c r="H5369" t="n">
        <v>0</v>
      </c>
      <c r="I5369" t="n">
        <v>0</v>
      </c>
      <c r="J5369" t="n">
        <v>0</v>
      </c>
      <c r="K5369" t="n">
        <v>0</v>
      </c>
      <c r="L5369" t="n">
        <v>0</v>
      </c>
      <c r="M5369" t="n">
        <v>0</v>
      </c>
      <c r="N5369" t="n">
        <v>0</v>
      </c>
      <c r="O5369" t="n">
        <v>0</v>
      </c>
      <c r="P5369" t="n">
        <v>0</v>
      </c>
      <c r="Q5369" t="n">
        <v>0</v>
      </c>
      <c r="R5369" s="2" t="inlineStr"/>
    </row>
    <row r="5370" ht="15" customHeight="1">
      <c r="A5370" t="inlineStr">
        <is>
          <t>A 17941-2025</t>
        </is>
      </c>
      <c r="B5370" s="1" t="n">
        <v>45760.58021990741</v>
      </c>
      <c r="C5370" s="1" t="n">
        <v>45962</v>
      </c>
      <c r="D5370" t="inlineStr">
        <is>
          <t>JÖNKÖPINGS LÄN</t>
        </is>
      </c>
      <c r="E5370" t="inlineStr">
        <is>
          <t>HABO</t>
        </is>
      </c>
      <c r="G5370" t="n">
        <v>2.4</v>
      </c>
      <c r="H5370" t="n">
        <v>0</v>
      </c>
      <c r="I5370" t="n">
        <v>0</v>
      </c>
      <c r="J5370" t="n">
        <v>0</v>
      </c>
      <c r="K5370" t="n">
        <v>0</v>
      </c>
      <c r="L5370" t="n">
        <v>0</v>
      </c>
      <c r="M5370" t="n">
        <v>0</v>
      </c>
      <c r="N5370" t="n">
        <v>0</v>
      </c>
      <c r="O5370" t="n">
        <v>0</v>
      </c>
      <c r="P5370" t="n">
        <v>0</v>
      </c>
      <c r="Q5370" t="n">
        <v>0</v>
      </c>
      <c r="R5370" s="2" t="inlineStr"/>
    </row>
    <row r="5371" ht="15" customHeight="1">
      <c r="A5371" t="inlineStr">
        <is>
          <t>A 17942-2025</t>
        </is>
      </c>
      <c r="B5371" s="1" t="n">
        <v>45760</v>
      </c>
      <c r="C5371" s="1" t="n">
        <v>45962</v>
      </c>
      <c r="D5371" t="inlineStr">
        <is>
          <t>JÖNKÖPINGS LÄN</t>
        </is>
      </c>
      <c r="E5371" t="inlineStr">
        <is>
          <t>NÄSSJÖ</t>
        </is>
      </c>
      <c r="G5371" t="n">
        <v>1.7</v>
      </c>
      <c r="H5371" t="n">
        <v>0</v>
      </c>
      <c r="I5371" t="n">
        <v>0</v>
      </c>
      <c r="J5371" t="n">
        <v>0</v>
      </c>
      <c r="K5371" t="n">
        <v>0</v>
      </c>
      <c r="L5371" t="n">
        <v>0</v>
      </c>
      <c r="M5371" t="n">
        <v>0</v>
      </c>
      <c r="N5371" t="n">
        <v>0</v>
      </c>
      <c r="O5371" t="n">
        <v>0</v>
      </c>
      <c r="P5371" t="n">
        <v>0</v>
      </c>
      <c r="Q5371" t="n">
        <v>0</v>
      </c>
      <c r="R5371" s="2" t="inlineStr"/>
    </row>
    <row r="5372" ht="15" customHeight="1">
      <c r="A5372" t="inlineStr">
        <is>
          <t>A 37614-2024</t>
        </is>
      </c>
      <c r="B5372" s="1" t="n">
        <v>45541.50634259259</v>
      </c>
      <c r="C5372" s="1" t="n">
        <v>45962</v>
      </c>
      <c r="D5372" t="inlineStr">
        <is>
          <t>JÖNKÖPINGS LÄN</t>
        </is>
      </c>
      <c r="E5372" t="inlineStr">
        <is>
          <t>SÄVSJÖ</t>
        </is>
      </c>
      <c r="G5372" t="n">
        <v>4</v>
      </c>
      <c r="H5372" t="n">
        <v>0</v>
      </c>
      <c r="I5372" t="n">
        <v>0</v>
      </c>
      <c r="J5372" t="n">
        <v>0</v>
      </c>
      <c r="K5372" t="n">
        <v>0</v>
      </c>
      <c r="L5372" t="n">
        <v>0</v>
      </c>
      <c r="M5372" t="n">
        <v>0</v>
      </c>
      <c r="N5372" t="n">
        <v>0</v>
      </c>
      <c r="O5372" t="n">
        <v>0</v>
      </c>
      <c r="P5372" t="n">
        <v>0</v>
      </c>
      <c r="Q5372" t="n">
        <v>0</v>
      </c>
      <c r="R5372" s="2" t="inlineStr"/>
    </row>
    <row r="5373" ht="15" customHeight="1">
      <c r="A5373" t="inlineStr">
        <is>
          <t>A 24253-2023</t>
        </is>
      </c>
      <c r="B5373" s="1" t="n">
        <v>45079</v>
      </c>
      <c r="C5373" s="1" t="n">
        <v>45962</v>
      </c>
      <c r="D5373" t="inlineStr">
        <is>
          <t>JÖNKÖPINGS LÄN</t>
        </is>
      </c>
      <c r="E5373" t="inlineStr">
        <is>
          <t>SÄVSJÖ</t>
        </is>
      </c>
      <c r="G5373" t="n">
        <v>0.5</v>
      </c>
      <c r="H5373" t="n">
        <v>0</v>
      </c>
      <c r="I5373" t="n">
        <v>0</v>
      </c>
      <c r="J5373" t="n">
        <v>0</v>
      </c>
      <c r="K5373" t="n">
        <v>0</v>
      </c>
      <c r="L5373" t="n">
        <v>0</v>
      </c>
      <c r="M5373" t="n">
        <v>0</v>
      </c>
      <c r="N5373" t="n">
        <v>0</v>
      </c>
      <c r="O5373" t="n">
        <v>0</v>
      </c>
      <c r="P5373" t="n">
        <v>0</v>
      </c>
      <c r="Q5373" t="n">
        <v>0</v>
      </c>
      <c r="R5373" s="2" t="inlineStr"/>
    </row>
    <row r="5374" ht="15" customHeight="1">
      <c r="A5374" t="inlineStr">
        <is>
          <t>A 24259-2023</t>
        </is>
      </c>
      <c r="B5374" s="1" t="n">
        <v>45079</v>
      </c>
      <c r="C5374" s="1" t="n">
        <v>45962</v>
      </c>
      <c r="D5374" t="inlineStr">
        <is>
          <t>JÖNKÖPINGS LÄN</t>
        </is>
      </c>
      <c r="E5374" t="inlineStr">
        <is>
          <t>VETLANDA</t>
        </is>
      </c>
      <c r="G5374" t="n">
        <v>0.6</v>
      </c>
      <c r="H5374" t="n">
        <v>0</v>
      </c>
      <c r="I5374" t="n">
        <v>0</v>
      </c>
      <c r="J5374" t="n">
        <v>0</v>
      </c>
      <c r="K5374" t="n">
        <v>0</v>
      </c>
      <c r="L5374" t="n">
        <v>0</v>
      </c>
      <c r="M5374" t="n">
        <v>0</v>
      </c>
      <c r="N5374" t="n">
        <v>0</v>
      </c>
      <c r="O5374" t="n">
        <v>0</v>
      </c>
      <c r="P5374" t="n">
        <v>0</v>
      </c>
      <c r="Q5374" t="n">
        <v>0</v>
      </c>
      <c r="R5374" s="2" t="inlineStr"/>
    </row>
    <row r="5375" ht="15" customHeight="1">
      <c r="A5375" t="inlineStr">
        <is>
          <t>A 19661-2023</t>
        </is>
      </c>
      <c r="B5375" s="1" t="n">
        <v>45051</v>
      </c>
      <c r="C5375" s="1" t="n">
        <v>45962</v>
      </c>
      <c r="D5375" t="inlineStr">
        <is>
          <t>JÖNKÖPINGS LÄN</t>
        </is>
      </c>
      <c r="E5375" t="inlineStr">
        <is>
          <t>JÖNKÖPING</t>
        </is>
      </c>
      <c r="G5375" t="n">
        <v>1.5</v>
      </c>
      <c r="H5375" t="n">
        <v>0</v>
      </c>
      <c r="I5375" t="n">
        <v>0</v>
      </c>
      <c r="J5375" t="n">
        <v>0</v>
      </c>
      <c r="K5375" t="n">
        <v>0</v>
      </c>
      <c r="L5375" t="n">
        <v>0</v>
      </c>
      <c r="M5375" t="n">
        <v>0</v>
      </c>
      <c r="N5375" t="n">
        <v>0</v>
      </c>
      <c r="O5375" t="n">
        <v>0</v>
      </c>
      <c r="P5375" t="n">
        <v>0</v>
      </c>
      <c r="Q5375" t="n">
        <v>0</v>
      </c>
      <c r="R5375" s="2" t="inlineStr"/>
    </row>
    <row r="5376" ht="15" customHeight="1">
      <c r="A5376" t="inlineStr">
        <is>
          <t>A 12999-2025</t>
        </is>
      </c>
      <c r="B5376" s="1" t="n">
        <v>45734.49229166667</v>
      </c>
      <c r="C5376" s="1" t="n">
        <v>45962</v>
      </c>
      <c r="D5376" t="inlineStr">
        <is>
          <t>JÖNKÖPINGS LÄN</t>
        </is>
      </c>
      <c r="E5376" t="inlineStr">
        <is>
          <t>HABO</t>
        </is>
      </c>
      <c r="G5376" t="n">
        <v>1</v>
      </c>
      <c r="H5376" t="n">
        <v>0</v>
      </c>
      <c r="I5376" t="n">
        <v>0</v>
      </c>
      <c r="J5376" t="n">
        <v>0</v>
      </c>
      <c r="K5376" t="n">
        <v>0</v>
      </c>
      <c r="L5376" t="n">
        <v>0</v>
      </c>
      <c r="M5376" t="n">
        <v>0</v>
      </c>
      <c r="N5376" t="n">
        <v>0</v>
      </c>
      <c r="O5376" t="n">
        <v>0</v>
      </c>
      <c r="P5376" t="n">
        <v>0</v>
      </c>
      <c r="Q5376" t="n">
        <v>0</v>
      </c>
      <c r="R5376" s="2" t="inlineStr"/>
    </row>
    <row r="5377" ht="15" customHeight="1">
      <c r="A5377" t="inlineStr">
        <is>
          <t>A 25750-2024</t>
        </is>
      </c>
      <c r="B5377" s="1" t="n">
        <v>45465.49680555556</v>
      </c>
      <c r="C5377" s="1" t="n">
        <v>45962</v>
      </c>
      <c r="D5377" t="inlineStr">
        <is>
          <t>JÖNKÖPINGS LÄN</t>
        </is>
      </c>
      <c r="E5377" t="inlineStr">
        <is>
          <t>GISLAVED</t>
        </is>
      </c>
      <c r="G5377" t="n">
        <v>1</v>
      </c>
      <c r="H5377" t="n">
        <v>0</v>
      </c>
      <c r="I5377" t="n">
        <v>0</v>
      </c>
      <c r="J5377" t="n">
        <v>0</v>
      </c>
      <c r="K5377" t="n">
        <v>0</v>
      </c>
      <c r="L5377" t="n">
        <v>0</v>
      </c>
      <c r="M5377" t="n">
        <v>0</v>
      </c>
      <c r="N5377" t="n">
        <v>0</v>
      </c>
      <c r="O5377" t="n">
        <v>0</v>
      </c>
      <c r="P5377" t="n">
        <v>0</v>
      </c>
      <c r="Q5377" t="n">
        <v>0</v>
      </c>
      <c r="R5377" s="2" t="inlineStr"/>
    </row>
    <row r="5378" ht="15" customHeight="1">
      <c r="A5378" t="inlineStr">
        <is>
          <t>A 9917-2022</t>
        </is>
      </c>
      <c r="B5378" s="1" t="n">
        <v>44620.7546412037</v>
      </c>
      <c r="C5378" s="1" t="n">
        <v>45962</v>
      </c>
      <c r="D5378" t="inlineStr">
        <is>
          <t>JÖNKÖPINGS LÄN</t>
        </is>
      </c>
      <c r="E5378" t="inlineStr">
        <is>
          <t>ANEBY</t>
        </is>
      </c>
      <c r="G5378" t="n">
        <v>2</v>
      </c>
      <c r="H5378" t="n">
        <v>0</v>
      </c>
      <c r="I5378" t="n">
        <v>0</v>
      </c>
      <c r="J5378" t="n">
        <v>0</v>
      </c>
      <c r="K5378" t="n">
        <v>0</v>
      </c>
      <c r="L5378" t="n">
        <v>0</v>
      </c>
      <c r="M5378" t="n">
        <v>0</v>
      </c>
      <c r="N5378" t="n">
        <v>0</v>
      </c>
      <c r="O5378" t="n">
        <v>0</v>
      </c>
      <c r="P5378" t="n">
        <v>0</v>
      </c>
      <c r="Q5378" t="n">
        <v>0</v>
      </c>
      <c r="R5378" s="2" t="inlineStr"/>
    </row>
    <row r="5379" ht="15" customHeight="1">
      <c r="A5379" t="inlineStr">
        <is>
          <t>A 32840-2025</t>
        </is>
      </c>
      <c r="B5379" s="1" t="n">
        <v>45839.5653587963</v>
      </c>
      <c r="C5379" s="1" t="n">
        <v>45962</v>
      </c>
      <c r="D5379" t="inlineStr">
        <is>
          <t>JÖNKÖPINGS LÄN</t>
        </is>
      </c>
      <c r="E5379" t="inlineStr">
        <is>
          <t>VETLANDA</t>
        </is>
      </c>
      <c r="G5379" t="n">
        <v>3.5</v>
      </c>
      <c r="H5379" t="n">
        <v>0</v>
      </c>
      <c r="I5379" t="n">
        <v>0</v>
      </c>
      <c r="J5379" t="n">
        <v>0</v>
      </c>
      <c r="K5379" t="n">
        <v>0</v>
      </c>
      <c r="L5379" t="n">
        <v>0</v>
      </c>
      <c r="M5379" t="n">
        <v>0</v>
      </c>
      <c r="N5379" t="n">
        <v>0</v>
      </c>
      <c r="O5379" t="n">
        <v>0</v>
      </c>
      <c r="P5379" t="n">
        <v>0</v>
      </c>
      <c r="Q5379" t="n">
        <v>0</v>
      </c>
      <c r="R5379" s="2" t="inlineStr"/>
    </row>
    <row r="5380" ht="15" customHeight="1">
      <c r="A5380" t="inlineStr">
        <is>
          <t>A 32695-2025</t>
        </is>
      </c>
      <c r="B5380" s="1" t="n">
        <v>45839.31964120371</v>
      </c>
      <c r="C5380" s="1" t="n">
        <v>45962</v>
      </c>
      <c r="D5380" t="inlineStr">
        <is>
          <t>JÖNKÖPINGS LÄN</t>
        </is>
      </c>
      <c r="E5380" t="inlineStr">
        <is>
          <t>VETLANDA</t>
        </is>
      </c>
      <c r="G5380" t="n">
        <v>1.7</v>
      </c>
      <c r="H5380" t="n">
        <v>0</v>
      </c>
      <c r="I5380" t="n">
        <v>0</v>
      </c>
      <c r="J5380" t="n">
        <v>0</v>
      </c>
      <c r="K5380" t="n">
        <v>0</v>
      </c>
      <c r="L5380" t="n">
        <v>0</v>
      </c>
      <c r="M5380" t="n">
        <v>0</v>
      </c>
      <c r="N5380" t="n">
        <v>0</v>
      </c>
      <c r="O5380" t="n">
        <v>0</v>
      </c>
      <c r="P5380" t="n">
        <v>0</v>
      </c>
      <c r="Q5380" t="n">
        <v>0</v>
      </c>
      <c r="R5380" s="2" t="inlineStr"/>
    </row>
    <row r="5381" ht="15" customHeight="1">
      <c r="A5381" t="inlineStr">
        <is>
          <t>A 50836-2021</t>
        </is>
      </c>
      <c r="B5381" s="1" t="n">
        <v>44460.50841435185</v>
      </c>
      <c r="C5381" s="1" t="n">
        <v>45962</v>
      </c>
      <c r="D5381" t="inlineStr">
        <is>
          <t>JÖNKÖPINGS LÄN</t>
        </is>
      </c>
      <c r="E5381" t="inlineStr">
        <is>
          <t>NÄSSJÖ</t>
        </is>
      </c>
      <c r="G5381" t="n">
        <v>3.2</v>
      </c>
      <c r="H5381" t="n">
        <v>0</v>
      </c>
      <c r="I5381" t="n">
        <v>0</v>
      </c>
      <c r="J5381" t="n">
        <v>0</v>
      </c>
      <c r="K5381" t="n">
        <v>0</v>
      </c>
      <c r="L5381" t="n">
        <v>0</v>
      </c>
      <c r="M5381" t="n">
        <v>0</v>
      </c>
      <c r="N5381" t="n">
        <v>0</v>
      </c>
      <c r="O5381" t="n">
        <v>0</v>
      </c>
      <c r="P5381" t="n">
        <v>0</v>
      </c>
      <c r="Q5381" t="n">
        <v>0</v>
      </c>
      <c r="R5381" s="2" t="inlineStr"/>
    </row>
    <row r="5382" ht="15" customHeight="1">
      <c r="A5382" t="inlineStr">
        <is>
          <t>A 59056-2023</t>
        </is>
      </c>
      <c r="B5382" s="1" t="n">
        <v>45252.79423611111</v>
      </c>
      <c r="C5382" s="1" t="n">
        <v>45962</v>
      </c>
      <c r="D5382" t="inlineStr">
        <is>
          <t>JÖNKÖPINGS LÄN</t>
        </is>
      </c>
      <c r="E5382" t="inlineStr">
        <is>
          <t>SÄVSJÖ</t>
        </is>
      </c>
      <c r="G5382" t="n">
        <v>2.6</v>
      </c>
      <c r="H5382" t="n">
        <v>0</v>
      </c>
      <c r="I5382" t="n">
        <v>0</v>
      </c>
      <c r="J5382" t="n">
        <v>0</v>
      </c>
      <c r="K5382" t="n">
        <v>0</v>
      </c>
      <c r="L5382" t="n">
        <v>0</v>
      </c>
      <c r="M5382" t="n">
        <v>0</v>
      </c>
      <c r="N5382" t="n">
        <v>0</v>
      </c>
      <c r="O5382" t="n">
        <v>0</v>
      </c>
      <c r="P5382" t="n">
        <v>0</v>
      </c>
      <c r="Q5382" t="n">
        <v>0</v>
      </c>
      <c r="R5382" s="2" t="inlineStr"/>
    </row>
    <row r="5383" ht="15" customHeight="1">
      <c r="A5383" t="inlineStr">
        <is>
          <t>A 15171-2024</t>
        </is>
      </c>
      <c r="B5383" s="1" t="n">
        <v>45400</v>
      </c>
      <c r="C5383" s="1" t="n">
        <v>45962</v>
      </c>
      <c r="D5383" t="inlineStr">
        <is>
          <t>JÖNKÖPINGS LÄN</t>
        </is>
      </c>
      <c r="E5383" t="inlineStr">
        <is>
          <t>VETLANDA</t>
        </is>
      </c>
      <c r="F5383" t="inlineStr">
        <is>
          <t>Kommuner</t>
        </is>
      </c>
      <c r="G5383" t="n">
        <v>3.5</v>
      </c>
      <c r="H5383" t="n">
        <v>0</v>
      </c>
      <c r="I5383" t="n">
        <v>0</v>
      </c>
      <c r="J5383" t="n">
        <v>0</v>
      </c>
      <c r="K5383" t="n">
        <v>0</v>
      </c>
      <c r="L5383" t="n">
        <v>0</v>
      </c>
      <c r="M5383" t="n">
        <v>0</v>
      </c>
      <c r="N5383" t="n">
        <v>0</v>
      </c>
      <c r="O5383" t="n">
        <v>0</v>
      </c>
      <c r="P5383" t="n">
        <v>0</v>
      </c>
      <c r="Q5383" t="n">
        <v>0</v>
      </c>
      <c r="R5383" s="2" t="inlineStr"/>
    </row>
    <row r="5384" ht="15" customHeight="1">
      <c r="A5384" t="inlineStr">
        <is>
          <t>A 58103-2022</t>
        </is>
      </c>
      <c r="B5384" s="1" t="n">
        <v>44900.64357638889</v>
      </c>
      <c r="C5384" s="1" t="n">
        <v>45962</v>
      </c>
      <c r="D5384" t="inlineStr">
        <is>
          <t>JÖNKÖPINGS LÄN</t>
        </is>
      </c>
      <c r="E5384" t="inlineStr">
        <is>
          <t>ANEBY</t>
        </is>
      </c>
      <c r="G5384" t="n">
        <v>0.9</v>
      </c>
      <c r="H5384" t="n">
        <v>0</v>
      </c>
      <c r="I5384" t="n">
        <v>0</v>
      </c>
      <c r="J5384" t="n">
        <v>0</v>
      </c>
      <c r="K5384" t="n">
        <v>0</v>
      </c>
      <c r="L5384" t="n">
        <v>0</v>
      </c>
      <c r="M5384" t="n">
        <v>0</v>
      </c>
      <c r="N5384" t="n">
        <v>0</v>
      </c>
      <c r="O5384" t="n">
        <v>0</v>
      </c>
      <c r="P5384" t="n">
        <v>0</v>
      </c>
      <c r="Q5384" t="n">
        <v>0</v>
      </c>
      <c r="R5384" s="2" t="inlineStr"/>
    </row>
    <row r="5385" ht="15" customHeight="1">
      <c r="A5385" t="inlineStr">
        <is>
          <t>A 4359-2023</t>
        </is>
      </c>
      <c r="B5385" s="1" t="n">
        <v>44954.69856481482</v>
      </c>
      <c r="C5385" s="1" t="n">
        <v>45962</v>
      </c>
      <c r="D5385" t="inlineStr">
        <is>
          <t>JÖNKÖPINGS LÄN</t>
        </is>
      </c>
      <c r="E5385" t="inlineStr">
        <is>
          <t>MULLSJÖ</t>
        </is>
      </c>
      <c r="G5385" t="n">
        <v>2.5</v>
      </c>
      <c r="H5385" t="n">
        <v>0</v>
      </c>
      <c r="I5385" t="n">
        <v>0</v>
      </c>
      <c r="J5385" t="n">
        <v>0</v>
      </c>
      <c r="K5385" t="n">
        <v>0</v>
      </c>
      <c r="L5385" t="n">
        <v>0</v>
      </c>
      <c r="M5385" t="n">
        <v>0</v>
      </c>
      <c r="N5385" t="n">
        <v>0</v>
      </c>
      <c r="O5385" t="n">
        <v>0</v>
      </c>
      <c r="P5385" t="n">
        <v>0</v>
      </c>
      <c r="Q5385" t="n">
        <v>0</v>
      </c>
      <c r="R5385" s="2" t="inlineStr"/>
    </row>
    <row r="5386" ht="15" customHeight="1">
      <c r="A5386" t="inlineStr">
        <is>
          <t>A 26266-2023</t>
        </is>
      </c>
      <c r="B5386" s="1" t="n">
        <v>45091</v>
      </c>
      <c r="C5386" s="1" t="n">
        <v>45962</v>
      </c>
      <c r="D5386" t="inlineStr">
        <is>
          <t>JÖNKÖPINGS LÄN</t>
        </is>
      </c>
      <c r="E5386" t="inlineStr">
        <is>
          <t>VETLANDA</t>
        </is>
      </c>
      <c r="G5386" t="n">
        <v>2.7</v>
      </c>
      <c r="H5386" t="n">
        <v>0</v>
      </c>
      <c r="I5386" t="n">
        <v>0</v>
      </c>
      <c r="J5386" t="n">
        <v>0</v>
      </c>
      <c r="K5386" t="n">
        <v>0</v>
      </c>
      <c r="L5386" t="n">
        <v>0</v>
      </c>
      <c r="M5386" t="n">
        <v>0</v>
      </c>
      <c r="N5386" t="n">
        <v>0</v>
      </c>
      <c r="O5386" t="n">
        <v>0</v>
      </c>
      <c r="P5386" t="n">
        <v>0</v>
      </c>
      <c r="Q5386" t="n">
        <v>0</v>
      </c>
      <c r="R5386" s="2" t="inlineStr"/>
    </row>
    <row r="5387" ht="15" customHeight="1">
      <c r="A5387" t="inlineStr">
        <is>
          <t>A 37902-2023</t>
        </is>
      </c>
      <c r="B5387" s="1" t="n">
        <v>45160.47324074074</v>
      </c>
      <c r="C5387" s="1" t="n">
        <v>45962</v>
      </c>
      <c r="D5387" t="inlineStr">
        <is>
          <t>JÖNKÖPINGS LÄN</t>
        </is>
      </c>
      <c r="E5387" t="inlineStr">
        <is>
          <t>VÄRNAMO</t>
        </is>
      </c>
      <c r="G5387" t="n">
        <v>0.9</v>
      </c>
      <c r="H5387" t="n">
        <v>0</v>
      </c>
      <c r="I5387" t="n">
        <v>0</v>
      </c>
      <c r="J5387" t="n">
        <v>0</v>
      </c>
      <c r="K5387" t="n">
        <v>0</v>
      </c>
      <c r="L5387" t="n">
        <v>0</v>
      </c>
      <c r="M5387" t="n">
        <v>0</v>
      </c>
      <c r="N5387" t="n">
        <v>0</v>
      </c>
      <c r="O5387" t="n">
        <v>0</v>
      </c>
      <c r="P5387" t="n">
        <v>0</v>
      </c>
      <c r="Q5387" t="n">
        <v>0</v>
      </c>
      <c r="R5387" s="2" t="inlineStr"/>
    </row>
    <row r="5388" ht="15" customHeight="1">
      <c r="A5388" t="inlineStr">
        <is>
          <t>A 11585-2023</t>
        </is>
      </c>
      <c r="B5388" s="1" t="n">
        <v>44994</v>
      </c>
      <c r="C5388" s="1" t="n">
        <v>45962</v>
      </c>
      <c r="D5388" t="inlineStr">
        <is>
          <t>JÖNKÖPINGS LÄN</t>
        </is>
      </c>
      <c r="E5388" t="inlineStr">
        <is>
          <t>VAGGERYD</t>
        </is>
      </c>
      <c r="G5388" t="n">
        <v>4.1</v>
      </c>
      <c r="H5388" t="n">
        <v>0</v>
      </c>
      <c r="I5388" t="n">
        <v>0</v>
      </c>
      <c r="J5388" t="n">
        <v>0</v>
      </c>
      <c r="K5388" t="n">
        <v>0</v>
      </c>
      <c r="L5388" t="n">
        <v>0</v>
      </c>
      <c r="M5388" t="n">
        <v>0</v>
      </c>
      <c r="N5388" t="n">
        <v>0</v>
      </c>
      <c r="O5388" t="n">
        <v>0</v>
      </c>
      <c r="P5388" t="n">
        <v>0</v>
      </c>
      <c r="Q5388" t="n">
        <v>0</v>
      </c>
      <c r="R5388" s="2" t="inlineStr"/>
    </row>
    <row r="5389" ht="15" customHeight="1">
      <c r="A5389" t="inlineStr">
        <is>
          <t>A 39694-2024</t>
        </is>
      </c>
      <c r="B5389" s="1" t="n">
        <v>45552.56195601852</v>
      </c>
      <c r="C5389" s="1" t="n">
        <v>45962</v>
      </c>
      <c r="D5389" t="inlineStr">
        <is>
          <t>JÖNKÖPINGS LÄN</t>
        </is>
      </c>
      <c r="E5389" t="inlineStr">
        <is>
          <t>ANEBY</t>
        </is>
      </c>
      <c r="G5389" t="n">
        <v>1.1</v>
      </c>
      <c r="H5389" t="n">
        <v>0</v>
      </c>
      <c r="I5389" t="n">
        <v>0</v>
      </c>
      <c r="J5389" t="n">
        <v>0</v>
      </c>
      <c r="K5389" t="n">
        <v>0</v>
      </c>
      <c r="L5389" t="n">
        <v>0</v>
      </c>
      <c r="M5389" t="n">
        <v>0</v>
      </c>
      <c r="N5389" t="n">
        <v>0</v>
      </c>
      <c r="O5389" t="n">
        <v>0</v>
      </c>
      <c r="P5389" t="n">
        <v>0</v>
      </c>
      <c r="Q5389" t="n">
        <v>0</v>
      </c>
      <c r="R5389" s="2" t="inlineStr"/>
    </row>
    <row r="5390" ht="15" customHeight="1">
      <c r="A5390" t="inlineStr">
        <is>
          <t>A 11606-2023</t>
        </is>
      </c>
      <c r="B5390" s="1" t="n">
        <v>44992</v>
      </c>
      <c r="C5390" s="1" t="n">
        <v>45962</v>
      </c>
      <c r="D5390" t="inlineStr">
        <is>
          <t>JÖNKÖPINGS LÄN</t>
        </is>
      </c>
      <c r="E5390" t="inlineStr">
        <is>
          <t>TRANÅS</t>
        </is>
      </c>
      <c r="G5390" t="n">
        <v>2.1</v>
      </c>
      <c r="H5390" t="n">
        <v>0</v>
      </c>
      <c r="I5390" t="n">
        <v>0</v>
      </c>
      <c r="J5390" t="n">
        <v>0</v>
      </c>
      <c r="K5390" t="n">
        <v>0</v>
      </c>
      <c r="L5390" t="n">
        <v>0</v>
      </c>
      <c r="M5390" t="n">
        <v>0</v>
      </c>
      <c r="N5390" t="n">
        <v>0</v>
      </c>
      <c r="O5390" t="n">
        <v>0</v>
      </c>
      <c r="P5390" t="n">
        <v>0</v>
      </c>
      <c r="Q5390" t="n">
        <v>0</v>
      </c>
      <c r="R5390" s="2" t="inlineStr"/>
    </row>
    <row r="5391" ht="15" customHeight="1">
      <c r="A5391" t="inlineStr">
        <is>
          <t>A 6278-2022</t>
        </is>
      </c>
      <c r="B5391" s="1" t="n">
        <v>44600</v>
      </c>
      <c r="C5391" s="1" t="n">
        <v>45962</v>
      </c>
      <c r="D5391" t="inlineStr">
        <is>
          <t>JÖNKÖPINGS LÄN</t>
        </is>
      </c>
      <c r="E5391" t="inlineStr">
        <is>
          <t>VETLANDA</t>
        </is>
      </c>
      <c r="G5391" t="n">
        <v>1.3</v>
      </c>
      <c r="H5391" t="n">
        <v>0</v>
      </c>
      <c r="I5391" t="n">
        <v>0</v>
      </c>
      <c r="J5391" t="n">
        <v>0</v>
      </c>
      <c r="K5391" t="n">
        <v>0</v>
      </c>
      <c r="L5391" t="n">
        <v>0</v>
      </c>
      <c r="M5391" t="n">
        <v>0</v>
      </c>
      <c r="N5391" t="n">
        <v>0</v>
      </c>
      <c r="O5391" t="n">
        <v>0</v>
      </c>
      <c r="P5391" t="n">
        <v>0</v>
      </c>
      <c r="Q5391" t="n">
        <v>0</v>
      </c>
      <c r="R5391" s="2" t="inlineStr"/>
    </row>
    <row r="5392" ht="15" customHeight="1">
      <c r="A5392" t="inlineStr">
        <is>
          <t>A 17302-2022</t>
        </is>
      </c>
      <c r="B5392" s="1" t="n">
        <v>44678</v>
      </c>
      <c r="C5392" s="1" t="n">
        <v>45962</v>
      </c>
      <c r="D5392" t="inlineStr">
        <is>
          <t>JÖNKÖPINGS LÄN</t>
        </is>
      </c>
      <c r="E5392" t="inlineStr">
        <is>
          <t>VAGGERYD</t>
        </is>
      </c>
      <c r="G5392" t="n">
        <v>4.3</v>
      </c>
      <c r="H5392" t="n">
        <v>0</v>
      </c>
      <c r="I5392" t="n">
        <v>0</v>
      </c>
      <c r="J5392" t="n">
        <v>0</v>
      </c>
      <c r="K5392" t="n">
        <v>0</v>
      </c>
      <c r="L5392" t="n">
        <v>0</v>
      </c>
      <c r="M5392" t="n">
        <v>0</v>
      </c>
      <c r="N5392" t="n">
        <v>0</v>
      </c>
      <c r="O5392" t="n">
        <v>0</v>
      </c>
      <c r="P5392" t="n">
        <v>0</v>
      </c>
      <c r="Q5392" t="n">
        <v>0</v>
      </c>
      <c r="R5392" s="2" t="inlineStr"/>
    </row>
    <row r="5393" ht="15" customHeight="1">
      <c r="A5393" t="inlineStr">
        <is>
          <t>A 9705-2022</t>
        </is>
      </c>
      <c r="B5393" s="1" t="n">
        <v>44617.69141203703</v>
      </c>
      <c r="C5393" s="1" t="n">
        <v>45962</v>
      </c>
      <c r="D5393" t="inlineStr">
        <is>
          <t>JÖNKÖPINGS LÄN</t>
        </is>
      </c>
      <c r="E5393" t="inlineStr">
        <is>
          <t>TRANÅS</t>
        </is>
      </c>
      <c r="G5393" t="n">
        <v>1.5</v>
      </c>
      <c r="H5393" t="n">
        <v>0</v>
      </c>
      <c r="I5393" t="n">
        <v>0</v>
      </c>
      <c r="J5393" t="n">
        <v>0</v>
      </c>
      <c r="K5393" t="n">
        <v>0</v>
      </c>
      <c r="L5393" t="n">
        <v>0</v>
      </c>
      <c r="M5393" t="n">
        <v>0</v>
      </c>
      <c r="N5393" t="n">
        <v>0</v>
      </c>
      <c r="O5393" t="n">
        <v>0</v>
      </c>
      <c r="P5393" t="n">
        <v>0</v>
      </c>
      <c r="Q5393" t="n">
        <v>0</v>
      </c>
      <c r="R5393" s="2" t="inlineStr"/>
    </row>
    <row r="5394" ht="15" customHeight="1">
      <c r="A5394" t="inlineStr">
        <is>
          <t>A 32875-2025</t>
        </is>
      </c>
      <c r="B5394" s="1" t="n">
        <v>45839.59424768519</v>
      </c>
      <c r="C5394" s="1" t="n">
        <v>45962</v>
      </c>
      <c r="D5394" t="inlineStr">
        <is>
          <t>JÖNKÖPINGS LÄN</t>
        </is>
      </c>
      <c r="E5394" t="inlineStr">
        <is>
          <t>VAGGERYD</t>
        </is>
      </c>
      <c r="G5394" t="n">
        <v>1.3</v>
      </c>
      <c r="H5394" t="n">
        <v>0</v>
      </c>
      <c r="I5394" t="n">
        <v>0</v>
      </c>
      <c r="J5394" t="n">
        <v>0</v>
      </c>
      <c r="K5394" t="n">
        <v>0</v>
      </c>
      <c r="L5394" t="n">
        <v>0</v>
      </c>
      <c r="M5394" t="n">
        <v>0</v>
      </c>
      <c r="N5394" t="n">
        <v>0</v>
      </c>
      <c r="O5394" t="n">
        <v>0</v>
      </c>
      <c r="P5394" t="n">
        <v>0</v>
      </c>
      <c r="Q5394" t="n">
        <v>0</v>
      </c>
      <c r="R5394" s="2" t="inlineStr"/>
    </row>
    <row r="5395" ht="15" customHeight="1">
      <c r="A5395" t="inlineStr">
        <is>
          <t>A 32883-2025</t>
        </is>
      </c>
      <c r="B5395" s="1" t="n">
        <v>45839.5980787037</v>
      </c>
      <c r="C5395" s="1" t="n">
        <v>45962</v>
      </c>
      <c r="D5395" t="inlineStr">
        <is>
          <t>JÖNKÖPINGS LÄN</t>
        </is>
      </c>
      <c r="E5395" t="inlineStr">
        <is>
          <t>EKSJÖ</t>
        </is>
      </c>
      <c r="F5395" t="inlineStr">
        <is>
          <t>Sveaskog</t>
        </is>
      </c>
      <c r="G5395" t="n">
        <v>1.6</v>
      </c>
      <c r="H5395" t="n">
        <v>0</v>
      </c>
      <c r="I5395" t="n">
        <v>0</v>
      </c>
      <c r="J5395" t="n">
        <v>0</v>
      </c>
      <c r="K5395" t="n">
        <v>0</v>
      </c>
      <c r="L5395" t="n">
        <v>0</v>
      </c>
      <c r="M5395" t="n">
        <v>0</v>
      </c>
      <c r="N5395" t="n">
        <v>0</v>
      </c>
      <c r="O5395" t="n">
        <v>0</v>
      </c>
      <c r="P5395" t="n">
        <v>0</v>
      </c>
      <c r="Q5395" t="n">
        <v>0</v>
      </c>
      <c r="R5395" s="2" t="inlineStr"/>
    </row>
    <row r="5396" ht="15" customHeight="1">
      <c r="A5396" t="inlineStr">
        <is>
          <t>A 6340-2022</t>
        </is>
      </c>
      <c r="B5396" s="1" t="n">
        <v>44600.5731712963</v>
      </c>
      <c r="C5396" s="1" t="n">
        <v>45962</v>
      </c>
      <c r="D5396" t="inlineStr">
        <is>
          <t>JÖNKÖPINGS LÄN</t>
        </is>
      </c>
      <c r="E5396" t="inlineStr">
        <is>
          <t>VETLANDA</t>
        </is>
      </c>
      <c r="G5396" t="n">
        <v>1.1</v>
      </c>
      <c r="H5396" t="n">
        <v>0</v>
      </c>
      <c r="I5396" t="n">
        <v>0</v>
      </c>
      <c r="J5396" t="n">
        <v>0</v>
      </c>
      <c r="K5396" t="n">
        <v>0</v>
      </c>
      <c r="L5396" t="n">
        <v>0</v>
      </c>
      <c r="M5396" t="n">
        <v>0</v>
      </c>
      <c r="N5396" t="n">
        <v>0</v>
      </c>
      <c r="O5396" t="n">
        <v>0</v>
      </c>
      <c r="P5396" t="n">
        <v>0</v>
      </c>
      <c r="Q5396" t="n">
        <v>0</v>
      </c>
      <c r="R5396" s="2" t="inlineStr"/>
    </row>
    <row r="5397" ht="15" customHeight="1">
      <c r="A5397" t="inlineStr">
        <is>
          <t>A 32853-2025</t>
        </is>
      </c>
      <c r="B5397" s="1" t="n">
        <v>45839.57564814815</v>
      </c>
      <c r="C5397" s="1" t="n">
        <v>45962</v>
      </c>
      <c r="D5397" t="inlineStr">
        <is>
          <t>JÖNKÖPINGS LÄN</t>
        </is>
      </c>
      <c r="E5397" t="inlineStr">
        <is>
          <t>VETLANDA</t>
        </is>
      </c>
      <c r="G5397" t="n">
        <v>0.9</v>
      </c>
      <c r="H5397" t="n">
        <v>0</v>
      </c>
      <c r="I5397" t="n">
        <v>0</v>
      </c>
      <c r="J5397" t="n">
        <v>0</v>
      </c>
      <c r="K5397" t="n">
        <v>0</v>
      </c>
      <c r="L5397" t="n">
        <v>0</v>
      </c>
      <c r="M5397" t="n">
        <v>0</v>
      </c>
      <c r="N5397" t="n">
        <v>0</v>
      </c>
      <c r="O5397" t="n">
        <v>0</v>
      </c>
      <c r="P5397" t="n">
        <v>0</v>
      </c>
      <c r="Q5397" t="n">
        <v>0</v>
      </c>
      <c r="R5397" s="2" t="inlineStr"/>
    </row>
    <row r="5398" ht="15" customHeight="1">
      <c r="A5398" t="inlineStr">
        <is>
          <t>A 32856-2025</t>
        </is>
      </c>
      <c r="B5398" s="1" t="n">
        <v>45839.57771990741</v>
      </c>
      <c r="C5398" s="1" t="n">
        <v>45962</v>
      </c>
      <c r="D5398" t="inlineStr">
        <is>
          <t>JÖNKÖPINGS LÄN</t>
        </is>
      </c>
      <c r="E5398" t="inlineStr">
        <is>
          <t>MULLSJÖ</t>
        </is>
      </c>
      <c r="G5398" t="n">
        <v>2.2</v>
      </c>
      <c r="H5398" t="n">
        <v>0</v>
      </c>
      <c r="I5398" t="n">
        <v>0</v>
      </c>
      <c r="J5398" t="n">
        <v>0</v>
      </c>
      <c r="K5398" t="n">
        <v>0</v>
      </c>
      <c r="L5398" t="n">
        <v>0</v>
      </c>
      <c r="M5398" t="n">
        <v>0</v>
      </c>
      <c r="N5398" t="n">
        <v>0</v>
      </c>
      <c r="O5398" t="n">
        <v>0</v>
      </c>
      <c r="P5398" t="n">
        <v>0</v>
      </c>
      <c r="Q5398" t="n">
        <v>0</v>
      </c>
      <c r="R5398" s="2" t="inlineStr"/>
    </row>
    <row r="5399" ht="15" customHeight="1">
      <c r="A5399" t="inlineStr">
        <is>
          <t>A 58236-2023</t>
        </is>
      </c>
      <c r="B5399" s="1" t="n">
        <v>45245</v>
      </c>
      <c r="C5399" s="1" t="n">
        <v>45962</v>
      </c>
      <c r="D5399" t="inlineStr">
        <is>
          <t>JÖNKÖPINGS LÄN</t>
        </is>
      </c>
      <c r="E5399" t="inlineStr">
        <is>
          <t>NÄSSJÖ</t>
        </is>
      </c>
      <c r="F5399" t="inlineStr">
        <is>
          <t>Kommuner</t>
        </is>
      </c>
      <c r="G5399" t="n">
        <v>2.9</v>
      </c>
      <c r="H5399" t="n">
        <v>0</v>
      </c>
      <c r="I5399" t="n">
        <v>0</v>
      </c>
      <c r="J5399" t="n">
        <v>0</v>
      </c>
      <c r="K5399" t="n">
        <v>0</v>
      </c>
      <c r="L5399" t="n">
        <v>0</v>
      </c>
      <c r="M5399" t="n">
        <v>0</v>
      </c>
      <c r="N5399" t="n">
        <v>0</v>
      </c>
      <c r="O5399" t="n">
        <v>0</v>
      </c>
      <c r="P5399" t="n">
        <v>0</v>
      </c>
      <c r="Q5399" t="n">
        <v>0</v>
      </c>
      <c r="R5399" s="2" t="inlineStr"/>
    </row>
    <row r="5400" ht="15" customHeight="1">
      <c r="A5400" t="inlineStr">
        <is>
          <t>A 32873-2025</t>
        </is>
      </c>
      <c r="B5400" s="1" t="n">
        <v>45839.59332175926</v>
      </c>
      <c r="C5400" s="1" t="n">
        <v>45962</v>
      </c>
      <c r="D5400" t="inlineStr">
        <is>
          <t>JÖNKÖPINGS LÄN</t>
        </is>
      </c>
      <c r="E5400" t="inlineStr">
        <is>
          <t>EKSJÖ</t>
        </is>
      </c>
      <c r="F5400" t="inlineStr">
        <is>
          <t>Sveaskog</t>
        </is>
      </c>
      <c r="G5400" t="n">
        <v>0.7</v>
      </c>
      <c r="H5400" t="n">
        <v>0</v>
      </c>
      <c r="I5400" t="n">
        <v>0</v>
      </c>
      <c r="J5400" t="n">
        <v>0</v>
      </c>
      <c r="K5400" t="n">
        <v>0</v>
      </c>
      <c r="L5400" t="n">
        <v>0</v>
      </c>
      <c r="M5400" t="n">
        <v>0</v>
      </c>
      <c r="N5400" t="n">
        <v>0</v>
      </c>
      <c r="O5400" t="n">
        <v>0</v>
      </c>
      <c r="P5400" t="n">
        <v>0</v>
      </c>
      <c r="Q5400" t="n">
        <v>0</v>
      </c>
      <c r="R5400" s="2" t="inlineStr"/>
    </row>
    <row r="5401" ht="15" customHeight="1">
      <c r="A5401" t="inlineStr">
        <is>
          <t>A 32483-2025</t>
        </is>
      </c>
      <c r="B5401" s="1" t="n">
        <v>45838</v>
      </c>
      <c r="C5401" s="1" t="n">
        <v>45962</v>
      </c>
      <c r="D5401" t="inlineStr">
        <is>
          <t>JÖNKÖPINGS LÄN</t>
        </is>
      </c>
      <c r="E5401" t="inlineStr">
        <is>
          <t>SÄVSJÖ</t>
        </is>
      </c>
      <c r="G5401" t="n">
        <v>5.1</v>
      </c>
      <c r="H5401" t="n">
        <v>0</v>
      </c>
      <c r="I5401" t="n">
        <v>0</v>
      </c>
      <c r="J5401" t="n">
        <v>0</v>
      </c>
      <c r="K5401" t="n">
        <v>0</v>
      </c>
      <c r="L5401" t="n">
        <v>0</v>
      </c>
      <c r="M5401" t="n">
        <v>0</v>
      </c>
      <c r="N5401" t="n">
        <v>0</v>
      </c>
      <c r="O5401" t="n">
        <v>0</v>
      </c>
      <c r="P5401" t="n">
        <v>0</v>
      </c>
      <c r="Q5401" t="n">
        <v>0</v>
      </c>
      <c r="R5401" s="2" t="inlineStr"/>
    </row>
    <row r="5402" ht="15" customHeight="1">
      <c r="A5402" t="inlineStr">
        <is>
          <t>A 32548-2025</t>
        </is>
      </c>
      <c r="B5402" s="1" t="n">
        <v>45838.53831018518</v>
      </c>
      <c r="C5402" s="1" t="n">
        <v>45962</v>
      </c>
      <c r="D5402" t="inlineStr">
        <is>
          <t>JÖNKÖPINGS LÄN</t>
        </is>
      </c>
      <c r="E5402" t="inlineStr">
        <is>
          <t>ANEBY</t>
        </is>
      </c>
      <c r="G5402" t="n">
        <v>3.4</v>
      </c>
      <c r="H5402" t="n">
        <v>0</v>
      </c>
      <c r="I5402" t="n">
        <v>0</v>
      </c>
      <c r="J5402" t="n">
        <v>0</v>
      </c>
      <c r="K5402" t="n">
        <v>0</v>
      </c>
      <c r="L5402" t="n">
        <v>0</v>
      </c>
      <c r="M5402" t="n">
        <v>0</v>
      </c>
      <c r="N5402" t="n">
        <v>0</v>
      </c>
      <c r="O5402" t="n">
        <v>0</v>
      </c>
      <c r="P5402" t="n">
        <v>0</v>
      </c>
      <c r="Q5402" t="n">
        <v>0</v>
      </c>
      <c r="R5402" s="2" t="inlineStr"/>
    </row>
    <row r="5403" ht="15" customHeight="1">
      <c r="A5403" t="inlineStr">
        <is>
          <t>A 41795-2022</t>
        </is>
      </c>
      <c r="B5403" s="1" t="n">
        <v>44827.79935185185</v>
      </c>
      <c r="C5403" s="1" t="n">
        <v>45962</v>
      </c>
      <c r="D5403" t="inlineStr">
        <is>
          <t>JÖNKÖPINGS LÄN</t>
        </is>
      </c>
      <c r="E5403" t="inlineStr">
        <is>
          <t>EKSJÖ</t>
        </is>
      </c>
      <c r="G5403" t="n">
        <v>1.9</v>
      </c>
      <c r="H5403" t="n">
        <v>0</v>
      </c>
      <c r="I5403" t="n">
        <v>0</v>
      </c>
      <c r="J5403" t="n">
        <v>0</v>
      </c>
      <c r="K5403" t="n">
        <v>0</v>
      </c>
      <c r="L5403" t="n">
        <v>0</v>
      </c>
      <c r="M5403" t="n">
        <v>0</v>
      </c>
      <c r="N5403" t="n">
        <v>0</v>
      </c>
      <c r="O5403" t="n">
        <v>0</v>
      </c>
      <c r="P5403" t="n">
        <v>0</v>
      </c>
      <c r="Q5403" t="n">
        <v>0</v>
      </c>
      <c r="R5403" s="2" t="inlineStr"/>
    </row>
    <row r="5404" ht="15" customHeight="1">
      <c r="A5404" t="inlineStr">
        <is>
          <t>A 34377-2023</t>
        </is>
      </c>
      <c r="B5404" s="1" t="n">
        <v>45132</v>
      </c>
      <c r="C5404" s="1" t="n">
        <v>45962</v>
      </c>
      <c r="D5404" t="inlineStr">
        <is>
          <t>JÖNKÖPINGS LÄN</t>
        </is>
      </c>
      <c r="E5404" t="inlineStr">
        <is>
          <t>NÄSSJÖ</t>
        </is>
      </c>
      <c r="G5404" t="n">
        <v>3.2</v>
      </c>
      <c r="H5404" t="n">
        <v>0</v>
      </c>
      <c r="I5404" t="n">
        <v>0</v>
      </c>
      <c r="J5404" t="n">
        <v>0</v>
      </c>
      <c r="K5404" t="n">
        <v>0</v>
      </c>
      <c r="L5404" t="n">
        <v>0</v>
      </c>
      <c r="M5404" t="n">
        <v>0</v>
      </c>
      <c r="N5404" t="n">
        <v>0</v>
      </c>
      <c r="O5404" t="n">
        <v>0</v>
      </c>
      <c r="P5404" t="n">
        <v>0</v>
      </c>
      <c r="Q5404" t="n">
        <v>0</v>
      </c>
      <c r="R5404" s="2" t="inlineStr"/>
    </row>
    <row r="5405" ht="15" customHeight="1">
      <c r="A5405" t="inlineStr">
        <is>
          <t>A 21924-2022</t>
        </is>
      </c>
      <c r="B5405" s="1" t="n">
        <v>44711</v>
      </c>
      <c r="C5405" s="1" t="n">
        <v>45962</v>
      </c>
      <c r="D5405" t="inlineStr">
        <is>
          <t>JÖNKÖPINGS LÄN</t>
        </is>
      </c>
      <c r="E5405" t="inlineStr">
        <is>
          <t>JÖNKÖPING</t>
        </is>
      </c>
      <c r="G5405" t="n">
        <v>1.1</v>
      </c>
      <c r="H5405" t="n">
        <v>0</v>
      </c>
      <c r="I5405" t="n">
        <v>0</v>
      </c>
      <c r="J5405" t="n">
        <v>0</v>
      </c>
      <c r="K5405" t="n">
        <v>0</v>
      </c>
      <c r="L5405" t="n">
        <v>0</v>
      </c>
      <c r="M5405" t="n">
        <v>0</v>
      </c>
      <c r="N5405" t="n">
        <v>0</v>
      </c>
      <c r="O5405" t="n">
        <v>0</v>
      </c>
      <c r="P5405" t="n">
        <v>0</v>
      </c>
      <c r="Q5405" t="n">
        <v>0</v>
      </c>
      <c r="R5405" s="2" t="inlineStr"/>
    </row>
    <row r="5406" ht="15" customHeight="1">
      <c r="A5406" t="inlineStr">
        <is>
          <t>A 32388-2025</t>
        </is>
      </c>
      <c r="B5406" s="1" t="n">
        <v>45837.88903935185</v>
      </c>
      <c r="C5406" s="1" t="n">
        <v>45962</v>
      </c>
      <c r="D5406" t="inlineStr">
        <is>
          <t>JÖNKÖPINGS LÄN</t>
        </is>
      </c>
      <c r="E5406" t="inlineStr">
        <is>
          <t>NÄSSJÖ</t>
        </is>
      </c>
      <c r="G5406" t="n">
        <v>1.1</v>
      </c>
      <c r="H5406" t="n">
        <v>0</v>
      </c>
      <c r="I5406" t="n">
        <v>0</v>
      </c>
      <c r="J5406" t="n">
        <v>0</v>
      </c>
      <c r="K5406" t="n">
        <v>0</v>
      </c>
      <c r="L5406" t="n">
        <v>0</v>
      </c>
      <c r="M5406" t="n">
        <v>0</v>
      </c>
      <c r="N5406" t="n">
        <v>0</v>
      </c>
      <c r="O5406" t="n">
        <v>0</v>
      </c>
      <c r="P5406" t="n">
        <v>0</v>
      </c>
      <c r="Q5406" t="n">
        <v>0</v>
      </c>
      <c r="R5406" s="2" t="inlineStr"/>
    </row>
    <row r="5407" ht="15" customHeight="1">
      <c r="A5407" t="inlineStr">
        <is>
          <t>A 32421-2025</t>
        </is>
      </c>
      <c r="B5407" s="1" t="n">
        <v>45838.35018518518</v>
      </c>
      <c r="C5407" s="1" t="n">
        <v>45962</v>
      </c>
      <c r="D5407" t="inlineStr">
        <is>
          <t>JÖNKÖPINGS LÄN</t>
        </is>
      </c>
      <c r="E5407" t="inlineStr">
        <is>
          <t>VETLANDA</t>
        </is>
      </c>
      <c r="G5407" t="n">
        <v>2.7</v>
      </c>
      <c r="H5407" t="n">
        <v>0</v>
      </c>
      <c r="I5407" t="n">
        <v>0</v>
      </c>
      <c r="J5407" t="n">
        <v>0</v>
      </c>
      <c r="K5407" t="n">
        <v>0</v>
      </c>
      <c r="L5407" t="n">
        <v>0</v>
      </c>
      <c r="M5407" t="n">
        <v>0</v>
      </c>
      <c r="N5407" t="n">
        <v>0</v>
      </c>
      <c r="O5407" t="n">
        <v>0</v>
      </c>
      <c r="P5407" t="n">
        <v>0</v>
      </c>
      <c r="Q5407" t="n">
        <v>0</v>
      </c>
      <c r="R5407" s="2" t="inlineStr"/>
    </row>
    <row r="5408" ht="15" customHeight="1">
      <c r="A5408" t="inlineStr">
        <is>
          <t>A 5349-2024</t>
        </is>
      </c>
      <c r="B5408" s="1" t="n">
        <v>45331.45001157407</v>
      </c>
      <c r="C5408" s="1" t="n">
        <v>45962</v>
      </c>
      <c r="D5408" t="inlineStr">
        <is>
          <t>JÖNKÖPINGS LÄN</t>
        </is>
      </c>
      <c r="E5408" t="inlineStr">
        <is>
          <t>VETLANDA</t>
        </is>
      </c>
      <c r="G5408" t="n">
        <v>1.1</v>
      </c>
      <c r="H5408" t="n">
        <v>0</v>
      </c>
      <c r="I5408" t="n">
        <v>0</v>
      </c>
      <c r="J5408" t="n">
        <v>0</v>
      </c>
      <c r="K5408" t="n">
        <v>0</v>
      </c>
      <c r="L5408" t="n">
        <v>0</v>
      </c>
      <c r="M5408" t="n">
        <v>0</v>
      </c>
      <c r="N5408" t="n">
        <v>0</v>
      </c>
      <c r="O5408" t="n">
        <v>0</v>
      </c>
      <c r="P5408" t="n">
        <v>0</v>
      </c>
      <c r="Q5408" t="n">
        <v>0</v>
      </c>
      <c r="R5408" s="2" t="inlineStr"/>
    </row>
    <row r="5409" ht="15" customHeight="1">
      <c r="A5409" t="inlineStr">
        <is>
          <t>A 5365-2024</t>
        </is>
      </c>
      <c r="B5409" s="1" t="n">
        <v>45331.47140046296</v>
      </c>
      <c r="C5409" s="1" t="n">
        <v>45962</v>
      </c>
      <c r="D5409" t="inlineStr">
        <is>
          <t>JÖNKÖPINGS LÄN</t>
        </is>
      </c>
      <c r="E5409" t="inlineStr">
        <is>
          <t>VETLANDA</t>
        </is>
      </c>
      <c r="G5409" t="n">
        <v>3.9</v>
      </c>
      <c r="H5409" t="n">
        <v>0</v>
      </c>
      <c r="I5409" t="n">
        <v>0</v>
      </c>
      <c r="J5409" t="n">
        <v>0</v>
      </c>
      <c r="K5409" t="n">
        <v>0</v>
      </c>
      <c r="L5409" t="n">
        <v>0</v>
      </c>
      <c r="M5409" t="n">
        <v>0</v>
      </c>
      <c r="N5409" t="n">
        <v>0</v>
      </c>
      <c r="O5409" t="n">
        <v>0</v>
      </c>
      <c r="P5409" t="n">
        <v>0</v>
      </c>
      <c r="Q5409" t="n">
        <v>0</v>
      </c>
      <c r="R5409" s="2" t="inlineStr"/>
    </row>
    <row r="5410" ht="15" customHeight="1">
      <c r="A5410" t="inlineStr">
        <is>
          <t>A 28305-2024</t>
        </is>
      </c>
      <c r="B5410" s="1" t="n">
        <v>45477.48771990741</v>
      </c>
      <c r="C5410" s="1" t="n">
        <v>45962</v>
      </c>
      <c r="D5410" t="inlineStr">
        <is>
          <t>JÖNKÖPINGS LÄN</t>
        </is>
      </c>
      <c r="E5410" t="inlineStr">
        <is>
          <t>JÖNKÖPING</t>
        </is>
      </c>
      <c r="G5410" t="n">
        <v>0.7</v>
      </c>
      <c r="H5410" t="n">
        <v>0</v>
      </c>
      <c r="I5410" t="n">
        <v>0</v>
      </c>
      <c r="J5410" t="n">
        <v>0</v>
      </c>
      <c r="K5410" t="n">
        <v>0</v>
      </c>
      <c r="L5410" t="n">
        <v>0</v>
      </c>
      <c r="M5410" t="n">
        <v>0</v>
      </c>
      <c r="N5410" t="n">
        <v>0</v>
      </c>
      <c r="O5410" t="n">
        <v>0</v>
      </c>
      <c r="P5410" t="n">
        <v>0</v>
      </c>
      <c r="Q5410" t="n">
        <v>0</v>
      </c>
      <c r="R5410" s="2" t="inlineStr"/>
    </row>
    <row r="5411" ht="15" customHeight="1">
      <c r="A5411" t="inlineStr">
        <is>
          <t>A 28307-2024</t>
        </is>
      </c>
      <c r="B5411" s="1" t="n">
        <v>45477.48915509259</v>
      </c>
      <c r="C5411" s="1" t="n">
        <v>45962</v>
      </c>
      <c r="D5411" t="inlineStr">
        <is>
          <t>JÖNKÖPINGS LÄN</t>
        </is>
      </c>
      <c r="E5411" t="inlineStr">
        <is>
          <t>JÖNKÖPING</t>
        </is>
      </c>
      <c r="G5411" t="n">
        <v>4.3</v>
      </c>
      <c r="H5411" t="n">
        <v>0</v>
      </c>
      <c r="I5411" t="n">
        <v>0</v>
      </c>
      <c r="J5411" t="n">
        <v>0</v>
      </c>
      <c r="K5411" t="n">
        <v>0</v>
      </c>
      <c r="L5411" t="n">
        <v>0</v>
      </c>
      <c r="M5411" t="n">
        <v>0</v>
      </c>
      <c r="N5411" t="n">
        <v>0</v>
      </c>
      <c r="O5411" t="n">
        <v>0</v>
      </c>
      <c r="P5411" t="n">
        <v>0</v>
      </c>
      <c r="Q5411" t="n">
        <v>0</v>
      </c>
      <c r="R5411" s="2" t="inlineStr"/>
    </row>
    <row r="5412" ht="15" customHeight="1">
      <c r="A5412" t="inlineStr">
        <is>
          <t>A 32554-2025</t>
        </is>
      </c>
      <c r="B5412" s="1" t="n">
        <v>45838.5571412037</v>
      </c>
      <c r="C5412" s="1" t="n">
        <v>45962</v>
      </c>
      <c r="D5412" t="inlineStr">
        <is>
          <t>JÖNKÖPINGS LÄN</t>
        </is>
      </c>
      <c r="E5412" t="inlineStr">
        <is>
          <t>ANEBY</t>
        </is>
      </c>
      <c r="G5412" t="n">
        <v>1.1</v>
      </c>
      <c r="H5412" t="n">
        <v>0</v>
      </c>
      <c r="I5412" t="n">
        <v>0</v>
      </c>
      <c r="J5412" t="n">
        <v>0</v>
      </c>
      <c r="K5412" t="n">
        <v>0</v>
      </c>
      <c r="L5412" t="n">
        <v>0</v>
      </c>
      <c r="M5412" t="n">
        <v>0</v>
      </c>
      <c r="N5412" t="n">
        <v>0</v>
      </c>
      <c r="O5412" t="n">
        <v>0</v>
      </c>
      <c r="P5412" t="n">
        <v>0</v>
      </c>
      <c r="Q5412" t="n">
        <v>0</v>
      </c>
      <c r="R5412" s="2" t="inlineStr"/>
    </row>
    <row r="5413" ht="15" customHeight="1">
      <c r="A5413" t="inlineStr">
        <is>
          <t>A 23613-2023</t>
        </is>
      </c>
      <c r="B5413" s="1" t="n">
        <v>45077</v>
      </c>
      <c r="C5413" s="1" t="n">
        <v>45962</v>
      </c>
      <c r="D5413" t="inlineStr">
        <is>
          <t>JÖNKÖPINGS LÄN</t>
        </is>
      </c>
      <c r="E5413" t="inlineStr">
        <is>
          <t>VÄRNAMO</t>
        </is>
      </c>
      <c r="G5413" t="n">
        <v>1.5</v>
      </c>
      <c r="H5413" t="n">
        <v>0</v>
      </c>
      <c r="I5413" t="n">
        <v>0</v>
      </c>
      <c r="J5413" t="n">
        <v>0</v>
      </c>
      <c r="K5413" t="n">
        <v>0</v>
      </c>
      <c r="L5413" t="n">
        <v>0</v>
      </c>
      <c r="M5413" t="n">
        <v>0</v>
      </c>
      <c r="N5413" t="n">
        <v>0</v>
      </c>
      <c r="O5413" t="n">
        <v>0</v>
      </c>
      <c r="P5413" t="n">
        <v>0</v>
      </c>
      <c r="Q5413" t="n">
        <v>0</v>
      </c>
      <c r="R5413" s="2" t="inlineStr"/>
    </row>
    <row r="5414" ht="15" customHeight="1">
      <c r="A5414" t="inlineStr">
        <is>
          <t>A 23623-2023</t>
        </is>
      </c>
      <c r="B5414" s="1" t="n">
        <v>45077</v>
      </c>
      <c r="C5414" s="1" t="n">
        <v>45962</v>
      </c>
      <c r="D5414" t="inlineStr">
        <is>
          <t>JÖNKÖPINGS LÄN</t>
        </is>
      </c>
      <c r="E5414" t="inlineStr">
        <is>
          <t>NÄSSJÖ</t>
        </is>
      </c>
      <c r="G5414" t="n">
        <v>1.5</v>
      </c>
      <c r="H5414" t="n">
        <v>0</v>
      </c>
      <c r="I5414" t="n">
        <v>0</v>
      </c>
      <c r="J5414" t="n">
        <v>0</v>
      </c>
      <c r="K5414" t="n">
        <v>0</v>
      </c>
      <c r="L5414" t="n">
        <v>0</v>
      </c>
      <c r="M5414" t="n">
        <v>0</v>
      </c>
      <c r="N5414" t="n">
        <v>0</v>
      </c>
      <c r="O5414" t="n">
        <v>0</v>
      </c>
      <c r="P5414" t="n">
        <v>0</v>
      </c>
      <c r="Q5414" t="n">
        <v>0</v>
      </c>
      <c r="R5414" s="2" t="inlineStr"/>
    </row>
    <row r="5415" ht="15" customHeight="1">
      <c r="A5415" t="inlineStr">
        <is>
          <t>A 32556-2025</t>
        </is>
      </c>
      <c r="B5415" s="1" t="n">
        <v>45838.56127314815</v>
      </c>
      <c r="C5415" s="1" t="n">
        <v>45962</v>
      </c>
      <c r="D5415" t="inlineStr">
        <is>
          <t>JÖNKÖPINGS LÄN</t>
        </is>
      </c>
      <c r="E5415" t="inlineStr">
        <is>
          <t>VETLANDA</t>
        </is>
      </c>
      <c r="G5415" t="n">
        <v>1</v>
      </c>
      <c r="H5415" t="n">
        <v>0</v>
      </c>
      <c r="I5415" t="n">
        <v>0</v>
      </c>
      <c r="J5415" t="n">
        <v>0</v>
      </c>
      <c r="K5415" t="n">
        <v>0</v>
      </c>
      <c r="L5415" t="n">
        <v>0</v>
      </c>
      <c r="M5415" t="n">
        <v>0</v>
      </c>
      <c r="N5415" t="n">
        <v>0</v>
      </c>
      <c r="O5415" t="n">
        <v>0</v>
      </c>
      <c r="P5415" t="n">
        <v>0</v>
      </c>
      <c r="Q5415" t="n">
        <v>0</v>
      </c>
      <c r="R5415" s="2" t="inlineStr"/>
    </row>
    <row r="5416" ht="15" customHeight="1">
      <c r="A5416" t="inlineStr">
        <is>
          <t>A 32468-2025</t>
        </is>
      </c>
      <c r="B5416" s="1" t="n">
        <v>45838.42418981482</v>
      </c>
      <c r="C5416" s="1" t="n">
        <v>45962</v>
      </c>
      <c r="D5416" t="inlineStr">
        <is>
          <t>JÖNKÖPINGS LÄN</t>
        </is>
      </c>
      <c r="E5416" t="inlineStr">
        <is>
          <t>VETLANDA</t>
        </is>
      </c>
      <c r="G5416" t="n">
        <v>2.3</v>
      </c>
      <c r="H5416" t="n">
        <v>0</v>
      </c>
      <c r="I5416" t="n">
        <v>0</v>
      </c>
      <c r="J5416" t="n">
        <v>0</v>
      </c>
      <c r="K5416" t="n">
        <v>0</v>
      </c>
      <c r="L5416" t="n">
        <v>0</v>
      </c>
      <c r="M5416" t="n">
        <v>0</v>
      </c>
      <c r="N5416" t="n">
        <v>0</v>
      </c>
      <c r="O5416" t="n">
        <v>0</v>
      </c>
      <c r="P5416" t="n">
        <v>0</v>
      </c>
      <c r="Q5416" t="n">
        <v>0</v>
      </c>
      <c r="R5416" s="2" t="inlineStr"/>
    </row>
    <row r="5417" ht="15" customHeight="1">
      <c r="A5417" t="inlineStr">
        <is>
          <t>A 57930-2021</t>
        </is>
      </c>
      <c r="B5417" s="1" t="n">
        <v>44487</v>
      </c>
      <c r="C5417" s="1" t="n">
        <v>45962</v>
      </c>
      <c r="D5417" t="inlineStr">
        <is>
          <t>JÖNKÖPINGS LÄN</t>
        </is>
      </c>
      <c r="E5417" t="inlineStr">
        <is>
          <t>JÖNKÖPING</t>
        </is>
      </c>
      <c r="G5417" t="n">
        <v>0.6</v>
      </c>
      <c r="H5417" t="n">
        <v>0</v>
      </c>
      <c r="I5417" t="n">
        <v>0</v>
      </c>
      <c r="J5417" t="n">
        <v>0</v>
      </c>
      <c r="K5417" t="n">
        <v>0</v>
      </c>
      <c r="L5417" t="n">
        <v>0</v>
      </c>
      <c r="M5417" t="n">
        <v>0</v>
      </c>
      <c r="N5417" t="n">
        <v>0</v>
      </c>
      <c r="O5417" t="n">
        <v>0</v>
      </c>
      <c r="P5417" t="n">
        <v>0</v>
      </c>
      <c r="Q5417" t="n">
        <v>0</v>
      </c>
      <c r="R5417" s="2" t="inlineStr"/>
    </row>
    <row r="5418" ht="15" customHeight="1">
      <c r="A5418" t="inlineStr">
        <is>
          <t>A 51294-2023</t>
        </is>
      </c>
      <c r="B5418" s="1" t="n">
        <v>45219</v>
      </c>
      <c r="C5418" s="1" t="n">
        <v>45962</v>
      </c>
      <c r="D5418" t="inlineStr">
        <is>
          <t>JÖNKÖPINGS LÄN</t>
        </is>
      </c>
      <c r="E5418" t="inlineStr">
        <is>
          <t>VÄRNAMO</t>
        </is>
      </c>
      <c r="G5418" t="n">
        <v>1.6</v>
      </c>
      <c r="H5418" t="n">
        <v>0</v>
      </c>
      <c r="I5418" t="n">
        <v>0</v>
      </c>
      <c r="J5418" t="n">
        <v>0</v>
      </c>
      <c r="K5418" t="n">
        <v>0</v>
      </c>
      <c r="L5418" t="n">
        <v>0</v>
      </c>
      <c r="M5418" t="n">
        <v>0</v>
      </c>
      <c r="N5418" t="n">
        <v>0</v>
      </c>
      <c r="O5418" t="n">
        <v>0</v>
      </c>
      <c r="P5418" t="n">
        <v>0</v>
      </c>
      <c r="Q5418" t="n">
        <v>0</v>
      </c>
      <c r="R5418" s="2" t="inlineStr"/>
    </row>
    <row r="5419" ht="15" customHeight="1">
      <c r="A5419" t="inlineStr">
        <is>
          <t>A 5327-2021</t>
        </is>
      </c>
      <c r="B5419" s="1" t="n">
        <v>44229</v>
      </c>
      <c r="C5419" s="1" t="n">
        <v>45962</v>
      </c>
      <c r="D5419" t="inlineStr">
        <is>
          <t>JÖNKÖPINGS LÄN</t>
        </is>
      </c>
      <c r="E5419" t="inlineStr">
        <is>
          <t>JÖNKÖPING</t>
        </is>
      </c>
      <c r="G5419" t="n">
        <v>1.8</v>
      </c>
      <c r="H5419" t="n">
        <v>0</v>
      </c>
      <c r="I5419" t="n">
        <v>0</v>
      </c>
      <c r="J5419" t="n">
        <v>0</v>
      </c>
      <c r="K5419" t="n">
        <v>0</v>
      </c>
      <c r="L5419" t="n">
        <v>0</v>
      </c>
      <c r="M5419" t="n">
        <v>0</v>
      </c>
      <c r="N5419" t="n">
        <v>0</v>
      </c>
      <c r="O5419" t="n">
        <v>0</v>
      </c>
      <c r="P5419" t="n">
        <v>0</v>
      </c>
      <c r="Q5419" t="n">
        <v>0</v>
      </c>
      <c r="R5419" s="2" t="inlineStr"/>
    </row>
    <row r="5420" ht="15" customHeight="1">
      <c r="A5420" t="inlineStr">
        <is>
          <t>A 6222-2024</t>
        </is>
      </c>
      <c r="B5420" s="1" t="n">
        <v>45337.64701388889</v>
      </c>
      <c r="C5420" s="1" t="n">
        <v>45962</v>
      </c>
      <c r="D5420" t="inlineStr">
        <is>
          <t>JÖNKÖPINGS LÄN</t>
        </is>
      </c>
      <c r="E5420" t="inlineStr">
        <is>
          <t>MULLSJÖ</t>
        </is>
      </c>
      <c r="G5420" t="n">
        <v>2.4</v>
      </c>
      <c r="H5420" t="n">
        <v>0</v>
      </c>
      <c r="I5420" t="n">
        <v>0</v>
      </c>
      <c r="J5420" t="n">
        <v>0</v>
      </c>
      <c r="K5420" t="n">
        <v>0</v>
      </c>
      <c r="L5420" t="n">
        <v>0</v>
      </c>
      <c r="M5420" t="n">
        <v>0</v>
      </c>
      <c r="N5420" t="n">
        <v>0</v>
      </c>
      <c r="O5420" t="n">
        <v>0</v>
      </c>
      <c r="P5420" t="n">
        <v>0</v>
      </c>
      <c r="Q5420" t="n">
        <v>0</v>
      </c>
      <c r="R5420" s="2" t="inlineStr"/>
    </row>
    <row r="5421" ht="15" customHeight="1">
      <c r="A5421" t="inlineStr">
        <is>
          <t>A 53324-2023</t>
        </is>
      </c>
      <c r="B5421" s="1" t="n">
        <v>45222</v>
      </c>
      <c r="C5421" s="1" t="n">
        <v>45962</v>
      </c>
      <c r="D5421" t="inlineStr">
        <is>
          <t>JÖNKÖPINGS LÄN</t>
        </is>
      </c>
      <c r="E5421" t="inlineStr">
        <is>
          <t>VETLANDA</t>
        </is>
      </c>
      <c r="G5421" t="n">
        <v>2.5</v>
      </c>
      <c r="H5421" t="n">
        <v>0</v>
      </c>
      <c r="I5421" t="n">
        <v>0</v>
      </c>
      <c r="J5421" t="n">
        <v>0</v>
      </c>
      <c r="K5421" t="n">
        <v>0</v>
      </c>
      <c r="L5421" t="n">
        <v>0</v>
      </c>
      <c r="M5421" t="n">
        <v>0</v>
      </c>
      <c r="N5421" t="n">
        <v>0</v>
      </c>
      <c r="O5421" t="n">
        <v>0</v>
      </c>
      <c r="P5421" t="n">
        <v>0</v>
      </c>
      <c r="Q5421" t="n">
        <v>0</v>
      </c>
      <c r="R5421" s="2" t="inlineStr"/>
    </row>
    <row r="5422" ht="15" customHeight="1">
      <c r="A5422" t="inlineStr">
        <is>
          <t>A 2431-2023</t>
        </is>
      </c>
      <c r="B5422" s="1" t="n">
        <v>44939</v>
      </c>
      <c r="C5422" s="1" t="n">
        <v>45962</v>
      </c>
      <c r="D5422" t="inlineStr">
        <is>
          <t>JÖNKÖPINGS LÄN</t>
        </is>
      </c>
      <c r="E5422" t="inlineStr">
        <is>
          <t>NÄSSJÖ</t>
        </is>
      </c>
      <c r="G5422" t="n">
        <v>0.5</v>
      </c>
      <c r="H5422" t="n">
        <v>0</v>
      </c>
      <c r="I5422" t="n">
        <v>0</v>
      </c>
      <c r="J5422" t="n">
        <v>0</v>
      </c>
      <c r="K5422" t="n">
        <v>0</v>
      </c>
      <c r="L5422" t="n">
        <v>0</v>
      </c>
      <c r="M5422" t="n">
        <v>0</v>
      </c>
      <c r="N5422" t="n">
        <v>0</v>
      </c>
      <c r="O5422" t="n">
        <v>0</v>
      </c>
      <c r="P5422" t="n">
        <v>0</v>
      </c>
      <c r="Q5422" t="n">
        <v>0</v>
      </c>
      <c r="R5422" s="2" t="inlineStr"/>
    </row>
    <row r="5423" ht="15" customHeight="1">
      <c r="A5423" t="inlineStr">
        <is>
          <t>A 32804-2025</t>
        </is>
      </c>
      <c r="B5423" s="1" t="n">
        <v>45839.49872685185</v>
      </c>
      <c r="C5423" s="1" t="n">
        <v>45962</v>
      </c>
      <c r="D5423" t="inlineStr">
        <is>
          <t>JÖNKÖPINGS LÄN</t>
        </is>
      </c>
      <c r="E5423" t="inlineStr">
        <is>
          <t>VETLANDA</t>
        </is>
      </c>
      <c r="G5423" t="n">
        <v>0.9</v>
      </c>
      <c r="H5423" t="n">
        <v>0</v>
      </c>
      <c r="I5423" t="n">
        <v>0</v>
      </c>
      <c r="J5423" t="n">
        <v>0</v>
      </c>
      <c r="K5423" t="n">
        <v>0</v>
      </c>
      <c r="L5423" t="n">
        <v>0</v>
      </c>
      <c r="M5423" t="n">
        <v>0</v>
      </c>
      <c r="N5423" t="n">
        <v>0</v>
      </c>
      <c r="O5423" t="n">
        <v>0</v>
      </c>
      <c r="P5423" t="n">
        <v>0</v>
      </c>
      <c r="Q5423" t="n">
        <v>0</v>
      </c>
      <c r="R5423" s="2" t="inlineStr"/>
    </row>
    <row r="5424" ht="15" customHeight="1">
      <c r="A5424" t="inlineStr">
        <is>
          <t>A 12349-2024</t>
        </is>
      </c>
      <c r="B5424" s="1" t="n">
        <v>45378</v>
      </c>
      <c r="C5424" s="1" t="n">
        <v>45962</v>
      </c>
      <c r="D5424" t="inlineStr">
        <is>
          <t>JÖNKÖPINGS LÄN</t>
        </is>
      </c>
      <c r="E5424" t="inlineStr">
        <is>
          <t>VETLANDA</t>
        </is>
      </c>
      <c r="G5424" t="n">
        <v>1.6</v>
      </c>
      <c r="H5424" t="n">
        <v>0</v>
      </c>
      <c r="I5424" t="n">
        <v>0</v>
      </c>
      <c r="J5424" t="n">
        <v>0</v>
      </c>
      <c r="K5424" t="n">
        <v>0</v>
      </c>
      <c r="L5424" t="n">
        <v>0</v>
      </c>
      <c r="M5424" t="n">
        <v>0</v>
      </c>
      <c r="N5424" t="n">
        <v>0</v>
      </c>
      <c r="O5424" t="n">
        <v>0</v>
      </c>
      <c r="P5424" t="n">
        <v>0</v>
      </c>
      <c r="Q5424" t="n">
        <v>0</v>
      </c>
      <c r="R5424" s="2" t="inlineStr"/>
    </row>
    <row r="5425" ht="15" customHeight="1">
      <c r="A5425" t="inlineStr">
        <is>
          <t>A 54188-2024</t>
        </is>
      </c>
      <c r="B5425" s="1" t="n">
        <v>45616.64181712963</v>
      </c>
      <c r="C5425" s="1" t="n">
        <v>45962</v>
      </c>
      <c r="D5425" t="inlineStr">
        <is>
          <t>JÖNKÖPINGS LÄN</t>
        </is>
      </c>
      <c r="E5425" t="inlineStr">
        <is>
          <t>VETLANDA</t>
        </is>
      </c>
      <c r="G5425" t="n">
        <v>0.8</v>
      </c>
      <c r="H5425" t="n">
        <v>0</v>
      </c>
      <c r="I5425" t="n">
        <v>0</v>
      </c>
      <c r="J5425" t="n">
        <v>0</v>
      </c>
      <c r="K5425" t="n">
        <v>0</v>
      </c>
      <c r="L5425" t="n">
        <v>0</v>
      </c>
      <c r="M5425" t="n">
        <v>0</v>
      </c>
      <c r="N5425" t="n">
        <v>0</v>
      </c>
      <c r="O5425" t="n">
        <v>0</v>
      </c>
      <c r="P5425" t="n">
        <v>0</v>
      </c>
      <c r="Q5425" t="n">
        <v>0</v>
      </c>
      <c r="R5425" s="2" t="inlineStr"/>
    </row>
    <row r="5426" ht="15" customHeight="1">
      <c r="A5426" t="inlineStr">
        <is>
          <t>A 38942-2025</t>
        </is>
      </c>
      <c r="B5426" s="1" t="n">
        <v>45887.64980324074</v>
      </c>
      <c r="C5426" s="1" t="n">
        <v>45962</v>
      </c>
      <c r="D5426" t="inlineStr">
        <is>
          <t>JÖNKÖPINGS LÄN</t>
        </is>
      </c>
      <c r="E5426" t="inlineStr">
        <is>
          <t>VAGGERYD</t>
        </is>
      </c>
      <c r="F5426" t="inlineStr">
        <is>
          <t>Sveaskog</t>
        </is>
      </c>
      <c r="G5426" t="n">
        <v>1.2</v>
      </c>
      <c r="H5426" t="n">
        <v>0</v>
      </c>
      <c r="I5426" t="n">
        <v>0</v>
      </c>
      <c r="J5426" t="n">
        <v>0</v>
      </c>
      <c r="K5426" t="n">
        <v>0</v>
      </c>
      <c r="L5426" t="n">
        <v>0</v>
      </c>
      <c r="M5426" t="n">
        <v>0</v>
      </c>
      <c r="N5426" t="n">
        <v>0</v>
      </c>
      <c r="O5426" t="n">
        <v>0</v>
      </c>
      <c r="P5426" t="n">
        <v>0</v>
      </c>
      <c r="Q5426" t="n">
        <v>0</v>
      </c>
      <c r="R5426" s="2" t="inlineStr"/>
    </row>
    <row r="5427" ht="15" customHeight="1">
      <c r="A5427" t="inlineStr">
        <is>
          <t>A 32481-2025</t>
        </is>
      </c>
      <c r="B5427" s="1" t="n">
        <v>45838.43332175926</v>
      </c>
      <c r="C5427" s="1" t="n">
        <v>45962</v>
      </c>
      <c r="D5427" t="inlineStr">
        <is>
          <t>JÖNKÖPINGS LÄN</t>
        </is>
      </c>
      <c r="E5427" t="inlineStr">
        <is>
          <t>VETLANDA</t>
        </is>
      </c>
      <c r="G5427" t="n">
        <v>2.7</v>
      </c>
      <c r="H5427" t="n">
        <v>0</v>
      </c>
      <c r="I5427" t="n">
        <v>0</v>
      </c>
      <c r="J5427" t="n">
        <v>0</v>
      </c>
      <c r="K5427" t="n">
        <v>0</v>
      </c>
      <c r="L5427" t="n">
        <v>0</v>
      </c>
      <c r="M5427" t="n">
        <v>0</v>
      </c>
      <c r="N5427" t="n">
        <v>0</v>
      </c>
      <c r="O5427" t="n">
        <v>0</v>
      </c>
      <c r="P5427" t="n">
        <v>0</v>
      </c>
      <c r="Q5427" t="n">
        <v>0</v>
      </c>
      <c r="R5427" s="2" t="inlineStr"/>
    </row>
    <row r="5428" ht="15" customHeight="1">
      <c r="A5428" t="inlineStr">
        <is>
          <t>A 38944-2025</t>
        </is>
      </c>
      <c r="B5428" s="1" t="n">
        <v>45887.6512962963</v>
      </c>
      <c r="C5428" s="1" t="n">
        <v>45962</v>
      </c>
      <c r="D5428" t="inlineStr">
        <is>
          <t>JÖNKÖPINGS LÄN</t>
        </is>
      </c>
      <c r="E5428" t="inlineStr">
        <is>
          <t>VAGGERYD</t>
        </is>
      </c>
      <c r="F5428" t="inlineStr">
        <is>
          <t>Sveaskog</t>
        </is>
      </c>
      <c r="G5428" t="n">
        <v>5.2</v>
      </c>
      <c r="H5428" t="n">
        <v>0</v>
      </c>
      <c r="I5428" t="n">
        <v>0</v>
      </c>
      <c r="J5428" t="n">
        <v>0</v>
      </c>
      <c r="K5428" t="n">
        <v>0</v>
      </c>
      <c r="L5428" t="n">
        <v>0</v>
      </c>
      <c r="M5428" t="n">
        <v>0</v>
      </c>
      <c r="N5428" t="n">
        <v>0</v>
      </c>
      <c r="O5428" t="n">
        <v>0</v>
      </c>
      <c r="P5428" t="n">
        <v>0</v>
      </c>
      <c r="Q5428" t="n">
        <v>0</v>
      </c>
      <c r="R5428" s="2" t="inlineStr"/>
    </row>
    <row r="5429" ht="15" customHeight="1">
      <c r="A5429" t="inlineStr">
        <is>
          <t>A 38945-2025</t>
        </is>
      </c>
      <c r="B5429" s="1" t="n">
        <v>45887.65325231481</v>
      </c>
      <c r="C5429" s="1" t="n">
        <v>45962</v>
      </c>
      <c r="D5429" t="inlineStr">
        <is>
          <t>JÖNKÖPINGS LÄN</t>
        </is>
      </c>
      <c r="E5429" t="inlineStr">
        <is>
          <t>VAGGERYD</t>
        </is>
      </c>
      <c r="F5429" t="inlineStr">
        <is>
          <t>Sveaskog</t>
        </is>
      </c>
      <c r="G5429" t="n">
        <v>1.8</v>
      </c>
      <c r="H5429" t="n">
        <v>0</v>
      </c>
      <c r="I5429" t="n">
        <v>0</v>
      </c>
      <c r="J5429" t="n">
        <v>0</v>
      </c>
      <c r="K5429" t="n">
        <v>0</v>
      </c>
      <c r="L5429" t="n">
        <v>0</v>
      </c>
      <c r="M5429" t="n">
        <v>0</v>
      </c>
      <c r="N5429" t="n">
        <v>0</v>
      </c>
      <c r="O5429" t="n">
        <v>0</v>
      </c>
      <c r="P5429" t="n">
        <v>0</v>
      </c>
      <c r="Q5429" t="n">
        <v>0</v>
      </c>
      <c r="R5429" s="2" t="inlineStr"/>
    </row>
    <row r="5430" ht="15" customHeight="1">
      <c r="A5430" t="inlineStr">
        <is>
          <t>A 38962-2025</t>
        </is>
      </c>
      <c r="B5430" s="1" t="n">
        <v>45887.68474537037</v>
      </c>
      <c r="C5430" s="1" t="n">
        <v>45962</v>
      </c>
      <c r="D5430" t="inlineStr">
        <is>
          <t>JÖNKÖPINGS LÄN</t>
        </is>
      </c>
      <c r="E5430" t="inlineStr">
        <is>
          <t>JÖNKÖPING</t>
        </is>
      </c>
      <c r="G5430" t="n">
        <v>0.7</v>
      </c>
      <c r="H5430" t="n">
        <v>0</v>
      </c>
      <c r="I5430" t="n">
        <v>0</v>
      </c>
      <c r="J5430" t="n">
        <v>0</v>
      </c>
      <c r="K5430" t="n">
        <v>0</v>
      </c>
      <c r="L5430" t="n">
        <v>0</v>
      </c>
      <c r="M5430" t="n">
        <v>0</v>
      </c>
      <c r="N5430" t="n">
        <v>0</v>
      </c>
      <c r="O5430" t="n">
        <v>0</v>
      </c>
      <c r="P5430" t="n">
        <v>0</v>
      </c>
      <c r="Q5430" t="n">
        <v>0</v>
      </c>
      <c r="R5430" s="2" t="inlineStr"/>
    </row>
    <row r="5431" ht="15" customHeight="1">
      <c r="A5431" t="inlineStr">
        <is>
          <t>A 26688-2024</t>
        </is>
      </c>
      <c r="B5431" s="1" t="n">
        <v>45469</v>
      </c>
      <c r="C5431" s="1" t="n">
        <v>45962</v>
      </c>
      <c r="D5431" t="inlineStr">
        <is>
          <t>JÖNKÖPINGS LÄN</t>
        </is>
      </c>
      <c r="E5431" t="inlineStr">
        <is>
          <t>VAGGERYD</t>
        </is>
      </c>
      <c r="G5431" t="n">
        <v>7.1</v>
      </c>
      <c r="H5431" t="n">
        <v>0</v>
      </c>
      <c r="I5431" t="n">
        <v>0</v>
      </c>
      <c r="J5431" t="n">
        <v>0</v>
      </c>
      <c r="K5431" t="n">
        <v>0</v>
      </c>
      <c r="L5431" t="n">
        <v>0</v>
      </c>
      <c r="M5431" t="n">
        <v>0</v>
      </c>
      <c r="N5431" t="n">
        <v>0</v>
      </c>
      <c r="O5431" t="n">
        <v>0</v>
      </c>
      <c r="P5431" t="n">
        <v>0</v>
      </c>
      <c r="Q5431" t="n">
        <v>0</v>
      </c>
      <c r="R5431" s="2" t="inlineStr"/>
    </row>
    <row r="5432" ht="15" customHeight="1">
      <c r="A5432" t="inlineStr">
        <is>
          <t>A 20915-2023</t>
        </is>
      </c>
      <c r="B5432" s="1" t="n">
        <v>45061.29445601852</v>
      </c>
      <c r="C5432" s="1" t="n">
        <v>45962</v>
      </c>
      <c r="D5432" t="inlineStr">
        <is>
          <t>JÖNKÖPINGS LÄN</t>
        </is>
      </c>
      <c r="E5432" t="inlineStr">
        <is>
          <t>SÄVSJÖ</t>
        </is>
      </c>
      <c r="G5432" t="n">
        <v>1.1</v>
      </c>
      <c r="H5432" t="n">
        <v>0</v>
      </c>
      <c r="I5432" t="n">
        <v>0</v>
      </c>
      <c r="J5432" t="n">
        <v>0</v>
      </c>
      <c r="K5432" t="n">
        <v>0</v>
      </c>
      <c r="L5432" t="n">
        <v>0</v>
      </c>
      <c r="M5432" t="n">
        <v>0</v>
      </c>
      <c r="N5432" t="n">
        <v>0</v>
      </c>
      <c r="O5432" t="n">
        <v>0</v>
      </c>
      <c r="P5432" t="n">
        <v>0</v>
      </c>
      <c r="Q5432" t="n">
        <v>0</v>
      </c>
      <c r="R5432" s="2" t="inlineStr"/>
    </row>
    <row r="5433" ht="15" customHeight="1">
      <c r="A5433" t="inlineStr">
        <is>
          <t>A 8117-2025</t>
        </is>
      </c>
      <c r="B5433" s="1" t="n">
        <v>45707.74923611111</v>
      </c>
      <c r="C5433" s="1" t="n">
        <v>45962</v>
      </c>
      <c r="D5433" t="inlineStr">
        <is>
          <t>JÖNKÖPINGS LÄN</t>
        </is>
      </c>
      <c r="E5433" t="inlineStr">
        <is>
          <t>ANEBY</t>
        </is>
      </c>
      <c r="G5433" t="n">
        <v>2.3</v>
      </c>
      <c r="H5433" t="n">
        <v>0</v>
      </c>
      <c r="I5433" t="n">
        <v>0</v>
      </c>
      <c r="J5433" t="n">
        <v>0</v>
      </c>
      <c r="K5433" t="n">
        <v>0</v>
      </c>
      <c r="L5433" t="n">
        <v>0</v>
      </c>
      <c r="M5433" t="n">
        <v>0</v>
      </c>
      <c r="N5433" t="n">
        <v>0</v>
      </c>
      <c r="O5433" t="n">
        <v>0</v>
      </c>
      <c r="P5433" t="n">
        <v>0</v>
      </c>
      <c r="Q5433" t="n">
        <v>0</v>
      </c>
      <c r="R5433" s="2" t="inlineStr"/>
    </row>
    <row r="5434" ht="15" customHeight="1">
      <c r="A5434" t="inlineStr">
        <is>
          <t>A 8999-2025</t>
        </is>
      </c>
      <c r="B5434" s="1" t="n">
        <v>45712</v>
      </c>
      <c r="C5434" s="1" t="n">
        <v>45962</v>
      </c>
      <c r="D5434" t="inlineStr">
        <is>
          <t>JÖNKÖPINGS LÄN</t>
        </is>
      </c>
      <c r="E5434" t="inlineStr">
        <is>
          <t>TRANÅS</t>
        </is>
      </c>
      <c r="G5434" t="n">
        <v>3.2</v>
      </c>
      <c r="H5434" t="n">
        <v>0</v>
      </c>
      <c r="I5434" t="n">
        <v>0</v>
      </c>
      <c r="J5434" t="n">
        <v>0</v>
      </c>
      <c r="K5434" t="n">
        <v>0</v>
      </c>
      <c r="L5434" t="n">
        <v>0</v>
      </c>
      <c r="M5434" t="n">
        <v>0</v>
      </c>
      <c r="N5434" t="n">
        <v>0</v>
      </c>
      <c r="O5434" t="n">
        <v>0</v>
      </c>
      <c r="P5434" t="n">
        <v>0</v>
      </c>
      <c r="Q5434" t="n">
        <v>0</v>
      </c>
      <c r="R5434" s="2" t="inlineStr"/>
    </row>
    <row r="5435" ht="15" customHeight="1">
      <c r="A5435" t="inlineStr">
        <is>
          <t>A 58389-2023</t>
        </is>
      </c>
      <c r="B5435" s="1" t="n">
        <v>45250</v>
      </c>
      <c r="C5435" s="1" t="n">
        <v>45962</v>
      </c>
      <c r="D5435" t="inlineStr">
        <is>
          <t>JÖNKÖPINGS LÄN</t>
        </is>
      </c>
      <c r="E5435" t="inlineStr">
        <is>
          <t>GISLAVED</t>
        </is>
      </c>
      <c r="G5435" t="n">
        <v>1.7</v>
      </c>
      <c r="H5435" t="n">
        <v>0</v>
      </c>
      <c r="I5435" t="n">
        <v>0</v>
      </c>
      <c r="J5435" t="n">
        <v>0</v>
      </c>
      <c r="K5435" t="n">
        <v>0</v>
      </c>
      <c r="L5435" t="n">
        <v>0</v>
      </c>
      <c r="M5435" t="n">
        <v>0</v>
      </c>
      <c r="N5435" t="n">
        <v>0</v>
      </c>
      <c r="O5435" t="n">
        <v>0</v>
      </c>
      <c r="P5435" t="n">
        <v>0</v>
      </c>
      <c r="Q5435" t="n">
        <v>0</v>
      </c>
      <c r="R5435" s="2" t="inlineStr"/>
    </row>
    <row r="5436" ht="15" customHeight="1">
      <c r="A5436" t="inlineStr">
        <is>
          <t>A 58706-2020</t>
        </is>
      </c>
      <c r="B5436" s="1" t="n">
        <v>44145</v>
      </c>
      <c r="C5436" s="1" t="n">
        <v>45962</v>
      </c>
      <c r="D5436" t="inlineStr">
        <is>
          <t>JÖNKÖPINGS LÄN</t>
        </is>
      </c>
      <c r="E5436" t="inlineStr">
        <is>
          <t>EKSJÖ</t>
        </is>
      </c>
      <c r="G5436" t="n">
        <v>4.4</v>
      </c>
      <c r="H5436" t="n">
        <v>0</v>
      </c>
      <c r="I5436" t="n">
        <v>0</v>
      </c>
      <c r="J5436" t="n">
        <v>0</v>
      </c>
      <c r="K5436" t="n">
        <v>0</v>
      </c>
      <c r="L5436" t="n">
        <v>0</v>
      </c>
      <c r="M5436" t="n">
        <v>0</v>
      </c>
      <c r="N5436" t="n">
        <v>0</v>
      </c>
      <c r="O5436" t="n">
        <v>0</v>
      </c>
      <c r="P5436" t="n">
        <v>0</v>
      </c>
      <c r="Q5436" t="n">
        <v>0</v>
      </c>
      <c r="R5436" s="2" t="inlineStr"/>
    </row>
    <row r="5437" ht="15" customHeight="1">
      <c r="A5437" t="inlineStr">
        <is>
          <t>A 53533-2023</t>
        </is>
      </c>
      <c r="B5437" s="1" t="n">
        <v>45223</v>
      </c>
      <c r="C5437" s="1" t="n">
        <v>45962</v>
      </c>
      <c r="D5437" t="inlineStr">
        <is>
          <t>JÖNKÖPINGS LÄN</t>
        </is>
      </c>
      <c r="E5437" t="inlineStr">
        <is>
          <t>VÄRNAMO</t>
        </is>
      </c>
      <c r="F5437" t="inlineStr">
        <is>
          <t>Kyrkan</t>
        </is>
      </c>
      <c r="G5437" t="n">
        <v>0.3</v>
      </c>
      <c r="H5437" t="n">
        <v>0</v>
      </c>
      <c r="I5437" t="n">
        <v>0</v>
      </c>
      <c r="J5437" t="n">
        <v>0</v>
      </c>
      <c r="K5437" t="n">
        <v>0</v>
      </c>
      <c r="L5437" t="n">
        <v>0</v>
      </c>
      <c r="M5437" t="n">
        <v>0</v>
      </c>
      <c r="N5437" t="n">
        <v>0</v>
      </c>
      <c r="O5437" t="n">
        <v>0</v>
      </c>
      <c r="P5437" t="n">
        <v>0</v>
      </c>
      <c r="Q5437" t="n">
        <v>0</v>
      </c>
      <c r="R5437" s="2" t="inlineStr"/>
    </row>
    <row r="5438" ht="15" customHeight="1">
      <c r="A5438" t="inlineStr">
        <is>
          <t>A 3554-2024</t>
        </is>
      </c>
      <c r="B5438" s="1" t="n">
        <v>45320.61409722222</v>
      </c>
      <c r="C5438" s="1" t="n">
        <v>45962</v>
      </c>
      <c r="D5438" t="inlineStr">
        <is>
          <t>JÖNKÖPINGS LÄN</t>
        </is>
      </c>
      <c r="E5438" t="inlineStr">
        <is>
          <t>GISLAVED</t>
        </is>
      </c>
      <c r="G5438" t="n">
        <v>0.8</v>
      </c>
      <c r="H5438" t="n">
        <v>0</v>
      </c>
      <c r="I5438" t="n">
        <v>0</v>
      </c>
      <c r="J5438" t="n">
        <v>0</v>
      </c>
      <c r="K5438" t="n">
        <v>0</v>
      </c>
      <c r="L5438" t="n">
        <v>0</v>
      </c>
      <c r="M5438" t="n">
        <v>0</v>
      </c>
      <c r="N5438" t="n">
        <v>0</v>
      </c>
      <c r="O5438" t="n">
        <v>0</v>
      </c>
      <c r="P5438" t="n">
        <v>0</v>
      </c>
      <c r="Q5438" t="n">
        <v>0</v>
      </c>
      <c r="R5438" s="2" t="inlineStr"/>
    </row>
    <row r="5439" ht="15" customHeight="1">
      <c r="A5439" t="inlineStr">
        <is>
          <t>A 38795-2022</t>
        </is>
      </c>
      <c r="B5439" s="1" t="n">
        <v>44816.43815972222</v>
      </c>
      <c r="C5439" s="1" t="n">
        <v>45962</v>
      </c>
      <c r="D5439" t="inlineStr">
        <is>
          <t>JÖNKÖPINGS LÄN</t>
        </is>
      </c>
      <c r="E5439" t="inlineStr">
        <is>
          <t>NÄSSJÖ</t>
        </is>
      </c>
      <c r="G5439" t="n">
        <v>6.1</v>
      </c>
      <c r="H5439" t="n">
        <v>0</v>
      </c>
      <c r="I5439" t="n">
        <v>0</v>
      </c>
      <c r="J5439" t="n">
        <v>0</v>
      </c>
      <c r="K5439" t="n">
        <v>0</v>
      </c>
      <c r="L5439" t="n">
        <v>0</v>
      </c>
      <c r="M5439" t="n">
        <v>0</v>
      </c>
      <c r="N5439" t="n">
        <v>0</v>
      </c>
      <c r="O5439" t="n">
        <v>0</v>
      </c>
      <c r="P5439" t="n">
        <v>0</v>
      </c>
      <c r="Q5439" t="n">
        <v>0</v>
      </c>
      <c r="R5439" s="2" t="inlineStr"/>
    </row>
    <row r="5440" ht="15" customHeight="1">
      <c r="A5440" t="inlineStr">
        <is>
          <t>A 20542-2025</t>
        </is>
      </c>
      <c r="B5440" s="1" t="n">
        <v>45775</v>
      </c>
      <c r="C5440" s="1" t="n">
        <v>45962</v>
      </c>
      <c r="D5440" t="inlineStr">
        <is>
          <t>JÖNKÖPINGS LÄN</t>
        </is>
      </c>
      <c r="E5440" t="inlineStr">
        <is>
          <t>VETLANDA</t>
        </is>
      </c>
      <c r="G5440" t="n">
        <v>2</v>
      </c>
      <c r="H5440" t="n">
        <v>0</v>
      </c>
      <c r="I5440" t="n">
        <v>0</v>
      </c>
      <c r="J5440" t="n">
        <v>0</v>
      </c>
      <c r="K5440" t="n">
        <v>0</v>
      </c>
      <c r="L5440" t="n">
        <v>0</v>
      </c>
      <c r="M5440" t="n">
        <v>0</v>
      </c>
      <c r="N5440" t="n">
        <v>0</v>
      </c>
      <c r="O5440" t="n">
        <v>0</v>
      </c>
      <c r="P5440" t="n">
        <v>0</v>
      </c>
      <c r="Q5440" t="n">
        <v>0</v>
      </c>
      <c r="R5440" s="2" t="inlineStr"/>
    </row>
    <row r="5441" ht="15" customHeight="1">
      <c r="A5441" t="inlineStr">
        <is>
          <t>A 33201-2025</t>
        </is>
      </c>
      <c r="B5441" s="1" t="n">
        <v>45840.60674768518</v>
      </c>
      <c r="C5441" s="1" t="n">
        <v>45962</v>
      </c>
      <c r="D5441" t="inlineStr">
        <is>
          <t>JÖNKÖPINGS LÄN</t>
        </is>
      </c>
      <c r="E5441" t="inlineStr">
        <is>
          <t>TRANÅS</t>
        </is>
      </c>
      <c r="G5441" t="n">
        <v>1.5</v>
      </c>
      <c r="H5441" t="n">
        <v>0</v>
      </c>
      <c r="I5441" t="n">
        <v>0</v>
      </c>
      <c r="J5441" t="n">
        <v>0</v>
      </c>
      <c r="K5441" t="n">
        <v>0</v>
      </c>
      <c r="L5441" t="n">
        <v>0</v>
      </c>
      <c r="M5441" t="n">
        <v>0</v>
      </c>
      <c r="N5441" t="n">
        <v>0</v>
      </c>
      <c r="O5441" t="n">
        <v>0</v>
      </c>
      <c r="P5441" t="n">
        <v>0</v>
      </c>
      <c r="Q5441" t="n">
        <v>0</v>
      </c>
      <c r="R5441" s="2" t="inlineStr"/>
    </row>
    <row r="5442" ht="15" customHeight="1">
      <c r="A5442" t="inlineStr">
        <is>
          <t>A 7086-2024</t>
        </is>
      </c>
      <c r="B5442" s="1" t="n">
        <v>45343.79310185185</v>
      </c>
      <c r="C5442" s="1" t="n">
        <v>45962</v>
      </c>
      <c r="D5442" t="inlineStr">
        <is>
          <t>JÖNKÖPINGS LÄN</t>
        </is>
      </c>
      <c r="E5442" t="inlineStr">
        <is>
          <t>NÄSSJÖ</t>
        </is>
      </c>
      <c r="G5442" t="n">
        <v>0.8</v>
      </c>
      <c r="H5442" t="n">
        <v>0</v>
      </c>
      <c r="I5442" t="n">
        <v>0</v>
      </c>
      <c r="J5442" t="n">
        <v>0</v>
      </c>
      <c r="K5442" t="n">
        <v>0</v>
      </c>
      <c r="L5442" t="n">
        <v>0</v>
      </c>
      <c r="M5442" t="n">
        <v>0</v>
      </c>
      <c r="N5442" t="n">
        <v>0</v>
      </c>
      <c r="O5442" t="n">
        <v>0</v>
      </c>
      <c r="P5442" t="n">
        <v>0</v>
      </c>
      <c r="Q5442" t="n">
        <v>0</v>
      </c>
      <c r="R5442" s="2" t="inlineStr"/>
    </row>
    <row r="5443" ht="15" customHeight="1">
      <c r="A5443" t="inlineStr">
        <is>
          <t>A 6880-2022</t>
        </is>
      </c>
      <c r="B5443" s="1" t="n">
        <v>44602</v>
      </c>
      <c r="C5443" s="1" t="n">
        <v>45962</v>
      </c>
      <c r="D5443" t="inlineStr">
        <is>
          <t>JÖNKÖPINGS LÄN</t>
        </is>
      </c>
      <c r="E5443" t="inlineStr">
        <is>
          <t>VETLANDA</t>
        </is>
      </c>
      <c r="G5443" t="n">
        <v>0.5</v>
      </c>
      <c r="H5443" t="n">
        <v>0</v>
      </c>
      <c r="I5443" t="n">
        <v>0</v>
      </c>
      <c r="J5443" t="n">
        <v>0</v>
      </c>
      <c r="K5443" t="n">
        <v>0</v>
      </c>
      <c r="L5443" t="n">
        <v>0</v>
      </c>
      <c r="M5443" t="n">
        <v>0</v>
      </c>
      <c r="N5443" t="n">
        <v>0</v>
      </c>
      <c r="O5443" t="n">
        <v>0</v>
      </c>
      <c r="P5443" t="n">
        <v>0</v>
      </c>
      <c r="Q5443" t="n">
        <v>0</v>
      </c>
      <c r="R5443" s="2" t="inlineStr"/>
    </row>
    <row r="5444" ht="15" customHeight="1">
      <c r="A5444" t="inlineStr">
        <is>
          <t>A 34287-2024</t>
        </is>
      </c>
      <c r="B5444" s="1" t="n">
        <v>45524.63298611111</v>
      </c>
      <c r="C5444" s="1" t="n">
        <v>45962</v>
      </c>
      <c r="D5444" t="inlineStr">
        <is>
          <t>JÖNKÖPINGS LÄN</t>
        </is>
      </c>
      <c r="E5444" t="inlineStr">
        <is>
          <t>SÄVSJÖ</t>
        </is>
      </c>
      <c r="G5444" t="n">
        <v>2.3</v>
      </c>
      <c r="H5444" t="n">
        <v>0</v>
      </c>
      <c r="I5444" t="n">
        <v>0</v>
      </c>
      <c r="J5444" t="n">
        <v>0</v>
      </c>
      <c r="K5444" t="n">
        <v>0</v>
      </c>
      <c r="L5444" t="n">
        <v>0</v>
      </c>
      <c r="M5444" t="n">
        <v>0</v>
      </c>
      <c r="N5444" t="n">
        <v>0</v>
      </c>
      <c r="O5444" t="n">
        <v>0</v>
      </c>
      <c r="P5444" t="n">
        <v>0</v>
      </c>
      <c r="Q5444" t="n">
        <v>0</v>
      </c>
      <c r="R5444" s="2" t="inlineStr"/>
    </row>
    <row r="5445" ht="15" customHeight="1">
      <c r="A5445" t="inlineStr">
        <is>
          <t>A 38807-2025</t>
        </is>
      </c>
      <c r="B5445" s="1" t="n">
        <v>45887.4730324074</v>
      </c>
      <c r="C5445" s="1" t="n">
        <v>45962</v>
      </c>
      <c r="D5445" t="inlineStr">
        <is>
          <t>JÖNKÖPINGS LÄN</t>
        </is>
      </c>
      <c r="E5445" t="inlineStr">
        <is>
          <t>VETLANDA</t>
        </is>
      </c>
      <c r="G5445" t="n">
        <v>1.5</v>
      </c>
      <c r="H5445" t="n">
        <v>0</v>
      </c>
      <c r="I5445" t="n">
        <v>0</v>
      </c>
      <c r="J5445" t="n">
        <v>0</v>
      </c>
      <c r="K5445" t="n">
        <v>0</v>
      </c>
      <c r="L5445" t="n">
        <v>0</v>
      </c>
      <c r="M5445" t="n">
        <v>0</v>
      </c>
      <c r="N5445" t="n">
        <v>0</v>
      </c>
      <c r="O5445" t="n">
        <v>0</v>
      </c>
      <c r="P5445" t="n">
        <v>0</v>
      </c>
      <c r="Q5445" t="n">
        <v>0</v>
      </c>
      <c r="R5445" s="2" t="inlineStr"/>
    </row>
    <row r="5446" ht="15" customHeight="1">
      <c r="A5446" t="inlineStr">
        <is>
          <t>A 38932-2023</t>
        </is>
      </c>
      <c r="B5446" s="1" t="n">
        <v>45163</v>
      </c>
      <c r="C5446" s="1" t="n">
        <v>45962</v>
      </c>
      <c r="D5446" t="inlineStr">
        <is>
          <t>JÖNKÖPINGS LÄN</t>
        </is>
      </c>
      <c r="E5446" t="inlineStr">
        <is>
          <t>VETLANDA</t>
        </is>
      </c>
      <c r="G5446" t="n">
        <v>0.5</v>
      </c>
      <c r="H5446" t="n">
        <v>0</v>
      </c>
      <c r="I5446" t="n">
        <v>0</v>
      </c>
      <c r="J5446" t="n">
        <v>0</v>
      </c>
      <c r="K5446" t="n">
        <v>0</v>
      </c>
      <c r="L5446" t="n">
        <v>0</v>
      </c>
      <c r="M5446" t="n">
        <v>0</v>
      </c>
      <c r="N5446" t="n">
        <v>0</v>
      </c>
      <c r="O5446" t="n">
        <v>0</v>
      </c>
      <c r="P5446" t="n">
        <v>0</v>
      </c>
      <c r="Q5446" t="n">
        <v>0</v>
      </c>
      <c r="R5446" s="2" t="inlineStr"/>
    </row>
    <row r="5447" ht="15" customHeight="1">
      <c r="A5447" t="inlineStr">
        <is>
          <t>A 38914-2025</t>
        </is>
      </c>
      <c r="B5447" s="1" t="n">
        <v>45887.62158564815</v>
      </c>
      <c r="C5447" s="1" t="n">
        <v>45962</v>
      </c>
      <c r="D5447" t="inlineStr">
        <is>
          <t>JÖNKÖPINGS LÄN</t>
        </is>
      </c>
      <c r="E5447" t="inlineStr">
        <is>
          <t>JÖNKÖPING</t>
        </is>
      </c>
      <c r="G5447" t="n">
        <v>2.7</v>
      </c>
      <c r="H5447" t="n">
        <v>0</v>
      </c>
      <c r="I5447" t="n">
        <v>0</v>
      </c>
      <c r="J5447" t="n">
        <v>0</v>
      </c>
      <c r="K5447" t="n">
        <v>0</v>
      </c>
      <c r="L5447" t="n">
        <v>0</v>
      </c>
      <c r="M5447" t="n">
        <v>0</v>
      </c>
      <c r="N5447" t="n">
        <v>0</v>
      </c>
      <c r="O5447" t="n">
        <v>0</v>
      </c>
      <c r="P5447" t="n">
        <v>0</v>
      </c>
      <c r="Q5447" t="n">
        <v>0</v>
      </c>
      <c r="R5447" s="2" t="inlineStr"/>
    </row>
    <row r="5448" ht="15" customHeight="1">
      <c r="A5448" t="inlineStr">
        <is>
          <t>A 54892-2021</t>
        </is>
      </c>
      <c r="B5448" s="1" t="n">
        <v>44474.36921296296</v>
      </c>
      <c r="C5448" s="1" t="n">
        <v>45962</v>
      </c>
      <c r="D5448" t="inlineStr">
        <is>
          <t>JÖNKÖPINGS LÄN</t>
        </is>
      </c>
      <c r="E5448" t="inlineStr">
        <is>
          <t>HABO</t>
        </is>
      </c>
      <c r="G5448" t="n">
        <v>1.5</v>
      </c>
      <c r="H5448" t="n">
        <v>0</v>
      </c>
      <c r="I5448" t="n">
        <v>0</v>
      </c>
      <c r="J5448" t="n">
        <v>0</v>
      </c>
      <c r="K5448" t="n">
        <v>0</v>
      </c>
      <c r="L5448" t="n">
        <v>0</v>
      </c>
      <c r="M5448" t="n">
        <v>0</v>
      </c>
      <c r="N5448" t="n">
        <v>0</v>
      </c>
      <c r="O5448" t="n">
        <v>0</v>
      </c>
      <c r="P5448" t="n">
        <v>0</v>
      </c>
      <c r="Q5448" t="n">
        <v>0</v>
      </c>
      <c r="R5448" s="2" t="inlineStr"/>
    </row>
    <row r="5449" ht="15" customHeight="1">
      <c r="A5449" t="inlineStr">
        <is>
          <t>A 33700-2025</t>
        </is>
      </c>
      <c r="B5449" s="1" t="n">
        <v>45841.71503472222</v>
      </c>
      <c r="C5449" s="1" t="n">
        <v>45962</v>
      </c>
      <c r="D5449" t="inlineStr">
        <is>
          <t>JÖNKÖPINGS LÄN</t>
        </is>
      </c>
      <c r="E5449" t="inlineStr">
        <is>
          <t>JÖNKÖPING</t>
        </is>
      </c>
      <c r="G5449" t="n">
        <v>2.4</v>
      </c>
      <c r="H5449" t="n">
        <v>0</v>
      </c>
      <c r="I5449" t="n">
        <v>0</v>
      </c>
      <c r="J5449" t="n">
        <v>0</v>
      </c>
      <c r="K5449" t="n">
        <v>0</v>
      </c>
      <c r="L5449" t="n">
        <v>0</v>
      </c>
      <c r="M5449" t="n">
        <v>0</v>
      </c>
      <c r="N5449" t="n">
        <v>0</v>
      </c>
      <c r="O5449" t="n">
        <v>0</v>
      </c>
      <c r="P5449" t="n">
        <v>0</v>
      </c>
      <c r="Q5449" t="n">
        <v>0</v>
      </c>
      <c r="R5449" s="2" t="inlineStr"/>
    </row>
    <row r="5450" ht="15" customHeight="1">
      <c r="A5450" t="inlineStr">
        <is>
          <t>A 33475-2025</t>
        </is>
      </c>
      <c r="B5450" s="1" t="n">
        <v>45841.49357638889</v>
      </c>
      <c r="C5450" s="1" t="n">
        <v>45962</v>
      </c>
      <c r="D5450" t="inlineStr">
        <is>
          <t>JÖNKÖPINGS LÄN</t>
        </is>
      </c>
      <c r="E5450" t="inlineStr">
        <is>
          <t>NÄSSJÖ</t>
        </is>
      </c>
      <c r="G5450" t="n">
        <v>1.1</v>
      </c>
      <c r="H5450" t="n">
        <v>0</v>
      </c>
      <c r="I5450" t="n">
        <v>0</v>
      </c>
      <c r="J5450" t="n">
        <v>0</v>
      </c>
      <c r="K5450" t="n">
        <v>0</v>
      </c>
      <c r="L5450" t="n">
        <v>0</v>
      </c>
      <c r="M5450" t="n">
        <v>0</v>
      </c>
      <c r="N5450" t="n">
        <v>0</v>
      </c>
      <c r="O5450" t="n">
        <v>0</v>
      </c>
      <c r="P5450" t="n">
        <v>0</v>
      </c>
      <c r="Q5450" t="n">
        <v>0</v>
      </c>
      <c r="R5450" s="2" t="inlineStr"/>
    </row>
    <row r="5451" ht="15" customHeight="1">
      <c r="A5451" t="inlineStr">
        <is>
          <t>A 33476-2025</t>
        </is>
      </c>
      <c r="B5451" s="1" t="n">
        <v>45841.49430555556</v>
      </c>
      <c r="C5451" s="1" t="n">
        <v>45962</v>
      </c>
      <c r="D5451" t="inlineStr">
        <is>
          <t>JÖNKÖPINGS LÄN</t>
        </is>
      </c>
      <c r="E5451" t="inlineStr">
        <is>
          <t>NÄSSJÖ</t>
        </is>
      </c>
      <c r="G5451" t="n">
        <v>1</v>
      </c>
      <c r="H5451" t="n">
        <v>0</v>
      </c>
      <c r="I5451" t="n">
        <v>0</v>
      </c>
      <c r="J5451" t="n">
        <v>0</v>
      </c>
      <c r="K5451" t="n">
        <v>0</v>
      </c>
      <c r="L5451" t="n">
        <v>0</v>
      </c>
      <c r="M5451" t="n">
        <v>0</v>
      </c>
      <c r="N5451" t="n">
        <v>0</v>
      </c>
      <c r="O5451" t="n">
        <v>0</v>
      </c>
      <c r="P5451" t="n">
        <v>0</v>
      </c>
      <c r="Q5451" t="n">
        <v>0</v>
      </c>
      <c r="R5451" s="2" t="inlineStr"/>
    </row>
    <row r="5452" ht="15" customHeight="1">
      <c r="A5452" t="inlineStr">
        <is>
          <t>A 7824-2023</t>
        </is>
      </c>
      <c r="B5452" s="1" t="n">
        <v>44970</v>
      </c>
      <c r="C5452" s="1" t="n">
        <v>45962</v>
      </c>
      <c r="D5452" t="inlineStr">
        <is>
          <t>JÖNKÖPINGS LÄN</t>
        </is>
      </c>
      <c r="E5452" t="inlineStr">
        <is>
          <t>VETLANDA</t>
        </is>
      </c>
      <c r="G5452" t="n">
        <v>1.1</v>
      </c>
      <c r="H5452" t="n">
        <v>0</v>
      </c>
      <c r="I5452" t="n">
        <v>0</v>
      </c>
      <c r="J5452" t="n">
        <v>0</v>
      </c>
      <c r="K5452" t="n">
        <v>0</v>
      </c>
      <c r="L5452" t="n">
        <v>0</v>
      </c>
      <c r="M5452" t="n">
        <v>0</v>
      </c>
      <c r="N5452" t="n">
        <v>0</v>
      </c>
      <c r="O5452" t="n">
        <v>0</v>
      </c>
      <c r="P5452" t="n">
        <v>0</v>
      </c>
      <c r="Q5452" t="n">
        <v>0</v>
      </c>
      <c r="R5452" s="2" t="inlineStr"/>
    </row>
    <row r="5453" ht="15" customHeight="1">
      <c r="A5453" t="inlineStr">
        <is>
          <t>A 56393-2023</t>
        </is>
      </c>
      <c r="B5453" s="1" t="n">
        <v>45243</v>
      </c>
      <c r="C5453" s="1" t="n">
        <v>45962</v>
      </c>
      <c r="D5453" t="inlineStr">
        <is>
          <t>JÖNKÖPINGS LÄN</t>
        </is>
      </c>
      <c r="E5453" t="inlineStr">
        <is>
          <t>GNOSJÖ</t>
        </is>
      </c>
      <c r="G5453" t="n">
        <v>4.1</v>
      </c>
      <c r="H5453" t="n">
        <v>0</v>
      </c>
      <c r="I5453" t="n">
        <v>0</v>
      </c>
      <c r="J5453" t="n">
        <v>0</v>
      </c>
      <c r="K5453" t="n">
        <v>0</v>
      </c>
      <c r="L5453" t="n">
        <v>0</v>
      </c>
      <c r="M5453" t="n">
        <v>0</v>
      </c>
      <c r="N5453" t="n">
        <v>0</v>
      </c>
      <c r="O5453" t="n">
        <v>0</v>
      </c>
      <c r="P5453" t="n">
        <v>0</v>
      </c>
      <c r="Q5453" t="n">
        <v>0</v>
      </c>
      <c r="R5453" s="2" t="inlineStr"/>
    </row>
    <row r="5454" ht="15" customHeight="1">
      <c r="A5454" t="inlineStr">
        <is>
          <t>A 33474-2025</t>
        </is>
      </c>
      <c r="B5454" s="1" t="n">
        <v>45841.4927662037</v>
      </c>
      <c r="C5454" s="1" t="n">
        <v>45962</v>
      </c>
      <c r="D5454" t="inlineStr">
        <is>
          <t>JÖNKÖPINGS LÄN</t>
        </is>
      </c>
      <c r="E5454" t="inlineStr">
        <is>
          <t>NÄSSJÖ</t>
        </is>
      </c>
      <c r="G5454" t="n">
        <v>0.7</v>
      </c>
      <c r="H5454" t="n">
        <v>0</v>
      </c>
      <c r="I5454" t="n">
        <v>0</v>
      </c>
      <c r="J5454" t="n">
        <v>0</v>
      </c>
      <c r="K5454" t="n">
        <v>0</v>
      </c>
      <c r="L5454" t="n">
        <v>0</v>
      </c>
      <c r="M5454" t="n">
        <v>0</v>
      </c>
      <c r="N5454" t="n">
        <v>0</v>
      </c>
      <c r="O5454" t="n">
        <v>0</v>
      </c>
      <c r="P5454" t="n">
        <v>0</v>
      </c>
      <c r="Q5454" t="n">
        <v>0</v>
      </c>
      <c r="R5454" s="2" t="inlineStr"/>
    </row>
    <row r="5455" ht="15" customHeight="1">
      <c r="A5455" t="inlineStr">
        <is>
          <t>A 56467-2023</t>
        </is>
      </c>
      <c r="B5455" s="1" t="n">
        <v>45243</v>
      </c>
      <c r="C5455" s="1" t="n">
        <v>45962</v>
      </c>
      <c r="D5455" t="inlineStr">
        <is>
          <t>JÖNKÖPINGS LÄN</t>
        </is>
      </c>
      <c r="E5455" t="inlineStr">
        <is>
          <t>VAGGERYD</t>
        </is>
      </c>
      <c r="G5455" t="n">
        <v>1.5</v>
      </c>
      <c r="H5455" t="n">
        <v>0</v>
      </c>
      <c r="I5455" t="n">
        <v>0</v>
      </c>
      <c r="J5455" t="n">
        <v>0</v>
      </c>
      <c r="K5455" t="n">
        <v>0</v>
      </c>
      <c r="L5455" t="n">
        <v>0</v>
      </c>
      <c r="M5455" t="n">
        <v>0</v>
      </c>
      <c r="N5455" t="n">
        <v>0</v>
      </c>
      <c r="O5455" t="n">
        <v>0</v>
      </c>
      <c r="P5455" t="n">
        <v>0</v>
      </c>
      <c r="Q5455" t="n">
        <v>0</v>
      </c>
      <c r="R5455" s="2" t="inlineStr"/>
    </row>
    <row r="5456" ht="15" customHeight="1">
      <c r="A5456" t="inlineStr">
        <is>
          <t>A 1819-2025</t>
        </is>
      </c>
      <c r="B5456" s="1" t="n">
        <v>45671.52005787037</v>
      </c>
      <c r="C5456" s="1" t="n">
        <v>45962</v>
      </c>
      <c r="D5456" t="inlineStr">
        <is>
          <t>JÖNKÖPINGS LÄN</t>
        </is>
      </c>
      <c r="E5456" t="inlineStr">
        <is>
          <t>GISLAVED</t>
        </is>
      </c>
      <c r="G5456" t="n">
        <v>4</v>
      </c>
      <c r="H5456" t="n">
        <v>0</v>
      </c>
      <c r="I5456" t="n">
        <v>0</v>
      </c>
      <c r="J5456" t="n">
        <v>0</v>
      </c>
      <c r="K5456" t="n">
        <v>0</v>
      </c>
      <c r="L5456" t="n">
        <v>0</v>
      </c>
      <c r="M5456" t="n">
        <v>0</v>
      </c>
      <c r="N5456" t="n">
        <v>0</v>
      </c>
      <c r="O5456" t="n">
        <v>0</v>
      </c>
      <c r="P5456" t="n">
        <v>0</v>
      </c>
      <c r="Q5456" t="n">
        <v>0</v>
      </c>
      <c r="R5456" s="2" t="inlineStr"/>
    </row>
    <row r="5457" ht="15" customHeight="1">
      <c r="A5457" t="inlineStr">
        <is>
          <t>A 10456-2023</t>
        </is>
      </c>
      <c r="B5457" s="1" t="n">
        <v>44981</v>
      </c>
      <c r="C5457" s="1" t="n">
        <v>45962</v>
      </c>
      <c r="D5457" t="inlineStr">
        <is>
          <t>JÖNKÖPINGS LÄN</t>
        </is>
      </c>
      <c r="E5457" t="inlineStr">
        <is>
          <t>ANEBY</t>
        </is>
      </c>
      <c r="F5457" t="inlineStr">
        <is>
          <t>Övriga Aktiebolag</t>
        </is>
      </c>
      <c r="G5457" t="n">
        <v>0.7</v>
      </c>
      <c r="H5457" t="n">
        <v>0</v>
      </c>
      <c r="I5457" t="n">
        <v>0</v>
      </c>
      <c r="J5457" t="n">
        <v>0</v>
      </c>
      <c r="K5457" t="n">
        <v>0</v>
      </c>
      <c r="L5457" t="n">
        <v>0</v>
      </c>
      <c r="M5457" t="n">
        <v>0</v>
      </c>
      <c r="N5457" t="n">
        <v>0</v>
      </c>
      <c r="O5457" t="n">
        <v>0</v>
      </c>
      <c r="P5457" t="n">
        <v>0</v>
      </c>
      <c r="Q5457" t="n">
        <v>0</v>
      </c>
      <c r="R5457" s="2" t="inlineStr"/>
    </row>
    <row r="5458" ht="15" customHeight="1">
      <c r="A5458" t="inlineStr">
        <is>
          <t>A 1838-2025</t>
        </is>
      </c>
      <c r="B5458" s="1" t="n">
        <v>45671.56422453704</v>
      </c>
      <c r="C5458" s="1" t="n">
        <v>45962</v>
      </c>
      <c r="D5458" t="inlineStr">
        <is>
          <t>JÖNKÖPINGS LÄN</t>
        </is>
      </c>
      <c r="E5458" t="inlineStr">
        <is>
          <t>VETLANDA</t>
        </is>
      </c>
      <c r="G5458" t="n">
        <v>1.2</v>
      </c>
      <c r="H5458" t="n">
        <v>0</v>
      </c>
      <c r="I5458" t="n">
        <v>0</v>
      </c>
      <c r="J5458" t="n">
        <v>0</v>
      </c>
      <c r="K5458" t="n">
        <v>0</v>
      </c>
      <c r="L5458" t="n">
        <v>0</v>
      </c>
      <c r="M5458" t="n">
        <v>0</v>
      </c>
      <c r="N5458" t="n">
        <v>0</v>
      </c>
      <c r="O5458" t="n">
        <v>0</v>
      </c>
      <c r="P5458" t="n">
        <v>0</v>
      </c>
      <c r="Q5458" t="n">
        <v>0</v>
      </c>
      <c r="R5458" s="2" t="inlineStr"/>
    </row>
    <row r="5459" ht="15" customHeight="1">
      <c r="A5459" t="inlineStr">
        <is>
          <t>A 33397-2025</t>
        </is>
      </c>
      <c r="B5459" s="1" t="n">
        <v>45841.42</v>
      </c>
      <c r="C5459" s="1" t="n">
        <v>45962</v>
      </c>
      <c r="D5459" t="inlineStr">
        <is>
          <t>JÖNKÖPINGS LÄN</t>
        </is>
      </c>
      <c r="E5459" t="inlineStr">
        <is>
          <t>NÄSSJÖ</t>
        </is>
      </c>
      <c r="G5459" t="n">
        <v>1.5</v>
      </c>
      <c r="H5459" t="n">
        <v>0</v>
      </c>
      <c r="I5459" t="n">
        <v>0</v>
      </c>
      <c r="J5459" t="n">
        <v>0</v>
      </c>
      <c r="K5459" t="n">
        <v>0</v>
      </c>
      <c r="L5459" t="n">
        <v>0</v>
      </c>
      <c r="M5459" t="n">
        <v>0</v>
      </c>
      <c r="N5459" t="n">
        <v>0</v>
      </c>
      <c r="O5459" t="n">
        <v>0</v>
      </c>
      <c r="P5459" t="n">
        <v>0</v>
      </c>
      <c r="Q5459" t="n">
        <v>0</v>
      </c>
      <c r="R5459" s="2" t="inlineStr"/>
    </row>
    <row r="5460" ht="15" customHeight="1">
      <c r="A5460" t="inlineStr">
        <is>
          <t>A 33089-2025</t>
        </is>
      </c>
      <c r="B5460" s="1" t="n">
        <v>45840.46835648148</v>
      </c>
      <c r="C5460" s="1" t="n">
        <v>45962</v>
      </c>
      <c r="D5460" t="inlineStr">
        <is>
          <t>JÖNKÖPINGS LÄN</t>
        </is>
      </c>
      <c r="E5460" t="inlineStr">
        <is>
          <t>SÄVSJÖ</t>
        </is>
      </c>
      <c r="G5460" t="n">
        <v>1.6</v>
      </c>
      <c r="H5460" t="n">
        <v>0</v>
      </c>
      <c r="I5460" t="n">
        <v>0</v>
      </c>
      <c r="J5460" t="n">
        <v>0</v>
      </c>
      <c r="K5460" t="n">
        <v>0</v>
      </c>
      <c r="L5460" t="n">
        <v>0</v>
      </c>
      <c r="M5460" t="n">
        <v>0</v>
      </c>
      <c r="N5460" t="n">
        <v>0</v>
      </c>
      <c r="O5460" t="n">
        <v>0</v>
      </c>
      <c r="P5460" t="n">
        <v>0</v>
      </c>
      <c r="Q5460" t="n">
        <v>0</v>
      </c>
      <c r="R5460" s="2" t="inlineStr"/>
    </row>
    <row r="5461" ht="15" customHeight="1">
      <c r="A5461" t="inlineStr">
        <is>
          <t>A 7654-2023</t>
        </is>
      </c>
      <c r="B5461" s="1" t="n">
        <v>44972.633125</v>
      </c>
      <c r="C5461" s="1" t="n">
        <v>45962</v>
      </c>
      <c r="D5461" t="inlineStr">
        <is>
          <t>JÖNKÖPINGS LÄN</t>
        </is>
      </c>
      <c r="E5461" t="inlineStr">
        <is>
          <t>NÄSSJÖ</t>
        </is>
      </c>
      <c r="G5461" t="n">
        <v>2.2</v>
      </c>
      <c r="H5461" t="n">
        <v>0</v>
      </c>
      <c r="I5461" t="n">
        <v>0</v>
      </c>
      <c r="J5461" t="n">
        <v>0</v>
      </c>
      <c r="K5461" t="n">
        <v>0</v>
      </c>
      <c r="L5461" t="n">
        <v>0</v>
      </c>
      <c r="M5461" t="n">
        <v>0</v>
      </c>
      <c r="N5461" t="n">
        <v>0</v>
      </c>
      <c r="O5461" t="n">
        <v>0</v>
      </c>
      <c r="P5461" t="n">
        <v>0</v>
      </c>
      <c r="Q5461" t="n">
        <v>0</v>
      </c>
      <c r="R5461" s="2" t="inlineStr"/>
    </row>
    <row r="5462" ht="15" customHeight="1">
      <c r="A5462" t="inlineStr">
        <is>
          <t>A 33348-2025</t>
        </is>
      </c>
      <c r="B5462" s="1" t="n">
        <v>45841.37010416666</v>
      </c>
      <c r="C5462" s="1" t="n">
        <v>45962</v>
      </c>
      <c r="D5462" t="inlineStr">
        <is>
          <t>JÖNKÖPINGS LÄN</t>
        </is>
      </c>
      <c r="E5462" t="inlineStr">
        <is>
          <t>VÄRNAMO</t>
        </is>
      </c>
      <c r="G5462" t="n">
        <v>0.8</v>
      </c>
      <c r="H5462" t="n">
        <v>0</v>
      </c>
      <c r="I5462" t="n">
        <v>0</v>
      </c>
      <c r="J5462" t="n">
        <v>0</v>
      </c>
      <c r="K5462" t="n">
        <v>0</v>
      </c>
      <c r="L5462" t="n">
        <v>0</v>
      </c>
      <c r="M5462" t="n">
        <v>0</v>
      </c>
      <c r="N5462" t="n">
        <v>0</v>
      </c>
      <c r="O5462" t="n">
        <v>0</v>
      </c>
      <c r="P5462" t="n">
        <v>0</v>
      </c>
      <c r="Q5462" t="n">
        <v>0</v>
      </c>
      <c r="R5462" s="2" t="inlineStr"/>
    </row>
    <row r="5463" ht="15" customHeight="1">
      <c r="A5463" t="inlineStr">
        <is>
          <t>A 33351-2025</t>
        </is>
      </c>
      <c r="B5463" s="1" t="n">
        <v>45841.37292824074</v>
      </c>
      <c r="C5463" s="1" t="n">
        <v>45962</v>
      </c>
      <c r="D5463" t="inlineStr">
        <is>
          <t>JÖNKÖPINGS LÄN</t>
        </is>
      </c>
      <c r="E5463" t="inlineStr">
        <is>
          <t>VÄRNAMO</t>
        </is>
      </c>
      <c r="G5463" t="n">
        <v>1.2</v>
      </c>
      <c r="H5463" t="n">
        <v>0</v>
      </c>
      <c r="I5463" t="n">
        <v>0</v>
      </c>
      <c r="J5463" t="n">
        <v>0</v>
      </c>
      <c r="K5463" t="n">
        <v>0</v>
      </c>
      <c r="L5463" t="n">
        <v>0</v>
      </c>
      <c r="M5463" t="n">
        <v>0</v>
      </c>
      <c r="N5463" t="n">
        <v>0</v>
      </c>
      <c r="O5463" t="n">
        <v>0</v>
      </c>
      <c r="P5463" t="n">
        <v>0</v>
      </c>
      <c r="Q5463" t="n">
        <v>0</v>
      </c>
      <c r="R5463" s="2" t="inlineStr"/>
    </row>
    <row r="5464" ht="15" customHeight="1">
      <c r="A5464" t="inlineStr">
        <is>
          <t>A 20409-2024</t>
        </is>
      </c>
      <c r="B5464" s="1" t="n">
        <v>45435</v>
      </c>
      <c r="C5464" s="1" t="n">
        <v>45962</v>
      </c>
      <c r="D5464" t="inlineStr">
        <is>
          <t>JÖNKÖPINGS LÄN</t>
        </is>
      </c>
      <c r="E5464" t="inlineStr">
        <is>
          <t>VETLANDA</t>
        </is>
      </c>
      <c r="G5464" t="n">
        <v>1.6</v>
      </c>
      <c r="H5464" t="n">
        <v>0</v>
      </c>
      <c r="I5464" t="n">
        <v>0</v>
      </c>
      <c r="J5464" t="n">
        <v>0</v>
      </c>
      <c r="K5464" t="n">
        <v>0</v>
      </c>
      <c r="L5464" t="n">
        <v>0</v>
      </c>
      <c r="M5464" t="n">
        <v>0</v>
      </c>
      <c r="N5464" t="n">
        <v>0</v>
      </c>
      <c r="O5464" t="n">
        <v>0</v>
      </c>
      <c r="P5464" t="n">
        <v>0</v>
      </c>
      <c r="Q5464" t="n">
        <v>0</v>
      </c>
      <c r="R5464" s="2" t="inlineStr"/>
    </row>
    <row r="5465" ht="15" customHeight="1">
      <c r="A5465" t="inlineStr">
        <is>
          <t>A 33372-2025</t>
        </is>
      </c>
      <c r="B5465" s="1" t="n">
        <v>45841.39407407407</v>
      </c>
      <c r="C5465" s="1" t="n">
        <v>45962</v>
      </c>
      <c r="D5465" t="inlineStr">
        <is>
          <t>JÖNKÖPINGS LÄN</t>
        </is>
      </c>
      <c r="E5465" t="inlineStr">
        <is>
          <t>NÄSSJÖ</t>
        </is>
      </c>
      <c r="G5465" t="n">
        <v>2</v>
      </c>
      <c r="H5465" t="n">
        <v>0</v>
      </c>
      <c r="I5465" t="n">
        <v>0</v>
      </c>
      <c r="J5465" t="n">
        <v>0</v>
      </c>
      <c r="K5465" t="n">
        <v>0</v>
      </c>
      <c r="L5465" t="n">
        <v>0</v>
      </c>
      <c r="M5465" t="n">
        <v>0</v>
      </c>
      <c r="N5465" t="n">
        <v>0</v>
      </c>
      <c r="O5465" t="n">
        <v>0</v>
      </c>
      <c r="P5465" t="n">
        <v>0</v>
      </c>
      <c r="Q5465" t="n">
        <v>0</v>
      </c>
      <c r="R5465" s="2" t="inlineStr"/>
    </row>
    <row r="5466" ht="15" customHeight="1">
      <c r="A5466" t="inlineStr">
        <is>
          <t>A 45104-2024</t>
        </is>
      </c>
      <c r="B5466" s="1" t="n">
        <v>45575</v>
      </c>
      <c r="C5466" s="1" t="n">
        <v>45962</v>
      </c>
      <c r="D5466" t="inlineStr">
        <is>
          <t>JÖNKÖPINGS LÄN</t>
        </is>
      </c>
      <c r="E5466" t="inlineStr">
        <is>
          <t>VÄRNAMO</t>
        </is>
      </c>
      <c r="G5466" t="n">
        <v>0.7</v>
      </c>
      <c r="H5466" t="n">
        <v>0</v>
      </c>
      <c r="I5466" t="n">
        <v>0</v>
      </c>
      <c r="J5466" t="n">
        <v>0</v>
      </c>
      <c r="K5466" t="n">
        <v>0</v>
      </c>
      <c r="L5466" t="n">
        <v>0</v>
      </c>
      <c r="M5466" t="n">
        <v>0</v>
      </c>
      <c r="N5466" t="n">
        <v>0</v>
      </c>
      <c r="O5466" t="n">
        <v>0</v>
      </c>
      <c r="P5466" t="n">
        <v>0</v>
      </c>
      <c r="Q5466" t="n">
        <v>0</v>
      </c>
      <c r="R5466" s="2" t="inlineStr"/>
    </row>
    <row r="5467" ht="15" customHeight="1">
      <c r="A5467" t="inlineStr">
        <is>
          <t>A 24896-2025</t>
        </is>
      </c>
      <c r="B5467" s="1" t="n">
        <v>45799.51578703704</v>
      </c>
      <c r="C5467" s="1" t="n">
        <v>45962</v>
      </c>
      <c r="D5467" t="inlineStr">
        <is>
          <t>JÖNKÖPINGS LÄN</t>
        </is>
      </c>
      <c r="E5467" t="inlineStr">
        <is>
          <t>JÖNKÖPING</t>
        </is>
      </c>
      <c r="G5467" t="n">
        <v>2.5</v>
      </c>
      <c r="H5467" t="n">
        <v>0</v>
      </c>
      <c r="I5467" t="n">
        <v>0</v>
      </c>
      <c r="J5467" t="n">
        <v>0</v>
      </c>
      <c r="K5467" t="n">
        <v>0</v>
      </c>
      <c r="L5467" t="n">
        <v>0</v>
      </c>
      <c r="M5467" t="n">
        <v>0</v>
      </c>
      <c r="N5467" t="n">
        <v>0</v>
      </c>
      <c r="O5467" t="n">
        <v>0</v>
      </c>
      <c r="P5467" t="n">
        <v>0</v>
      </c>
      <c r="Q5467" t="n">
        <v>0</v>
      </c>
      <c r="R5467" s="2" t="inlineStr"/>
    </row>
    <row r="5468" ht="15" customHeight="1">
      <c r="A5468" t="inlineStr">
        <is>
          <t>A 476-2024</t>
        </is>
      </c>
      <c r="B5468" s="1" t="n">
        <v>45297.8840625</v>
      </c>
      <c r="C5468" s="1" t="n">
        <v>45962</v>
      </c>
      <c r="D5468" t="inlineStr">
        <is>
          <t>JÖNKÖPINGS LÄN</t>
        </is>
      </c>
      <c r="E5468" t="inlineStr">
        <is>
          <t>HABO</t>
        </is>
      </c>
      <c r="G5468" t="n">
        <v>3.1</v>
      </c>
      <c r="H5468" t="n">
        <v>0</v>
      </c>
      <c r="I5468" t="n">
        <v>0</v>
      </c>
      <c r="J5468" t="n">
        <v>0</v>
      </c>
      <c r="K5468" t="n">
        <v>0</v>
      </c>
      <c r="L5468" t="n">
        <v>0</v>
      </c>
      <c r="M5468" t="n">
        <v>0</v>
      </c>
      <c r="N5468" t="n">
        <v>0</v>
      </c>
      <c r="O5468" t="n">
        <v>0</v>
      </c>
      <c r="P5468" t="n">
        <v>0</v>
      </c>
      <c r="Q5468" t="n">
        <v>0</v>
      </c>
      <c r="R5468" s="2" t="inlineStr"/>
    </row>
    <row r="5469" ht="15" customHeight="1">
      <c r="A5469" t="inlineStr">
        <is>
          <t>A 520-2024</t>
        </is>
      </c>
      <c r="B5469" s="1" t="n">
        <v>45299</v>
      </c>
      <c r="C5469" s="1" t="n">
        <v>45962</v>
      </c>
      <c r="D5469" t="inlineStr">
        <is>
          <t>JÖNKÖPINGS LÄN</t>
        </is>
      </c>
      <c r="E5469" t="inlineStr">
        <is>
          <t>JÖNKÖPING</t>
        </is>
      </c>
      <c r="G5469" t="n">
        <v>2.5</v>
      </c>
      <c r="H5469" t="n">
        <v>0</v>
      </c>
      <c r="I5469" t="n">
        <v>0</v>
      </c>
      <c r="J5469" t="n">
        <v>0</v>
      </c>
      <c r="K5469" t="n">
        <v>0</v>
      </c>
      <c r="L5469" t="n">
        <v>0</v>
      </c>
      <c r="M5469" t="n">
        <v>0</v>
      </c>
      <c r="N5469" t="n">
        <v>0</v>
      </c>
      <c r="O5469" t="n">
        <v>0</v>
      </c>
      <c r="P5469" t="n">
        <v>0</v>
      </c>
      <c r="Q5469" t="n">
        <v>0</v>
      </c>
      <c r="R5469" s="2" t="inlineStr"/>
    </row>
    <row r="5470" ht="15" customHeight="1">
      <c r="A5470" t="inlineStr">
        <is>
          <t>A 551-2024</t>
        </is>
      </c>
      <c r="B5470" s="1" t="n">
        <v>45299</v>
      </c>
      <c r="C5470" s="1" t="n">
        <v>45962</v>
      </c>
      <c r="D5470" t="inlineStr">
        <is>
          <t>JÖNKÖPINGS LÄN</t>
        </is>
      </c>
      <c r="E5470" t="inlineStr">
        <is>
          <t>VÄRNAMO</t>
        </is>
      </c>
      <c r="G5470" t="n">
        <v>4.2</v>
      </c>
      <c r="H5470" t="n">
        <v>0</v>
      </c>
      <c r="I5470" t="n">
        <v>0</v>
      </c>
      <c r="J5470" t="n">
        <v>0</v>
      </c>
      <c r="K5470" t="n">
        <v>0</v>
      </c>
      <c r="L5470" t="n">
        <v>0</v>
      </c>
      <c r="M5470" t="n">
        <v>0</v>
      </c>
      <c r="N5470" t="n">
        <v>0</v>
      </c>
      <c r="O5470" t="n">
        <v>0</v>
      </c>
      <c r="P5470" t="n">
        <v>0</v>
      </c>
      <c r="Q5470" t="n">
        <v>0</v>
      </c>
      <c r="R5470" s="2" t="inlineStr"/>
    </row>
    <row r="5471" ht="15" customHeight="1">
      <c r="A5471" t="inlineStr">
        <is>
          <t>A 9836-2023</t>
        </is>
      </c>
      <c r="B5471" s="1" t="n">
        <v>44984.81905092593</v>
      </c>
      <c r="C5471" s="1" t="n">
        <v>45962</v>
      </c>
      <c r="D5471" t="inlineStr">
        <is>
          <t>JÖNKÖPINGS LÄN</t>
        </is>
      </c>
      <c r="E5471" t="inlineStr">
        <is>
          <t>VÄRNAMO</t>
        </is>
      </c>
      <c r="G5471" t="n">
        <v>0.3</v>
      </c>
      <c r="H5471" t="n">
        <v>0</v>
      </c>
      <c r="I5471" t="n">
        <v>0</v>
      </c>
      <c r="J5471" t="n">
        <v>0</v>
      </c>
      <c r="K5471" t="n">
        <v>0</v>
      </c>
      <c r="L5471" t="n">
        <v>0</v>
      </c>
      <c r="M5471" t="n">
        <v>0</v>
      </c>
      <c r="N5471" t="n">
        <v>0</v>
      </c>
      <c r="O5471" t="n">
        <v>0</v>
      </c>
      <c r="P5471" t="n">
        <v>0</v>
      </c>
      <c r="Q5471" t="n">
        <v>0</v>
      </c>
      <c r="R5471" s="2" t="inlineStr"/>
    </row>
    <row r="5472" ht="15" customHeight="1">
      <c r="A5472" t="inlineStr">
        <is>
          <t>A 3421-2024</t>
        </is>
      </c>
      <c r="B5472" s="1" t="n">
        <v>45319.82532407407</v>
      </c>
      <c r="C5472" s="1" t="n">
        <v>45962</v>
      </c>
      <c r="D5472" t="inlineStr">
        <is>
          <t>JÖNKÖPINGS LÄN</t>
        </is>
      </c>
      <c r="E5472" t="inlineStr">
        <is>
          <t>TRANÅS</t>
        </is>
      </c>
      <c r="G5472" t="n">
        <v>2.8</v>
      </c>
      <c r="H5472" t="n">
        <v>0</v>
      </c>
      <c r="I5472" t="n">
        <v>0</v>
      </c>
      <c r="J5472" t="n">
        <v>0</v>
      </c>
      <c r="K5472" t="n">
        <v>0</v>
      </c>
      <c r="L5472" t="n">
        <v>0</v>
      </c>
      <c r="M5472" t="n">
        <v>0</v>
      </c>
      <c r="N5472" t="n">
        <v>0</v>
      </c>
      <c r="O5472" t="n">
        <v>0</v>
      </c>
      <c r="P5472" t="n">
        <v>0</v>
      </c>
      <c r="Q5472" t="n">
        <v>0</v>
      </c>
      <c r="R5472" s="2" t="inlineStr"/>
    </row>
    <row r="5473" ht="15" customHeight="1">
      <c r="A5473" t="inlineStr">
        <is>
          <t>A 54000-2021</t>
        </is>
      </c>
      <c r="B5473" s="1" t="n">
        <v>44470.33744212963</v>
      </c>
      <c r="C5473" s="1" t="n">
        <v>45962</v>
      </c>
      <c r="D5473" t="inlineStr">
        <is>
          <t>JÖNKÖPINGS LÄN</t>
        </is>
      </c>
      <c r="E5473" t="inlineStr">
        <is>
          <t>VÄRNAMO</t>
        </is>
      </c>
      <c r="G5473" t="n">
        <v>5</v>
      </c>
      <c r="H5473" t="n">
        <v>0</v>
      </c>
      <c r="I5473" t="n">
        <v>0</v>
      </c>
      <c r="J5473" t="n">
        <v>0</v>
      </c>
      <c r="K5473" t="n">
        <v>0</v>
      </c>
      <c r="L5473" t="n">
        <v>0</v>
      </c>
      <c r="M5473" t="n">
        <v>0</v>
      </c>
      <c r="N5473" t="n">
        <v>0</v>
      </c>
      <c r="O5473" t="n">
        <v>0</v>
      </c>
      <c r="P5473" t="n">
        <v>0</v>
      </c>
      <c r="Q5473" t="n">
        <v>0</v>
      </c>
      <c r="R5473" s="2" t="inlineStr"/>
    </row>
    <row r="5474" ht="15" customHeight="1">
      <c r="A5474" t="inlineStr">
        <is>
          <t>A 54292-2023</t>
        </is>
      </c>
      <c r="B5474" s="1" t="n">
        <v>45232</v>
      </c>
      <c r="C5474" s="1" t="n">
        <v>45962</v>
      </c>
      <c r="D5474" t="inlineStr">
        <is>
          <t>JÖNKÖPINGS LÄN</t>
        </is>
      </c>
      <c r="E5474" t="inlineStr">
        <is>
          <t>EKSJÖ</t>
        </is>
      </c>
      <c r="G5474" t="n">
        <v>18.3</v>
      </c>
      <c r="H5474" t="n">
        <v>0</v>
      </c>
      <c r="I5474" t="n">
        <v>0</v>
      </c>
      <c r="J5474" t="n">
        <v>0</v>
      </c>
      <c r="K5474" t="n">
        <v>0</v>
      </c>
      <c r="L5474" t="n">
        <v>0</v>
      </c>
      <c r="M5474" t="n">
        <v>0</v>
      </c>
      <c r="N5474" t="n">
        <v>0</v>
      </c>
      <c r="O5474" t="n">
        <v>0</v>
      </c>
      <c r="P5474" t="n">
        <v>0</v>
      </c>
      <c r="Q5474" t="n">
        <v>0</v>
      </c>
      <c r="R5474" s="2" t="inlineStr"/>
    </row>
    <row r="5475" ht="15" customHeight="1">
      <c r="A5475" t="inlineStr">
        <is>
          <t>A 33318-2025</t>
        </is>
      </c>
      <c r="B5475" s="1" t="n">
        <v>45841.34400462963</v>
      </c>
      <c r="C5475" s="1" t="n">
        <v>45962</v>
      </c>
      <c r="D5475" t="inlineStr">
        <is>
          <t>JÖNKÖPINGS LÄN</t>
        </is>
      </c>
      <c r="E5475" t="inlineStr">
        <is>
          <t>VÄRNAMO</t>
        </is>
      </c>
      <c r="G5475" t="n">
        <v>1.4</v>
      </c>
      <c r="H5475" t="n">
        <v>0</v>
      </c>
      <c r="I5475" t="n">
        <v>0</v>
      </c>
      <c r="J5475" t="n">
        <v>0</v>
      </c>
      <c r="K5475" t="n">
        <v>0</v>
      </c>
      <c r="L5475" t="n">
        <v>0</v>
      </c>
      <c r="M5475" t="n">
        <v>0</v>
      </c>
      <c r="N5475" t="n">
        <v>0</v>
      </c>
      <c r="O5475" t="n">
        <v>0</v>
      </c>
      <c r="P5475" t="n">
        <v>0</v>
      </c>
      <c r="Q5475" t="n">
        <v>0</v>
      </c>
      <c r="R5475" s="2" t="inlineStr"/>
    </row>
    <row r="5476" ht="15" customHeight="1">
      <c r="A5476" t="inlineStr">
        <is>
          <t>A 33245-2025</t>
        </is>
      </c>
      <c r="B5476" s="1" t="n">
        <v>45840.65412037037</v>
      </c>
      <c r="C5476" s="1" t="n">
        <v>45962</v>
      </c>
      <c r="D5476" t="inlineStr">
        <is>
          <t>JÖNKÖPINGS LÄN</t>
        </is>
      </c>
      <c r="E5476" t="inlineStr">
        <is>
          <t>VETLANDA</t>
        </is>
      </c>
      <c r="G5476" t="n">
        <v>1.4</v>
      </c>
      <c r="H5476" t="n">
        <v>0</v>
      </c>
      <c r="I5476" t="n">
        <v>0</v>
      </c>
      <c r="J5476" t="n">
        <v>0</v>
      </c>
      <c r="K5476" t="n">
        <v>0</v>
      </c>
      <c r="L5476" t="n">
        <v>0</v>
      </c>
      <c r="M5476" t="n">
        <v>0</v>
      </c>
      <c r="N5476" t="n">
        <v>0</v>
      </c>
      <c r="O5476" t="n">
        <v>0</v>
      </c>
      <c r="P5476" t="n">
        <v>0</v>
      </c>
      <c r="Q5476" t="n">
        <v>0</v>
      </c>
      <c r="R5476" s="2" t="inlineStr"/>
    </row>
    <row r="5477" ht="15" customHeight="1">
      <c r="A5477" t="inlineStr">
        <is>
          <t>A 53472-2023</t>
        </is>
      </c>
      <c r="B5477" s="1" t="n">
        <v>45230.33119212963</v>
      </c>
      <c r="C5477" s="1" t="n">
        <v>45962</v>
      </c>
      <c r="D5477" t="inlineStr">
        <is>
          <t>JÖNKÖPINGS LÄN</t>
        </is>
      </c>
      <c r="E5477" t="inlineStr">
        <is>
          <t>VETLANDA</t>
        </is>
      </c>
      <c r="F5477" t="inlineStr">
        <is>
          <t>Sveaskog</t>
        </is>
      </c>
      <c r="G5477" t="n">
        <v>1.7</v>
      </c>
      <c r="H5477" t="n">
        <v>0</v>
      </c>
      <c r="I5477" t="n">
        <v>0</v>
      </c>
      <c r="J5477" t="n">
        <v>0</v>
      </c>
      <c r="K5477" t="n">
        <v>0</v>
      </c>
      <c r="L5477" t="n">
        <v>0</v>
      </c>
      <c r="M5477" t="n">
        <v>0</v>
      </c>
      <c r="N5477" t="n">
        <v>0</v>
      </c>
      <c r="O5477" t="n">
        <v>0</v>
      </c>
      <c r="P5477" t="n">
        <v>0</v>
      </c>
      <c r="Q5477" t="n">
        <v>0</v>
      </c>
      <c r="R5477" s="2" t="inlineStr"/>
    </row>
    <row r="5478" ht="15" customHeight="1">
      <c r="A5478" t="inlineStr">
        <is>
          <t>A 53479-2023</t>
        </is>
      </c>
      <c r="B5478" s="1" t="n">
        <v>45223</v>
      </c>
      <c r="C5478" s="1" t="n">
        <v>45962</v>
      </c>
      <c r="D5478" t="inlineStr">
        <is>
          <t>JÖNKÖPINGS LÄN</t>
        </is>
      </c>
      <c r="E5478" t="inlineStr">
        <is>
          <t>EKSJÖ</t>
        </is>
      </c>
      <c r="G5478" t="n">
        <v>1.8</v>
      </c>
      <c r="H5478" t="n">
        <v>0</v>
      </c>
      <c r="I5478" t="n">
        <v>0</v>
      </c>
      <c r="J5478" t="n">
        <v>0</v>
      </c>
      <c r="K5478" t="n">
        <v>0</v>
      </c>
      <c r="L5478" t="n">
        <v>0</v>
      </c>
      <c r="M5478" t="n">
        <v>0</v>
      </c>
      <c r="N5478" t="n">
        <v>0</v>
      </c>
      <c r="O5478" t="n">
        <v>0</v>
      </c>
      <c r="P5478" t="n">
        <v>0</v>
      </c>
      <c r="Q5478" t="n">
        <v>0</v>
      </c>
      <c r="R5478" s="2" t="inlineStr"/>
    </row>
    <row r="5479" ht="15" customHeight="1">
      <c r="A5479" t="inlineStr">
        <is>
          <t>A 33123-2025</t>
        </is>
      </c>
      <c r="B5479" s="1" t="n">
        <v>45840.49496527778</v>
      </c>
      <c r="C5479" s="1" t="n">
        <v>45962</v>
      </c>
      <c r="D5479" t="inlineStr">
        <is>
          <t>JÖNKÖPINGS LÄN</t>
        </is>
      </c>
      <c r="E5479" t="inlineStr">
        <is>
          <t>EKSJÖ</t>
        </is>
      </c>
      <c r="G5479" t="n">
        <v>1.4</v>
      </c>
      <c r="H5479" t="n">
        <v>0</v>
      </c>
      <c r="I5479" t="n">
        <v>0</v>
      </c>
      <c r="J5479" t="n">
        <v>0</v>
      </c>
      <c r="K5479" t="n">
        <v>0</v>
      </c>
      <c r="L5479" t="n">
        <v>0</v>
      </c>
      <c r="M5479" t="n">
        <v>0</v>
      </c>
      <c r="N5479" t="n">
        <v>0</v>
      </c>
      <c r="O5479" t="n">
        <v>0</v>
      </c>
      <c r="P5479" t="n">
        <v>0</v>
      </c>
      <c r="Q5479" t="n">
        <v>0</v>
      </c>
      <c r="R5479" s="2" t="inlineStr"/>
    </row>
    <row r="5480" ht="15" customHeight="1">
      <c r="A5480" t="inlineStr">
        <is>
          <t>A 11917-2023</t>
        </is>
      </c>
      <c r="B5480" s="1" t="n">
        <v>44994</v>
      </c>
      <c r="C5480" s="1" t="n">
        <v>45962</v>
      </c>
      <c r="D5480" t="inlineStr">
        <is>
          <t>JÖNKÖPINGS LÄN</t>
        </is>
      </c>
      <c r="E5480" t="inlineStr">
        <is>
          <t>NÄSSJÖ</t>
        </is>
      </c>
      <c r="G5480" t="n">
        <v>6.3</v>
      </c>
      <c r="H5480" t="n">
        <v>0</v>
      </c>
      <c r="I5480" t="n">
        <v>0</v>
      </c>
      <c r="J5480" t="n">
        <v>0</v>
      </c>
      <c r="K5480" t="n">
        <v>0</v>
      </c>
      <c r="L5480" t="n">
        <v>0</v>
      </c>
      <c r="M5480" t="n">
        <v>0</v>
      </c>
      <c r="N5480" t="n">
        <v>0</v>
      </c>
      <c r="O5480" t="n">
        <v>0</v>
      </c>
      <c r="P5480" t="n">
        <v>0</v>
      </c>
      <c r="Q5480" t="n">
        <v>0</v>
      </c>
      <c r="R5480" s="2" t="inlineStr"/>
    </row>
    <row r="5481" ht="15" customHeight="1">
      <c r="A5481" t="inlineStr">
        <is>
          <t>A 58111-2022</t>
        </is>
      </c>
      <c r="B5481" s="1" t="n">
        <v>44900</v>
      </c>
      <c r="C5481" s="1" t="n">
        <v>45962</v>
      </c>
      <c r="D5481" t="inlineStr">
        <is>
          <t>JÖNKÖPINGS LÄN</t>
        </is>
      </c>
      <c r="E5481" t="inlineStr">
        <is>
          <t>VAGGERYD</t>
        </is>
      </c>
      <c r="G5481" t="n">
        <v>1</v>
      </c>
      <c r="H5481" t="n">
        <v>0</v>
      </c>
      <c r="I5481" t="n">
        <v>0</v>
      </c>
      <c r="J5481" t="n">
        <v>0</v>
      </c>
      <c r="K5481" t="n">
        <v>0</v>
      </c>
      <c r="L5481" t="n">
        <v>0</v>
      </c>
      <c r="M5481" t="n">
        <v>0</v>
      </c>
      <c r="N5481" t="n">
        <v>0</v>
      </c>
      <c r="O5481" t="n">
        <v>0</v>
      </c>
      <c r="P5481" t="n">
        <v>0</v>
      </c>
      <c r="Q5481" t="n">
        <v>0</v>
      </c>
      <c r="R5481" s="2" t="inlineStr"/>
    </row>
    <row r="5482" ht="15" customHeight="1">
      <c r="A5482" t="inlineStr">
        <is>
          <t>A 12273-2023</t>
        </is>
      </c>
      <c r="B5482" s="1" t="n">
        <v>44998</v>
      </c>
      <c r="C5482" s="1" t="n">
        <v>45962</v>
      </c>
      <c r="D5482" t="inlineStr">
        <is>
          <t>JÖNKÖPINGS LÄN</t>
        </is>
      </c>
      <c r="E5482" t="inlineStr">
        <is>
          <t>MULLSJÖ</t>
        </is>
      </c>
      <c r="G5482" t="n">
        <v>1.7</v>
      </c>
      <c r="H5482" t="n">
        <v>0</v>
      </c>
      <c r="I5482" t="n">
        <v>0</v>
      </c>
      <c r="J5482" t="n">
        <v>0</v>
      </c>
      <c r="K5482" t="n">
        <v>0</v>
      </c>
      <c r="L5482" t="n">
        <v>0</v>
      </c>
      <c r="M5482" t="n">
        <v>0</v>
      </c>
      <c r="N5482" t="n">
        <v>0</v>
      </c>
      <c r="O5482" t="n">
        <v>0</v>
      </c>
      <c r="P5482" t="n">
        <v>0</v>
      </c>
      <c r="Q5482" t="n">
        <v>0</v>
      </c>
      <c r="R5482" s="2" t="inlineStr"/>
    </row>
    <row r="5483" ht="15" customHeight="1">
      <c r="A5483" t="inlineStr">
        <is>
          <t>A 12301-2023</t>
        </is>
      </c>
      <c r="B5483" s="1" t="n">
        <v>44998.8734837963</v>
      </c>
      <c r="C5483" s="1" t="n">
        <v>45962</v>
      </c>
      <c r="D5483" t="inlineStr">
        <is>
          <t>JÖNKÖPINGS LÄN</t>
        </is>
      </c>
      <c r="E5483" t="inlineStr">
        <is>
          <t>JÖNKÖPING</t>
        </is>
      </c>
      <c r="G5483" t="n">
        <v>1.3</v>
      </c>
      <c r="H5483" t="n">
        <v>0</v>
      </c>
      <c r="I5483" t="n">
        <v>0</v>
      </c>
      <c r="J5483" t="n">
        <v>0</v>
      </c>
      <c r="K5483" t="n">
        <v>0</v>
      </c>
      <c r="L5483" t="n">
        <v>0</v>
      </c>
      <c r="M5483" t="n">
        <v>0</v>
      </c>
      <c r="N5483" t="n">
        <v>0</v>
      </c>
      <c r="O5483" t="n">
        <v>0</v>
      </c>
      <c r="P5483" t="n">
        <v>0</v>
      </c>
      <c r="Q5483" t="n">
        <v>0</v>
      </c>
      <c r="R5483" s="2" t="inlineStr"/>
    </row>
    <row r="5484" ht="15" customHeight="1">
      <c r="A5484" t="inlineStr">
        <is>
          <t>A 33661-2025</t>
        </is>
      </c>
      <c r="B5484" s="1" t="n">
        <v>45841.66398148148</v>
      </c>
      <c r="C5484" s="1" t="n">
        <v>45962</v>
      </c>
      <c r="D5484" t="inlineStr">
        <is>
          <t>JÖNKÖPINGS LÄN</t>
        </is>
      </c>
      <c r="E5484" t="inlineStr">
        <is>
          <t>EKSJÖ</t>
        </is>
      </c>
      <c r="F5484" t="inlineStr">
        <is>
          <t>Övriga Aktiebolag</t>
        </is>
      </c>
      <c r="G5484" t="n">
        <v>6.9</v>
      </c>
      <c r="H5484" t="n">
        <v>0</v>
      </c>
      <c r="I5484" t="n">
        <v>0</v>
      </c>
      <c r="J5484" t="n">
        <v>0</v>
      </c>
      <c r="K5484" t="n">
        <v>0</v>
      </c>
      <c r="L5484" t="n">
        <v>0</v>
      </c>
      <c r="M5484" t="n">
        <v>0</v>
      </c>
      <c r="N5484" t="n">
        <v>0</v>
      </c>
      <c r="O5484" t="n">
        <v>0</v>
      </c>
      <c r="P5484" t="n">
        <v>0</v>
      </c>
      <c r="Q5484" t="n">
        <v>0</v>
      </c>
      <c r="R5484" s="2" t="inlineStr"/>
    </row>
    <row r="5485" ht="15" customHeight="1">
      <c r="A5485" t="inlineStr">
        <is>
          <t>A 52156-2023</t>
        </is>
      </c>
      <c r="B5485" s="1" t="n">
        <v>45224.29059027778</v>
      </c>
      <c r="C5485" s="1" t="n">
        <v>45962</v>
      </c>
      <c r="D5485" t="inlineStr">
        <is>
          <t>JÖNKÖPINGS LÄN</t>
        </is>
      </c>
      <c r="E5485" t="inlineStr">
        <is>
          <t>VÄRNAMO</t>
        </is>
      </c>
      <c r="F5485" t="inlineStr">
        <is>
          <t>Övriga Aktiebolag</t>
        </is>
      </c>
      <c r="G5485" t="n">
        <v>2.2</v>
      </c>
      <c r="H5485" t="n">
        <v>0</v>
      </c>
      <c r="I5485" t="n">
        <v>0</v>
      </c>
      <c r="J5485" t="n">
        <v>0</v>
      </c>
      <c r="K5485" t="n">
        <v>0</v>
      </c>
      <c r="L5485" t="n">
        <v>0</v>
      </c>
      <c r="M5485" t="n">
        <v>0</v>
      </c>
      <c r="N5485" t="n">
        <v>0</v>
      </c>
      <c r="O5485" t="n">
        <v>0</v>
      </c>
      <c r="P5485" t="n">
        <v>0</v>
      </c>
      <c r="Q5485" t="n">
        <v>0</v>
      </c>
      <c r="R5485" s="2" t="inlineStr"/>
    </row>
    <row r="5486" ht="15" customHeight="1">
      <c r="A5486" t="inlineStr">
        <is>
          <t>A 52200-2023</t>
        </is>
      </c>
      <c r="B5486" s="1" t="n">
        <v>45224.40849537037</v>
      </c>
      <c r="C5486" s="1" t="n">
        <v>45962</v>
      </c>
      <c r="D5486" t="inlineStr">
        <is>
          <t>JÖNKÖPINGS LÄN</t>
        </is>
      </c>
      <c r="E5486" t="inlineStr">
        <is>
          <t>EKSJÖ</t>
        </is>
      </c>
      <c r="G5486" t="n">
        <v>1.6</v>
      </c>
      <c r="H5486" t="n">
        <v>0</v>
      </c>
      <c r="I5486" t="n">
        <v>0</v>
      </c>
      <c r="J5486" t="n">
        <v>0</v>
      </c>
      <c r="K5486" t="n">
        <v>0</v>
      </c>
      <c r="L5486" t="n">
        <v>0</v>
      </c>
      <c r="M5486" t="n">
        <v>0</v>
      </c>
      <c r="N5486" t="n">
        <v>0</v>
      </c>
      <c r="O5486" t="n">
        <v>0</v>
      </c>
      <c r="P5486" t="n">
        <v>0</v>
      </c>
      <c r="Q5486" t="n">
        <v>0</v>
      </c>
      <c r="R5486" s="2" t="inlineStr"/>
    </row>
    <row r="5487" ht="15" customHeight="1">
      <c r="A5487" t="inlineStr">
        <is>
          <t>A 46918-2023</t>
        </is>
      </c>
      <c r="B5487" s="1" t="n">
        <v>45201.39597222222</v>
      </c>
      <c r="C5487" s="1" t="n">
        <v>45962</v>
      </c>
      <c r="D5487" t="inlineStr">
        <is>
          <t>JÖNKÖPINGS LÄN</t>
        </is>
      </c>
      <c r="E5487" t="inlineStr">
        <is>
          <t>EKSJÖ</t>
        </is>
      </c>
      <c r="G5487" t="n">
        <v>2.5</v>
      </c>
      <c r="H5487" t="n">
        <v>0</v>
      </c>
      <c r="I5487" t="n">
        <v>0</v>
      </c>
      <c r="J5487" t="n">
        <v>0</v>
      </c>
      <c r="K5487" t="n">
        <v>0</v>
      </c>
      <c r="L5487" t="n">
        <v>0</v>
      </c>
      <c r="M5487" t="n">
        <v>0</v>
      </c>
      <c r="N5487" t="n">
        <v>0</v>
      </c>
      <c r="O5487" t="n">
        <v>0</v>
      </c>
      <c r="P5487" t="n">
        <v>0</v>
      </c>
      <c r="Q5487" t="n">
        <v>0</v>
      </c>
      <c r="R5487" s="2" t="inlineStr"/>
    </row>
    <row r="5488" ht="15" customHeight="1">
      <c r="A5488" t="inlineStr">
        <is>
          <t>A 49187-2023</t>
        </is>
      </c>
      <c r="B5488" s="1" t="n">
        <v>45205</v>
      </c>
      <c r="C5488" s="1" t="n">
        <v>45962</v>
      </c>
      <c r="D5488" t="inlineStr">
        <is>
          <t>JÖNKÖPINGS LÄN</t>
        </is>
      </c>
      <c r="E5488" t="inlineStr">
        <is>
          <t>VÄRNAMO</t>
        </is>
      </c>
      <c r="G5488" t="n">
        <v>5.3</v>
      </c>
      <c r="H5488" t="n">
        <v>0</v>
      </c>
      <c r="I5488" t="n">
        <v>0</v>
      </c>
      <c r="J5488" t="n">
        <v>0</v>
      </c>
      <c r="K5488" t="n">
        <v>0</v>
      </c>
      <c r="L5488" t="n">
        <v>0</v>
      </c>
      <c r="M5488" t="n">
        <v>0</v>
      </c>
      <c r="N5488" t="n">
        <v>0</v>
      </c>
      <c r="O5488" t="n">
        <v>0</v>
      </c>
      <c r="P5488" t="n">
        <v>0</v>
      </c>
      <c r="Q5488" t="n">
        <v>0</v>
      </c>
      <c r="R5488" s="2" t="inlineStr"/>
    </row>
    <row r="5489" ht="15" customHeight="1">
      <c r="A5489" t="inlineStr">
        <is>
          <t>A 33087-2025</t>
        </is>
      </c>
      <c r="B5489" s="1" t="n">
        <v>45840</v>
      </c>
      <c r="C5489" s="1" t="n">
        <v>45962</v>
      </c>
      <c r="D5489" t="inlineStr">
        <is>
          <t>JÖNKÖPINGS LÄN</t>
        </is>
      </c>
      <c r="E5489" t="inlineStr">
        <is>
          <t>VETLANDA</t>
        </is>
      </c>
      <c r="G5489" t="n">
        <v>2.1</v>
      </c>
      <c r="H5489" t="n">
        <v>0</v>
      </c>
      <c r="I5489" t="n">
        <v>0</v>
      </c>
      <c r="J5489" t="n">
        <v>0</v>
      </c>
      <c r="K5489" t="n">
        <v>0</v>
      </c>
      <c r="L5489" t="n">
        <v>0</v>
      </c>
      <c r="M5489" t="n">
        <v>0</v>
      </c>
      <c r="N5489" t="n">
        <v>0</v>
      </c>
      <c r="O5489" t="n">
        <v>0</v>
      </c>
      <c r="P5489" t="n">
        <v>0</v>
      </c>
      <c r="Q5489" t="n">
        <v>0</v>
      </c>
      <c r="R5489" s="2" t="inlineStr"/>
    </row>
    <row r="5490" ht="15" customHeight="1">
      <c r="A5490" t="inlineStr">
        <is>
          <t>A 41481-2023</t>
        </is>
      </c>
      <c r="B5490" s="1" t="n">
        <v>45175.44625</v>
      </c>
      <c r="C5490" s="1" t="n">
        <v>45962</v>
      </c>
      <c r="D5490" t="inlineStr">
        <is>
          <t>JÖNKÖPINGS LÄN</t>
        </is>
      </c>
      <c r="E5490" t="inlineStr">
        <is>
          <t>JÖNKÖPING</t>
        </is>
      </c>
      <c r="G5490" t="n">
        <v>0.7</v>
      </c>
      <c r="H5490" t="n">
        <v>0</v>
      </c>
      <c r="I5490" t="n">
        <v>0</v>
      </c>
      <c r="J5490" t="n">
        <v>0</v>
      </c>
      <c r="K5490" t="n">
        <v>0</v>
      </c>
      <c r="L5490" t="n">
        <v>0</v>
      </c>
      <c r="M5490" t="n">
        <v>0</v>
      </c>
      <c r="N5490" t="n">
        <v>0</v>
      </c>
      <c r="O5490" t="n">
        <v>0</v>
      </c>
      <c r="P5490" t="n">
        <v>0</v>
      </c>
      <c r="Q5490" t="n">
        <v>0</v>
      </c>
      <c r="R5490" s="2" t="inlineStr"/>
    </row>
    <row r="5491" ht="15" customHeight="1">
      <c r="A5491" t="inlineStr">
        <is>
          <t>A 41496-2023</t>
        </is>
      </c>
      <c r="B5491" s="1" t="n">
        <v>45175.47060185186</v>
      </c>
      <c r="C5491" s="1" t="n">
        <v>45962</v>
      </c>
      <c r="D5491" t="inlineStr">
        <is>
          <t>JÖNKÖPINGS LÄN</t>
        </is>
      </c>
      <c r="E5491" t="inlineStr">
        <is>
          <t>TRANÅS</t>
        </is>
      </c>
      <c r="G5491" t="n">
        <v>0.8</v>
      </c>
      <c r="H5491" t="n">
        <v>0</v>
      </c>
      <c r="I5491" t="n">
        <v>0</v>
      </c>
      <c r="J5491" t="n">
        <v>0</v>
      </c>
      <c r="K5491" t="n">
        <v>0</v>
      </c>
      <c r="L5491" t="n">
        <v>0</v>
      </c>
      <c r="M5491" t="n">
        <v>0</v>
      </c>
      <c r="N5491" t="n">
        <v>0</v>
      </c>
      <c r="O5491" t="n">
        <v>0</v>
      </c>
      <c r="P5491" t="n">
        <v>0</v>
      </c>
      <c r="Q5491" t="n">
        <v>0</v>
      </c>
      <c r="R5491" s="2" t="inlineStr"/>
    </row>
    <row r="5492" ht="15" customHeight="1">
      <c r="A5492" t="inlineStr">
        <is>
          <t>A 24967-2023</t>
        </is>
      </c>
      <c r="B5492" s="1" t="n">
        <v>45085</v>
      </c>
      <c r="C5492" s="1" t="n">
        <v>45962</v>
      </c>
      <c r="D5492" t="inlineStr">
        <is>
          <t>JÖNKÖPINGS LÄN</t>
        </is>
      </c>
      <c r="E5492" t="inlineStr">
        <is>
          <t>TRANÅS</t>
        </is>
      </c>
      <c r="F5492" t="inlineStr">
        <is>
          <t>Kommuner</t>
        </is>
      </c>
      <c r="G5492" t="n">
        <v>1.5</v>
      </c>
      <c r="H5492" t="n">
        <v>0</v>
      </c>
      <c r="I5492" t="n">
        <v>0</v>
      </c>
      <c r="J5492" t="n">
        <v>0</v>
      </c>
      <c r="K5492" t="n">
        <v>0</v>
      </c>
      <c r="L5492" t="n">
        <v>0</v>
      </c>
      <c r="M5492" t="n">
        <v>0</v>
      </c>
      <c r="N5492" t="n">
        <v>0</v>
      </c>
      <c r="O5492" t="n">
        <v>0</v>
      </c>
      <c r="P5492" t="n">
        <v>0</v>
      </c>
      <c r="Q5492" t="n">
        <v>0</v>
      </c>
      <c r="R5492" s="2" t="inlineStr"/>
    </row>
    <row r="5493" ht="15" customHeight="1">
      <c r="A5493" t="inlineStr">
        <is>
          <t>A 67274-2021</t>
        </is>
      </c>
      <c r="B5493" s="1" t="n">
        <v>44523.60070601852</v>
      </c>
      <c r="C5493" s="1" t="n">
        <v>45962</v>
      </c>
      <c r="D5493" t="inlineStr">
        <is>
          <t>JÖNKÖPINGS LÄN</t>
        </is>
      </c>
      <c r="E5493" t="inlineStr">
        <is>
          <t>VETLANDA</t>
        </is>
      </c>
      <c r="G5493" t="n">
        <v>1.8</v>
      </c>
      <c r="H5493" t="n">
        <v>0</v>
      </c>
      <c r="I5493" t="n">
        <v>0</v>
      </c>
      <c r="J5493" t="n">
        <v>0</v>
      </c>
      <c r="K5493" t="n">
        <v>0</v>
      </c>
      <c r="L5493" t="n">
        <v>0</v>
      </c>
      <c r="M5493" t="n">
        <v>0</v>
      </c>
      <c r="N5493" t="n">
        <v>0</v>
      </c>
      <c r="O5493" t="n">
        <v>0</v>
      </c>
      <c r="P5493" t="n">
        <v>0</v>
      </c>
      <c r="Q5493" t="n">
        <v>0</v>
      </c>
      <c r="R5493" s="2" t="inlineStr"/>
    </row>
    <row r="5494" ht="15" customHeight="1">
      <c r="A5494" t="inlineStr">
        <is>
          <t>A 11716-2024</t>
        </is>
      </c>
      <c r="B5494" s="1" t="n">
        <v>45373.63032407407</v>
      </c>
      <c r="C5494" s="1" t="n">
        <v>45962</v>
      </c>
      <c r="D5494" t="inlineStr">
        <is>
          <t>JÖNKÖPINGS LÄN</t>
        </is>
      </c>
      <c r="E5494" t="inlineStr">
        <is>
          <t>NÄSSJÖ</t>
        </is>
      </c>
      <c r="G5494" t="n">
        <v>6</v>
      </c>
      <c r="H5494" t="n">
        <v>0</v>
      </c>
      <c r="I5494" t="n">
        <v>0</v>
      </c>
      <c r="J5494" t="n">
        <v>0</v>
      </c>
      <c r="K5494" t="n">
        <v>0</v>
      </c>
      <c r="L5494" t="n">
        <v>0</v>
      </c>
      <c r="M5494" t="n">
        <v>0</v>
      </c>
      <c r="N5494" t="n">
        <v>0</v>
      </c>
      <c r="O5494" t="n">
        <v>0</v>
      </c>
      <c r="P5494" t="n">
        <v>0</v>
      </c>
      <c r="Q5494" t="n">
        <v>0</v>
      </c>
      <c r="R5494" s="2" t="inlineStr"/>
    </row>
    <row r="5495" ht="15" customHeight="1">
      <c r="A5495" t="inlineStr">
        <is>
          <t>A 33679-2025</t>
        </is>
      </c>
      <c r="B5495" s="1" t="n">
        <v>45841.679375</v>
      </c>
      <c r="C5495" s="1" t="n">
        <v>45962</v>
      </c>
      <c r="D5495" t="inlineStr">
        <is>
          <t>JÖNKÖPINGS LÄN</t>
        </is>
      </c>
      <c r="E5495" t="inlineStr">
        <is>
          <t>VETLANDA</t>
        </is>
      </c>
      <c r="G5495" t="n">
        <v>2.1</v>
      </c>
      <c r="H5495" t="n">
        <v>0</v>
      </c>
      <c r="I5495" t="n">
        <v>0</v>
      </c>
      <c r="J5495" t="n">
        <v>0</v>
      </c>
      <c r="K5495" t="n">
        <v>0</v>
      </c>
      <c r="L5495" t="n">
        <v>0</v>
      </c>
      <c r="M5495" t="n">
        <v>0</v>
      </c>
      <c r="N5495" t="n">
        <v>0</v>
      </c>
      <c r="O5495" t="n">
        <v>0</v>
      </c>
      <c r="P5495" t="n">
        <v>0</v>
      </c>
      <c r="Q5495" t="n">
        <v>0</v>
      </c>
      <c r="R5495" s="2" t="inlineStr"/>
    </row>
    <row r="5496" ht="15" customHeight="1">
      <c r="A5496" t="inlineStr">
        <is>
          <t>A 32826-2023</t>
        </is>
      </c>
      <c r="B5496" s="1" t="n">
        <v>45124.57806712963</v>
      </c>
      <c r="C5496" s="1" t="n">
        <v>45962</v>
      </c>
      <c r="D5496" t="inlineStr">
        <is>
          <t>JÖNKÖPINGS LÄN</t>
        </is>
      </c>
      <c r="E5496" t="inlineStr">
        <is>
          <t>GNOSJÖ</t>
        </is>
      </c>
      <c r="G5496" t="n">
        <v>0.4</v>
      </c>
      <c r="H5496" t="n">
        <v>0</v>
      </c>
      <c r="I5496" t="n">
        <v>0</v>
      </c>
      <c r="J5496" t="n">
        <v>0</v>
      </c>
      <c r="K5496" t="n">
        <v>0</v>
      </c>
      <c r="L5496" t="n">
        <v>0</v>
      </c>
      <c r="M5496" t="n">
        <v>0</v>
      </c>
      <c r="N5496" t="n">
        <v>0</v>
      </c>
      <c r="O5496" t="n">
        <v>0</v>
      </c>
      <c r="P5496" t="n">
        <v>0</v>
      </c>
      <c r="Q5496" t="n">
        <v>0</v>
      </c>
      <c r="R5496" s="2" t="inlineStr"/>
    </row>
    <row r="5497" ht="15" customHeight="1">
      <c r="A5497" t="inlineStr">
        <is>
          <t>A 33313-2025</t>
        </is>
      </c>
      <c r="B5497" s="1" t="n">
        <v>45841.33402777778</v>
      </c>
      <c r="C5497" s="1" t="n">
        <v>45962</v>
      </c>
      <c r="D5497" t="inlineStr">
        <is>
          <t>JÖNKÖPINGS LÄN</t>
        </is>
      </c>
      <c r="E5497" t="inlineStr">
        <is>
          <t>VETLANDA</t>
        </is>
      </c>
      <c r="G5497" t="n">
        <v>0.9</v>
      </c>
      <c r="H5497" t="n">
        <v>0</v>
      </c>
      <c r="I5497" t="n">
        <v>0</v>
      </c>
      <c r="J5497" t="n">
        <v>0</v>
      </c>
      <c r="K5497" t="n">
        <v>0</v>
      </c>
      <c r="L5497" t="n">
        <v>0</v>
      </c>
      <c r="M5497" t="n">
        <v>0</v>
      </c>
      <c r="N5497" t="n">
        <v>0</v>
      </c>
      <c r="O5497" t="n">
        <v>0</v>
      </c>
      <c r="P5497" t="n">
        <v>0</v>
      </c>
      <c r="Q5497" t="n">
        <v>0</v>
      </c>
      <c r="R5497" s="2" t="inlineStr"/>
    </row>
    <row r="5498" ht="15" customHeight="1">
      <c r="A5498" t="inlineStr">
        <is>
          <t>A 32684-2024</t>
        </is>
      </c>
      <c r="B5498" s="1" t="n">
        <v>45515.49909722222</v>
      </c>
      <c r="C5498" s="1" t="n">
        <v>45962</v>
      </c>
      <c r="D5498" t="inlineStr">
        <is>
          <t>JÖNKÖPINGS LÄN</t>
        </is>
      </c>
      <c r="E5498" t="inlineStr">
        <is>
          <t>GISLAVED</t>
        </is>
      </c>
      <c r="G5498" t="n">
        <v>4.2</v>
      </c>
      <c r="H5498" t="n">
        <v>0</v>
      </c>
      <c r="I5498" t="n">
        <v>0</v>
      </c>
      <c r="J5498" t="n">
        <v>0</v>
      </c>
      <c r="K5498" t="n">
        <v>0</v>
      </c>
      <c r="L5498" t="n">
        <v>0</v>
      </c>
      <c r="M5498" t="n">
        <v>0</v>
      </c>
      <c r="N5498" t="n">
        <v>0</v>
      </c>
      <c r="O5498" t="n">
        <v>0</v>
      </c>
      <c r="P5498" t="n">
        <v>0</v>
      </c>
      <c r="Q5498" t="n">
        <v>0</v>
      </c>
      <c r="R5498" s="2" t="inlineStr"/>
    </row>
    <row r="5499" ht="15" customHeight="1">
      <c r="A5499" t="inlineStr">
        <is>
          <t>A 33341-2025</t>
        </is>
      </c>
      <c r="B5499" s="1" t="n">
        <v>45841.36141203704</v>
      </c>
      <c r="C5499" s="1" t="n">
        <v>45962</v>
      </c>
      <c r="D5499" t="inlineStr">
        <is>
          <t>JÖNKÖPINGS LÄN</t>
        </is>
      </c>
      <c r="E5499" t="inlineStr">
        <is>
          <t>VÄRNAMO</t>
        </is>
      </c>
      <c r="G5499" t="n">
        <v>5.6</v>
      </c>
      <c r="H5499" t="n">
        <v>0</v>
      </c>
      <c r="I5499" t="n">
        <v>0</v>
      </c>
      <c r="J5499" t="n">
        <v>0</v>
      </c>
      <c r="K5499" t="n">
        <v>0</v>
      </c>
      <c r="L5499" t="n">
        <v>0</v>
      </c>
      <c r="M5499" t="n">
        <v>0</v>
      </c>
      <c r="N5499" t="n">
        <v>0</v>
      </c>
      <c r="O5499" t="n">
        <v>0</v>
      </c>
      <c r="P5499" t="n">
        <v>0</v>
      </c>
      <c r="Q5499" t="n">
        <v>0</v>
      </c>
      <c r="R5499" s="2" t="inlineStr"/>
    </row>
    <row r="5500" ht="15" customHeight="1">
      <c r="A5500" t="inlineStr">
        <is>
          <t>A 33369-2025</t>
        </is>
      </c>
      <c r="B5500" s="1" t="n">
        <v>45841.39032407408</v>
      </c>
      <c r="C5500" s="1" t="n">
        <v>45962</v>
      </c>
      <c r="D5500" t="inlineStr">
        <is>
          <t>JÖNKÖPINGS LÄN</t>
        </is>
      </c>
      <c r="E5500" t="inlineStr">
        <is>
          <t>VÄRNAMO</t>
        </is>
      </c>
      <c r="G5500" t="n">
        <v>7.7</v>
      </c>
      <c r="H5500" t="n">
        <v>0</v>
      </c>
      <c r="I5500" t="n">
        <v>0</v>
      </c>
      <c r="J5500" t="n">
        <v>0</v>
      </c>
      <c r="K5500" t="n">
        <v>0</v>
      </c>
      <c r="L5500" t="n">
        <v>0</v>
      </c>
      <c r="M5500" t="n">
        <v>0</v>
      </c>
      <c r="N5500" t="n">
        <v>0</v>
      </c>
      <c r="O5500" t="n">
        <v>0</v>
      </c>
      <c r="P5500" t="n">
        <v>0</v>
      </c>
      <c r="Q5500" t="n">
        <v>0</v>
      </c>
      <c r="R5500" s="2" t="inlineStr"/>
    </row>
    <row r="5501" ht="15" customHeight="1">
      <c r="A5501" t="inlineStr">
        <is>
          <t>A 47888-2023</t>
        </is>
      </c>
      <c r="B5501" s="1" t="n">
        <v>45204.48375</v>
      </c>
      <c r="C5501" s="1" t="n">
        <v>45962</v>
      </c>
      <c r="D5501" t="inlineStr">
        <is>
          <t>JÖNKÖPINGS LÄN</t>
        </is>
      </c>
      <c r="E5501" t="inlineStr">
        <is>
          <t>VETLANDA</t>
        </is>
      </c>
      <c r="G5501" t="n">
        <v>4.3</v>
      </c>
      <c r="H5501" t="n">
        <v>0</v>
      </c>
      <c r="I5501" t="n">
        <v>0</v>
      </c>
      <c r="J5501" t="n">
        <v>0</v>
      </c>
      <c r="K5501" t="n">
        <v>0</v>
      </c>
      <c r="L5501" t="n">
        <v>0</v>
      </c>
      <c r="M5501" t="n">
        <v>0</v>
      </c>
      <c r="N5501" t="n">
        <v>0</v>
      </c>
      <c r="O5501" t="n">
        <v>0</v>
      </c>
      <c r="P5501" t="n">
        <v>0</v>
      </c>
      <c r="Q5501" t="n">
        <v>0</v>
      </c>
      <c r="R5501" s="2" t="inlineStr"/>
    </row>
    <row r="5502" ht="15" customHeight="1">
      <c r="A5502" t="inlineStr">
        <is>
          <t>A 33370-2025</t>
        </is>
      </c>
      <c r="B5502" s="1" t="n">
        <v>45841.39175925926</v>
      </c>
      <c r="C5502" s="1" t="n">
        <v>45962</v>
      </c>
      <c r="D5502" t="inlineStr">
        <is>
          <t>JÖNKÖPINGS LÄN</t>
        </is>
      </c>
      <c r="E5502" t="inlineStr">
        <is>
          <t>VÄRNAMO</t>
        </is>
      </c>
      <c r="G5502" t="n">
        <v>2</v>
      </c>
      <c r="H5502" t="n">
        <v>0</v>
      </c>
      <c r="I5502" t="n">
        <v>0</v>
      </c>
      <c r="J5502" t="n">
        <v>0</v>
      </c>
      <c r="K5502" t="n">
        <v>0</v>
      </c>
      <c r="L5502" t="n">
        <v>0</v>
      </c>
      <c r="M5502" t="n">
        <v>0</v>
      </c>
      <c r="N5502" t="n">
        <v>0</v>
      </c>
      <c r="O5502" t="n">
        <v>0</v>
      </c>
      <c r="P5502" t="n">
        <v>0</v>
      </c>
      <c r="Q5502" t="n">
        <v>0</v>
      </c>
      <c r="R5502" s="2" t="inlineStr"/>
    </row>
    <row r="5503" ht="15" customHeight="1">
      <c r="A5503" t="inlineStr">
        <is>
          <t>A 12533-2024</t>
        </is>
      </c>
      <c r="B5503" s="1" t="n">
        <v>45379.6220949074</v>
      </c>
      <c r="C5503" s="1" t="n">
        <v>45962</v>
      </c>
      <c r="D5503" t="inlineStr">
        <is>
          <t>JÖNKÖPINGS LÄN</t>
        </is>
      </c>
      <c r="E5503" t="inlineStr">
        <is>
          <t>ANEBY</t>
        </is>
      </c>
      <c r="G5503" t="n">
        <v>2.9</v>
      </c>
      <c r="H5503" t="n">
        <v>0</v>
      </c>
      <c r="I5503" t="n">
        <v>0</v>
      </c>
      <c r="J5503" t="n">
        <v>0</v>
      </c>
      <c r="K5503" t="n">
        <v>0</v>
      </c>
      <c r="L5503" t="n">
        <v>0</v>
      </c>
      <c r="M5503" t="n">
        <v>0</v>
      </c>
      <c r="N5503" t="n">
        <v>0</v>
      </c>
      <c r="O5503" t="n">
        <v>0</v>
      </c>
      <c r="P5503" t="n">
        <v>0</v>
      </c>
      <c r="Q5503" t="n">
        <v>0</v>
      </c>
      <c r="R5503" s="2" t="inlineStr"/>
    </row>
    <row r="5504" ht="15" customHeight="1">
      <c r="A5504" t="inlineStr">
        <is>
          <t>A 16675-2024</t>
        </is>
      </c>
      <c r="B5504" s="1" t="n">
        <v>45408.67427083333</v>
      </c>
      <c r="C5504" s="1" t="n">
        <v>45962</v>
      </c>
      <c r="D5504" t="inlineStr">
        <is>
          <t>JÖNKÖPINGS LÄN</t>
        </is>
      </c>
      <c r="E5504" t="inlineStr">
        <is>
          <t>JÖNKÖPING</t>
        </is>
      </c>
      <c r="F5504" t="inlineStr">
        <is>
          <t>Sveaskog</t>
        </is>
      </c>
      <c r="G5504" t="n">
        <v>3.5</v>
      </c>
      <c r="H5504" t="n">
        <v>0</v>
      </c>
      <c r="I5504" t="n">
        <v>0</v>
      </c>
      <c r="J5504" t="n">
        <v>0</v>
      </c>
      <c r="K5504" t="n">
        <v>0</v>
      </c>
      <c r="L5504" t="n">
        <v>0</v>
      </c>
      <c r="M5504" t="n">
        <v>0</v>
      </c>
      <c r="N5504" t="n">
        <v>0</v>
      </c>
      <c r="O5504" t="n">
        <v>0</v>
      </c>
      <c r="P5504" t="n">
        <v>0</v>
      </c>
      <c r="Q5504" t="n">
        <v>0</v>
      </c>
      <c r="R5504" s="2" t="inlineStr"/>
    </row>
    <row r="5505" ht="15" customHeight="1">
      <c r="A5505" t="inlineStr">
        <is>
          <t>A 33402-2025</t>
        </is>
      </c>
      <c r="B5505" s="1" t="n">
        <v>45841.42442129629</v>
      </c>
      <c r="C5505" s="1" t="n">
        <v>45962</v>
      </c>
      <c r="D5505" t="inlineStr">
        <is>
          <t>JÖNKÖPINGS LÄN</t>
        </is>
      </c>
      <c r="E5505" t="inlineStr">
        <is>
          <t>NÄSSJÖ</t>
        </is>
      </c>
      <c r="G5505" t="n">
        <v>1.5</v>
      </c>
      <c r="H5505" t="n">
        <v>0</v>
      </c>
      <c r="I5505" t="n">
        <v>0</v>
      </c>
      <c r="J5505" t="n">
        <v>0</v>
      </c>
      <c r="K5505" t="n">
        <v>0</v>
      </c>
      <c r="L5505" t="n">
        <v>0</v>
      </c>
      <c r="M5505" t="n">
        <v>0</v>
      </c>
      <c r="N5505" t="n">
        <v>0</v>
      </c>
      <c r="O5505" t="n">
        <v>0</v>
      </c>
      <c r="P5505" t="n">
        <v>0</v>
      </c>
      <c r="Q5505" t="n">
        <v>0</v>
      </c>
      <c r="R5505" s="2" t="inlineStr"/>
    </row>
    <row r="5506" ht="15" customHeight="1">
      <c r="A5506" t="inlineStr">
        <is>
          <t>A 31730-2024</t>
        </is>
      </c>
      <c r="B5506" s="1" t="n">
        <v>45509.36181712963</v>
      </c>
      <c r="C5506" s="1" t="n">
        <v>45962</v>
      </c>
      <c r="D5506" t="inlineStr">
        <is>
          <t>JÖNKÖPINGS LÄN</t>
        </is>
      </c>
      <c r="E5506" t="inlineStr">
        <is>
          <t>VÄRNAMO</t>
        </is>
      </c>
      <c r="G5506" t="n">
        <v>2.2</v>
      </c>
      <c r="H5506" t="n">
        <v>0</v>
      </c>
      <c r="I5506" t="n">
        <v>0</v>
      </c>
      <c r="J5506" t="n">
        <v>0</v>
      </c>
      <c r="K5506" t="n">
        <v>0</v>
      </c>
      <c r="L5506" t="n">
        <v>0</v>
      </c>
      <c r="M5506" t="n">
        <v>0</v>
      </c>
      <c r="N5506" t="n">
        <v>0</v>
      </c>
      <c r="O5506" t="n">
        <v>0</v>
      </c>
      <c r="P5506" t="n">
        <v>0</v>
      </c>
      <c r="Q5506" t="n">
        <v>0</v>
      </c>
      <c r="R5506" s="2" t="inlineStr"/>
    </row>
    <row r="5507" ht="15" customHeight="1">
      <c r="A5507" t="inlineStr">
        <is>
          <t>A 33574-2025</t>
        </is>
      </c>
      <c r="B5507" s="1" t="n">
        <v>45841.58924768519</v>
      </c>
      <c r="C5507" s="1" t="n">
        <v>45962</v>
      </c>
      <c r="D5507" t="inlineStr">
        <is>
          <t>JÖNKÖPINGS LÄN</t>
        </is>
      </c>
      <c r="E5507" t="inlineStr">
        <is>
          <t>VETLANDA</t>
        </is>
      </c>
      <c r="G5507" t="n">
        <v>2.5</v>
      </c>
      <c r="H5507" t="n">
        <v>0</v>
      </c>
      <c r="I5507" t="n">
        <v>0</v>
      </c>
      <c r="J5507" t="n">
        <v>0</v>
      </c>
      <c r="K5507" t="n">
        <v>0</v>
      </c>
      <c r="L5507" t="n">
        <v>0</v>
      </c>
      <c r="M5507" t="n">
        <v>0</v>
      </c>
      <c r="N5507" t="n">
        <v>0</v>
      </c>
      <c r="O5507" t="n">
        <v>0</v>
      </c>
      <c r="P5507" t="n">
        <v>0</v>
      </c>
      <c r="Q5507" t="n">
        <v>0</v>
      </c>
      <c r="R5507" s="2" t="inlineStr"/>
    </row>
    <row r="5508" ht="15" customHeight="1">
      <c r="A5508" t="inlineStr">
        <is>
          <t>A 35704-2024</t>
        </is>
      </c>
      <c r="B5508" s="1" t="n">
        <v>45532.46266203704</v>
      </c>
      <c r="C5508" s="1" t="n">
        <v>45962</v>
      </c>
      <c r="D5508" t="inlineStr">
        <is>
          <t>JÖNKÖPINGS LÄN</t>
        </is>
      </c>
      <c r="E5508" t="inlineStr">
        <is>
          <t>VAGGERYD</t>
        </is>
      </c>
      <c r="G5508" t="n">
        <v>0.9</v>
      </c>
      <c r="H5508" t="n">
        <v>0</v>
      </c>
      <c r="I5508" t="n">
        <v>0</v>
      </c>
      <c r="J5508" t="n">
        <v>0</v>
      </c>
      <c r="K5508" t="n">
        <v>0</v>
      </c>
      <c r="L5508" t="n">
        <v>0</v>
      </c>
      <c r="M5508" t="n">
        <v>0</v>
      </c>
      <c r="N5508" t="n">
        <v>0</v>
      </c>
      <c r="O5508" t="n">
        <v>0</v>
      </c>
      <c r="P5508" t="n">
        <v>0</v>
      </c>
      <c r="Q5508" t="n">
        <v>0</v>
      </c>
      <c r="R5508" s="2" t="inlineStr"/>
    </row>
    <row r="5509" ht="15" customHeight="1">
      <c r="A5509" t="inlineStr">
        <is>
          <t>A 6980-2021</t>
        </is>
      </c>
      <c r="B5509" s="1" t="n">
        <v>44237</v>
      </c>
      <c r="C5509" s="1" t="n">
        <v>45962</v>
      </c>
      <c r="D5509" t="inlineStr">
        <is>
          <t>JÖNKÖPINGS LÄN</t>
        </is>
      </c>
      <c r="E5509" t="inlineStr">
        <is>
          <t>MULLSJÖ</t>
        </is>
      </c>
      <c r="G5509" t="n">
        <v>6.4</v>
      </c>
      <c r="H5509" t="n">
        <v>0</v>
      </c>
      <c r="I5509" t="n">
        <v>0</v>
      </c>
      <c r="J5509" t="n">
        <v>0</v>
      </c>
      <c r="K5509" t="n">
        <v>0</v>
      </c>
      <c r="L5509" t="n">
        <v>0</v>
      </c>
      <c r="M5509" t="n">
        <v>0</v>
      </c>
      <c r="N5509" t="n">
        <v>0</v>
      </c>
      <c r="O5509" t="n">
        <v>0</v>
      </c>
      <c r="P5509" t="n">
        <v>0</v>
      </c>
      <c r="Q5509" t="n">
        <v>0</v>
      </c>
      <c r="R5509" s="2" t="inlineStr"/>
    </row>
    <row r="5510" ht="15" customHeight="1">
      <c r="A5510" t="inlineStr">
        <is>
          <t>A 33377-2025</t>
        </is>
      </c>
      <c r="B5510" s="1" t="n">
        <v>45841.40001157407</v>
      </c>
      <c r="C5510" s="1" t="n">
        <v>45962</v>
      </c>
      <c r="D5510" t="inlineStr">
        <is>
          <t>JÖNKÖPINGS LÄN</t>
        </is>
      </c>
      <c r="E5510" t="inlineStr">
        <is>
          <t>VÄRNAMO</t>
        </is>
      </c>
      <c r="G5510" t="n">
        <v>0.2</v>
      </c>
      <c r="H5510" t="n">
        <v>0</v>
      </c>
      <c r="I5510" t="n">
        <v>0</v>
      </c>
      <c r="J5510" t="n">
        <v>0</v>
      </c>
      <c r="K5510" t="n">
        <v>0</v>
      </c>
      <c r="L5510" t="n">
        <v>0</v>
      </c>
      <c r="M5510" t="n">
        <v>0</v>
      </c>
      <c r="N5510" t="n">
        <v>0</v>
      </c>
      <c r="O5510" t="n">
        <v>0</v>
      </c>
      <c r="P5510" t="n">
        <v>0</v>
      </c>
      <c r="Q5510" t="n">
        <v>0</v>
      </c>
      <c r="R5510" s="2" t="inlineStr"/>
    </row>
    <row r="5511" ht="15" customHeight="1">
      <c r="A5511" t="inlineStr">
        <is>
          <t>A 33378-2025</t>
        </is>
      </c>
      <c r="B5511" s="1" t="n">
        <v>45841.40145833333</v>
      </c>
      <c r="C5511" s="1" t="n">
        <v>45962</v>
      </c>
      <c r="D5511" t="inlineStr">
        <is>
          <t>JÖNKÖPINGS LÄN</t>
        </is>
      </c>
      <c r="E5511" t="inlineStr">
        <is>
          <t>VÄRNAMO</t>
        </is>
      </c>
      <c r="G5511" t="n">
        <v>0.5</v>
      </c>
      <c r="H5511" t="n">
        <v>0</v>
      </c>
      <c r="I5511" t="n">
        <v>0</v>
      </c>
      <c r="J5511" t="n">
        <v>0</v>
      </c>
      <c r="K5511" t="n">
        <v>0</v>
      </c>
      <c r="L5511" t="n">
        <v>0</v>
      </c>
      <c r="M5511" t="n">
        <v>0</v>
      </c>
      <c r="N5511" t="n">
        <v>0</v>
      </c>
      <c r="O5511" t="n">
        <v>0</v>
      </c>
      <c r="P5511" t="n">
        <v>0</v>
      </c>
      <c r="Q5511" t="n">
        <v>0</v>
      </c>
      <c r="R5511" s="2" t="inlineStr"/>
    </row>
    <row r="5512" ht="15" customHeight="1">
      <c r="A5512" t="inlineStr">
        <is>
          <t>A 33383-2025</t>
        </is>
      </c>
      <c r="B5512" s="1" t="n">
        <v>45841</v>
      </c>
      <c r="C5512" s="1" t="n">
        <v>45962</v>
      </c>
      <c r="D5512" t="inlineStr">
        <is>
          <t>JÖNKÖPINGS LÄN</t>
        </is>
      </c>
      <c r="E5512" t="inlineStr">
        <is>
          <t>VÄRNAMO</t>
        </is>
      </c>
      <c r="G5512" t="n">
        <v>1.4</v>
      </c>
      <c r="H5512" t="n">
        <v>0</v>
      </c>
      <c r="I5512" t="n">
        <v>0</v>
      </c>
      <c r="J5512" t="n">
        <v>0</v>
      </c>
      <c r="K5512" t="n">
        <v>0</v>
      </c>
      <c r="L5512" t="n">
        <v>0</v>
      </c>
      <c r="M5512" t="n">
        <v>0</v>
      </c>
      <c r="N5512" t="n">
        <v>0</v>
      </c>
      <c r="O5512" t="n">
        <v>0</v>
      </c>
      <c r="P5512" t="n">
        <v>0</v>
      </c>
      <c r="Q5512" t="n">
        <v>0</v>
      </c>
      <c r="R5512" s="2" t="inlineStr"/>
    </row>
    <row r="5513" ht="15" customHeight="1">
      <c r="A5513" t="inlineStr">
        <is>
          <t>A 33387-2025</t>
        </is>
      </c>
      <c r="B5513" s="1" t="n">
        <v>45841.40612268518</v>
      </c>
      <c r="C5513" s="1" t="n">
        <v>45962</v>
      </c>
      <c r="D5513" t="inlineStr">
        <is>
          <t>JÖNKÖPINGS LÄN</t>
        </is>
      </c>
      <c r="E5513" t="inlineStr">
        <is>
          <t>VÄRNAMO</t>
        </is>
      </c>
      <c r="G5513" t="n">
        <v>2.1</v>
      </c>
      <c r="H5513" t="n">
        <v>0</v>
      </c>
      <c r="I5513" t="n">
        <v>0</v>
      </c>
      <c r="J5513" t="n">
        <v>0</v>
      </c>
      <c r="K5513" t="n">
        <v>0</v>
      </c>
      <c r="L5513" t="n">
        <v>0</v>
      </c>
      <c r="M5513" t="n">
        <v>0</v>
      </c>
      <c r="N5513" t="n">
        <v>0</v>
      </c>
      <c r="O5513" t="n">
        <v>0</v>
      </c>
      <c r="P5513" t="n">
        <v>0</v>
      </c>
      <c r="Q5513" t="n">
        <v>0</v>
      </c>
      <c r="R5513" s="2" t="inlineStr"/>
    </row>
    <row r="5514" ht="15" customHeight="1">
      <c r="A5514" t="inlineStr">
        <is>
          <t>A 25262-2023</t>
        </is>
      </c>
      <c r="B5514" s="1" t="n">
        <v>45086.66017361111</v>
      </c>
      <c r="C5514" s="1" t="n">
        <v>45962</v>
      </c>
      <c r="D5514" t="inlineStr">
        <is>
          <t>JÖNKÖPINGS LÄN</t>
        </is>
      </c>
      <c r="E5514" t="inlineStr">
        <is>
          <t>EKSJÖ</t>
        </is>
      </c>
      <c r="G5514" t="n">
        <v>1.1</v>
      </c>
      <c r="H5514" t="n">
        <v>0</v>
      </c>
      <c r="I5514" t="n">
        <v>0</v>
      </c>
      <c r="J5514" t="n">
        <v>0</v>
      </c>
      <c r="K5514" t="n">
        <v>0</v>
      </c>
      <c r="L5514" t="n">
        <v>0</v>
      </c>
      <c r="M5514" t="n">
        <v>0</v>
      </c>
      <c r="N5514" t="n">
        <v>0</v>
      </c>
      <c r="O5514" t="n">
        <v>0</v>
      </c>
      <c r="P5514" t="n">
        <v>0</v>
      </c>
      <c r="Q5514" t="n">
        <v>0</v>
      </c>
      <c r="R5514" s="2" t="inlineStr"/>
    </row>
    <row r="5515" ht="15" customHeight="1">
      <c r="A5515" t="inlineStr">
        <is>
          <t>A 33417-2025</t>
        </is>
      </c>
      <c r="B5515" s="1" t="n">
        <v>45841.4390625</v>
      </c>
      <c r="C5515" s="1" t="n">
        <v>45962</v>
      </c>
      <c r="D5515" t="inlineStr">
        <is>
          <t>JÖNKÖPINGS LÄN</t>
        </is>
      </c>
      <c r="E5515" t="inlineStr">
        <is>
          <t>JÖNKÖPING</t>
        </is>
      </c>
      <c r="G5515" t="n">
        <v>1.9</v>
      </c>
      <c r="H5515" t="n">
        <v>0</v>
      </c>
      <c r="I5515" t="n">
        <v>0</v>
      </c>
      <c r="J5515" t="n">
        <v>0</v>
      </c>
      <c r="K5515" t="n">
        <v>0</v>
      </c>
      <c r="L5515" t="n">
        <v>0</v>
      </c>
      <c r="M5515" t="n">
        <v>0</v>
      </c>
      <c r="N5515" t="n">
        <v>0</v>
      </c>
      <c r="O5515" t="n">
        <v>0</v>
      </c>
      <c r="P5515" t="n">
        <v>0</v>
      </c>
      <c r="Q5515" t="n">
        <v>0</v>
      </c>
      <c r="R5515" s="2" t="inlineStr"/>
    </row>
    <row r="5516" ht="15" customHeight="1">
      <c r="A5516" t="inlineStr">
        <is>
          <t>A 33419-2025</t>
        </is>
      </c>
      <c r="B5516" s="1" t="n">
        <v>45841.44113425926</v>
      </c>
      <c r="C5516" s="1" t="n">
        <v>45962</v>
      </c>
      <c r="D5516" t="inlineStr">
        <is>
          <t>JÖNKÖPINGS LÄN</t>
        </is>
      </c>
      <c r="E5516" t="inlineStr">
        <is>
          <t>NÄSSJÖ</t>
        </is>
      </c>
      <c r="G5516" t="n">
        <v>1.3</v>
      </c>
      <c r="H5516" t="n">
        <v>0</v>
      </c>
      <c r="I5516" t="n">
        <v>0</v>
      </c>
      <c r="J5516" t="n">
        <v>0</v>
      </c>
      <c r="K5516" t="n">
        <v>0</v>
      </c>
      <c r="L5516" t="n">
        <v>0</v>
      </c>
      <c r="M5516" t="n">
        <v>0</v>
      </c>
      <c r="N5516" t="n">
        <v>0</v>
      </c>
      <c r="O5516" t="n">
        <v>0</v>
      </c>
      <c r="P5516" t="n">
        <v>0</v>
      </c>
      <c r="Q5516" t="n">
        <v>0</v>
      </c>
      <c r="R5516" s="2" t="inlineStr"/>
    </row>
    <row r="5517" ht="15" customHeight="1">
      <c r="A5517" t="inlineStr">
        <is>
          <t>A 57666-2023</t>
        </is>
      </c>
      <c r="B5517" s="1" t="n">
        <v>45246.62707175926</v>
      </c>
      <c r="C5517" s="1" t="n">
        <v>45962</v>
      </c>
      <c r="D5517" t="inlineStr">
        <is>
          <t>JÖNKÖPINGS LÄN</t>
        </is>
      </c>
      <c r="E5517" t="inlineStr">
        <is>
          <t>GISLAVED</t>
        </is>
      </c>
      <c r="G5517" t="n">
        <v>1.2</v>
      </c>
      <c r="H5517" t="n">
        <v>0</v>
      </c>
      <c r="I5517" t="n">
        <v>0</v>
      </c>
      <c r="J5517" t="n">
        <v>0</v>
      </c>
      <c r="K5517" t="n">
        <v>0</v>
      </c>
      <c r="L5517" t="n">
        <v>0</v>
      </c>
      <c r="M5517" t="n">
        <v>0</v>
      </c>
      <c r="N5517" t="n">
        <v>0</v>
      </c>
      <c r="O5517" t="n">
        <v>0</v>
      </c>
      <c r="P5517" t="n">
        <v>0</v>
      </c>
      <c r="Q5517" t="n">
        <v>0</v>
      </c>
      <c r="R5517" s="2" t="inlineStr"/>
    </row>
    <row r="5518" ht="15" customHeight="1">
      <c r="A5518" t="inlineStr">
        <is>
          <t>A 33492-2023</t>
        </is>
      </c>
      <c r="B5518" s="1" t="n">
        <v>45118</v>
      </c>
      <c r="C5518" s="1" t="n">
        <v>45962</v>
      </c>
      <c r="D5518" t="inlineStr">
        <is>
          <t>JÖNKÖPINGS LÄN</t>
        </is>
      </c>
      <c r="E5518" t="inlineStr">
        <is>
          <t>JÖNKÖPING</t>
        </is>
      </c>
      <c r="G5518" t="n">
        <v>2.7</v>
      </c>
      <c r="H5518" t="n">
        <v>0</v>
      </c>
      <c r="I5518" t="n">
        <v>0</v>
      </c>
      <c r="J5518" t="n">
        <v>0</v>
      </c>
      <c r="K5518" t="n">
        <v>0</v>
      </c>
      <c r="L5518" t="n">
        <v>0</v>
      </c>
      <c r="M5518" t="n">
        <v>0</v>
      </c>
      <c r="N5518" t="n">
        <v>0</v>
      </c>
      <c r="O5518" t="n">
        <v>0</v>
      </c>
      <c r="P5518" t="n">
        <v>0</v>
      </c>
      <c r="Q5518" t="n">
        <v>0</v>
      </c>
      <c r="R5518" s="2" t="inlineStr"/>
    </row>
    <row r="5519" ht="15" customHeight="1">
      <c r="A5519" t="inlineStr">
        <is>
          <t>A 8772-2024</t>
        </is>
      </c>
      <c r="B5519" s="1" t="n">
        <v>45356.55128472222</v>
      </c>
      <c r="C5519" s="1" t="n">
        <v>45962</v>
      </c>
      <c r="D5519" t="inlineStr">
        <is>
          <t>JÖNKÖPINGS LÄN</t>
        </is>
      </c>
      <c r="E5519" t="inlineStr">
        <is>
          <t>ANEBY</t>
        </is>
      </c>
      <c r="G5519" t="n">
        <v>0.7</v>
      </c>
      <c r="H5519" t="n">
        <v>0</v>
      </c>
      <c r="I5519" t="n">
        <v>0</v>
      </c>
      <c r="J5519" t="n">
        <v>0</v>
      </c>
      <c r="K5519" t="n">
        <v>0</v>
      </c>
      <c r="L5519" t="n">
        <v>0</v>
      </c>
      <c r="M5519" t="n">
        <v>0</v>
      </c>
      <c r="N5519" t="n">
        <v>0</v>
      </c>
      <c r="O5519" t="n">
        <v>0</v>
      </c>
      <c r="P5519" t="n">
        <v>0</v>
      </c>
      <c r="Q5519" t="n">
        <v>0</v>
      </c>
      <c r="R5519" s="2" t="inlineStr"/>
    </row>
    <row r="5520" ht="15" customHeight="1">
      <c r="A5520" t="inlineStr">
        <is>
          <t>A 33334-2025</t>
        </is>
      </c>
      <c r="B5520" s="1" t="n">
        <v>45841.35511574074</v>
      </c>
      <c r="C5520" s="1" t="n">
        <v>45962</v>
      </c>
      <c r="D5520" t="inlineStr">
        <is>
          <t>JÖNKÖPINGS LÄN</t>
        </is>
      </c>
      <c r="E5520" t="inlineStr">
        <is>
          <t>VETLANDA</t>
        </is>
      </c>
      <c r="G5520" t="n">
        <v>1.2</v>
      </c>
      <c r="H5520" t="n">
        <v>0</v>
      </c>
      <c r="I5520" t="n">
        <v>0</v>
      </c>
      <c r="J5520" t="n">
        <v>0</v>
      </c>
      <c r="K5520" t="n">
        <v>0</v>
      </c>
      <c r="L5520" t="n">
        <v>0</v>
      </c>
      <c r="M5520" t="n">
        <v>0</v>
      </c>
      <c r="N5520" t="n">
        <v>0</v>
      </c>
      <c r="O5520" t="n">
        <v>0</v>
      </c>
      <c r="P5520" t="n">
        <v>0</v>
      </c>
      <c r="Q5520" t="n">
        <v>0</v>
      </c>
      <c r="R5520" s="2" t="inlineStr"/>
    </row>
    <row r="5521" ht="15" customHeight="1">
      <c r="A5521" t="inlineStr">
        <is>
          <t>A 33026-2025</t>
        </is>
      </c>
      <c r="B5521" s="1" t="n">
        <v>45840.38122685185</v>
      </c>
      <c r="C5521" s="1" t="n">
        <v>45962</v>
      </c>
      <c r="D5521" t="inlineStr">
        <is>
          <t>JÖNKÖPINGS LÄN</t>
        </is>
      </c>
      <c r="E5521" t="inlineStr">
        <is>
          <t>VETLANDA</t>
        </is>
      </c>
      <c r="G5521" t="n">
        <v>2.9</v>
      </c>
      <c r="H5521" t="n">
        <v>0</v>
      </c>
      <c r="I5521" t="n">
        <v>0</v>
      </c>
      <c r="J5521" t="n">
        <v>0</v>
      </c>
      <c r="K5521" t="n">
        <v>0</v>
      </c>
      <c r="L5521" t="n">
        <v>0</v>
      </c>
      <c r="M5521" t="n">
        <v>0</v>
      </c>
      <c r="N5521" t="n">
        <v>0</v>
      </c>
      <c r="O5521" t="n">
        <v>0</v>
      </c>
      <c r="P5521" t="n">
        <v>0</v>
      </c>
      <c r="Q5521" t="n">
        <v>0</v>
      </c>
      <c r="R5521" s="2" t="inlineStr"/>
    </row>
    <row r="5522" ht="15" customHeight="1">
      <c r="A5522" t="inlineStr">
        <is>
          <t>A 56689-2021</t>
        </is>
      </c>
      <c r="B5522" s="1" t="n">
        <v>44481</v>
      </c>
      <c r="C5522" s="1" t="n">
        <v>45962</v>
      </c>
      <c r="D5522" t="inlineStr">
        <is>
          <t>JÖNKÖPINGS LÄN</t>
        </is>
      </c>
      <c r="E5522" t="inlineStr">
        <is>
          <t>EKSJÖ</t>
        </is>
      </c>
      <c r="G5522" t="n">
        <v>3.8</v>
      </c>
      <c r="H5522" t="n">
        <v>0</v>
      </c>
      <c r="I5522" t="n">
        <v>0</v>
      </c>
      <c r="J5522" t="n">
        <v>0</v>
      </c>
      <c r="K5522" t="n">
        <v>0</v>
      </c>
      <c r="L5522" t="n">
        <v>0</v>
      </c>
      <c r="M5522" t="n">
        <v>0</v>
      </c>
      <c r="N5522" t="n">
        <v>0</v>
      </c>
      <c r="O5522" t="n">
        <v>0</v>
      </c>
      <c r="P5522" t="n">
        <v>0</v>
      </c>
      <c r="Q5522" t="n">
        <v>0</v>
      </c>
      <c r="R5522" s="2" t="inlineStr"/>
    </row>
    <row r="5523" ht="15" customHeight="1">
      <c r="A5523" t="inlineStr">
        <is>
          <t>A 33062-2025</t>
        </is>
      </c>
      <c r="B5523" s="1" t="n">
        <v>45840.43755787037</v>
      </c>
      <c r="C5523" s="1" t="n">
        <v>45962</v>
      </c>
      <c r="D5523" t="inlineStr">
        <is>
          <t>JÖNKÖPINGS LÄN</t>
        </is>
      </c>
      <c r="E5523" t="inlineStr">
        <is>
          <t>GISLAVED</t>
        </is>
      </c>
      <c r="G5523" t="n">
        <v>3.9</v>
      </c>
      <c r="H5523" t="n">
        <v>0</v>
      </c>
      <c r="I5523" t="n">
        <v>0</v>
      </c>
      <c r="J5523" t="n">
        <v>0</v>
      </c>
      <c r="K5523" t="n">
        <v>0</v>
      </c>
      <c r="L5523" t="n">
        <v>0</v>
      </c>
      <c r="M5523" t="n">
        <v>0</v>
      </c>
      <c r="N5523" t="n">
        <v>0</v>
      </c>
      <c r="O5523" t="n">
        <v>0</v>
      </c>
      <c r="P5523" t="n">
        <v>0</v>
      </c>
      <c r="Q5523" t="n">
        <v>0</v>
      </c>
      <c r="R5523" s="2" t="inlineStr"/>
    </row>
    <row r="5524" ht="15" customHeight="1">
      <c r="A5524" t="inlineStr">
        <is>
          <t>A 3112-2024</t>
        </is>
      </c>
      <c r="B5524" s="1" t="n">
        <v>45316</v>
      </c>
      <c r="C5524" s="1" t="n">
        <v>45962</v>
      </c>
      <c r="D5524" t="inlineStr">
        <is>
          <t>JÖNKÖPINGS LÄN</t>
        </is>
      </c>
      <c r="E5524" t="inlineStr">
        <is>
          <t>JÖNKÖPING</t>
        </is>
      </c>
      <c r="G5524" t="n">
        <v>1.1</v>
      </c>
      <c r="H5524" t="n">
        <v>0</v>
      </c>
      <c r="I5524" t="n">
        <v>0</v>
      </c>
      <c r="J5524" t="n">
        <v>0</v>
      </c>
      <c r="K5524" t="n">
        <v>0</v>
      </c>
      <c r="L5524" t="n">
        <v>0</v>
      </c>
      <c r="M5524" t="n">
        <v>0</v>
      </c>
      <c r="N5524" t="n">
        <v>0</v>
      </c>
      <c r="O5524" t="n">
        <v>0</v>
      </c>
      <c r="P5524" t="n">
        <v>0</v>
      </c>
      <c r="Q5524" t="n">
        <v>0</v>
      </c>
      <c r="R5524" s="2" t="inlineStr"/>
    </row>
    <row r="5525" ht="15" customHeight="1">
      <c r="A5525" t="inlineStr">
        <is>
          <t>A 6937-2024</t>
        </is>
      </c>
      <c r="B5525" s="1" t="n">
        <v>45343</v>
      </c>
      <c r="C5525" s="1" t="n">
        <v>45962</v>
      </c>
      <c r="D5525" t="inlineStr">
        <is>
          <t>JÖNKÖPINGS LÄN</t>
        </is>
      </c>
      <c r="E5525" t="inlineStr">
        <is>
          <t>VAGGERYD</t>
        </is>
      </c>
      <c r="G5525" t="n">
        <v>1.9</v>
      </c>
      <c r="H5525" t="n">
        <v>0</v>
      </c>
      <c r="I5525" t="n">
        <v>0</v>
      </c>
      <c r="J5525" t="n">
        <v>0</v>
      </c>
      <c r="K5525" t="n">
        <v>0</v>
      </c>
      <c r="L5525" t="n">
        <v>0</v>
      </c>
      <c r="M5525" t="n">
        <v>0</v>
      </c>
      <c r="N5525" t="n">
        <v>0</v>
      </c>
      <c r="O5525" t="n">
        <v>0</v>
      </c>
      <c r="P5525" t="n">
        <v>0</v>
      </c>
      <c r="Q5525" t="n">
        <v>0</v>
      </c>
      <c r="R5525" s="2" t="inlineStr"/>
    </row>
    <row r="5526" ht="15" customHeight="1">
      <c r="A5526" t="inlineStr">
        <is>
          <t>A 59439-2024</t>
        </is>
      </c>
      <c r="B5526" s="1" t="n">
        <v>45638.43947916666</v>
      </c>
      <c r="C5526" s="1" t="n">
        <v>45962</v>
      </c>
      <c r="D5526" t="inlineStr">
        <is>
          <t>JÖNKÖPINGS LÄN</t>
        </is>
      </c>
      <c r="E5526" t="inlineStr">
        <is>
          <t>HABO</t>
        </is>
      </c>
      <c r="G5526" t="n">
        <v>4.3</v>
      </c>
      <c r="H5526" t="n">
        <v>0</v>
      </c>
      <c r="I5526" t="n">
        <v>0</v>
      </c>
      <c r="J5526" t="n">
        <v>0</v>
      </c>
      <c r="K5526" t="n">
        <v>0</v>
      </c>
      <c r="L5526" t="n">
        <v>0</v>
      </c>
      <c r="M5526" t="n">
        <v>0</v>
      </c>
      <c r="N5526" t="n">
        <v>0</v>
      </c>
      <c r="O5526" t="n">
        <v>0</v>
      </c>
      <c r="P5526" t="n">
        <v>0</v>
      </c>
      <c r="Q5526" t="n">
        <v>0</v>
      </c>
      <c r="R5526" s="2" t="inlineStr"/>
    </row>
    <row r="5527" ht="15" customHeight="1">
      <c r="A5527" t="inlineStr">
        <is>
          <t>A 50297-2022</t>
        </is>
      </c>
      <c r="B5527" s="1" t="n">
        <v>44865.92474537037</v>
      </c>
      <c r="C5527" s="1" t="n">
        <v>45962</v>
      </c>
      <c r="D5527" t="inlineStr">
        <is>
          <t>JÖNKÖPINGS LÄN</t>
        </is>
      </c>
      <c r="E5527" t="inlineStr">
        <is>
          <t>MULLSJÖ</t>
        </is>
      </c>
      <c r="G5527" t="n">
        <v>1.1</v>
      </c>
      <c r="H5527" t="n">
        <v>0</v>
      </c>
      <c r="I5527" t="n">
        <v>0</v>
      </c>
      <c r="J5527" t="n">
        <v>0</v>
      </c>
      <c r="K5527" t="n">
        <v>0</v>
      </c>
      <c r="L5527" t="n">
        <v>0</v>
      </c>
      <c r="M5527" t="n">
        <v>0</v>
      </c>
      <c r="N5527" t="n">
        <v>0</v>
      </c>
      <c r="O5527" t="n">
        <v>0</v>
      </c>
      <c r="P5527" t="n">
        <v>0</v>
      </c>
      <c r="Q5527" t="n">
        <v>0</v>
      </c>
      <c r="R5527" s="2" t="inlineStr"/>
    </row>
    <row r="5528" ht="15" customHeight="1">
      <c r="A5528" t="inlineStr">
        <is>
          <t>A 33353-2025</t>
        </is>
      </c>
      <c r="B5528" s="1" t="n">
        <v>45841.3752662037</v>
      </c>
      <c r="C5528" s="1" t="n">
        <v>45962</v>
      </c>
      <c r="D5528" t="inlineStr">
        <is>
          <t>JÖNKÖPINGS LÄN</t>
        </is>
      </c>
      <c r="E5528" t="inlineStr">
        <is>
          <t>VÄRNAMO</t>
        </is>
      </c>
      <c r="G5528" t="n">
        <v>0.7</v>
      </c>
      <c r="H5528" t="n">
        <v>0</v>
      </c>
      <c r="I5528" t="n">
        <v>0</v>
      </c>
      <c r="J5528" t="n">
        <v>0</v>
      </c>
      <c r="K5528" t="n">
        <v>0</v>
      </c>
      <c r="L5528" t="n">
        <v>0</v>
      </c>
      <c r="M5528" t="n">
        <v>0</v>
      </c>
      <c r="N5528" t="n">
        <v>0</v>
      </c>
      <c r="O5528" t="n">
        <v>0</v>
      </c>
      <c r="P5528" t="n">
        <v>0</v>
      </c>
      <c r="Q5528" t="n">
        <v>0</v>
      </c>
      <c r="R5528" s="2" t="inlineStr"/>
    </row>
    <row r="5529" ht="15" customHeight="1">
      <c r="A5529" t="inlineStr">
        <is>
          <t>A 33363-2025</t>
        </is>
      </c>
      <c r="B5529" s="1" t="n">
        <v>45841.38357638889</v>
      </c>
      <c r="C5529" s="1" t="n">
        <v>45962</v>
      </c>
      <c r="D5529" t="inlineStr">
        <is>
          <t>JÖNKÖPINGS LÄN</t>
        </is>
      </c>
      <c r="E5529" t="inlineStr">
        <is>
          <t>VÄRNAMO</t>
        </is>
      </c>
      <c r="G5529" t="n">
        <v>1.1</v>
      </c>
      <c r="H5529" t="n">
        <v>0</v>
      </c>
      <c r="I5529" t="n">
        <v>0</v>
      </c>
      <c r="J5529" t="n">
        <v>0</v>
      </c>
      <c r="K5529" t="n">
        <v>0</v>
      </c>
      <c r="L5529" t="n">
        <v>0</v>
      </c>
      <c r="M5529" t="n">
        <v>0</v>
      </c>
      <c r="N5529" t="n">
        <v>0</v>
      </c>
      <c r="O5529" t="n">
        <v>0</v>
      </c>
      <c r="P5529" t="n">
        <v>0</v>
      </c>
      <c r="Q5529" t="n">
        <v>0</v>
      </c>
      <c r="R5529" s="2" t="inlineStr"/>
    </row>
    <row r="5530" ht="15" customHeight="1">
      <c r="A5530" t="inlineStr">
        <is>
          <t>A 33376-2025</t>
        </is>
      </c>
      <c r="B5530" s="1" t="n">
        <v>45841.39916666667</v>
      </c>
      <c r="C5530" s="1" t="n">
        <v>45962</v>
      </c>
      <c r="D5530" t="inlineStr">
        <is>
          <t>JÖNKÖPINGS LÄN</t>
        </is>
      </c>
      <c r="E5530" t="inlineStr">
        <is>
          <t>VÄRNAMO</t>
        </is>
      </c>
      <c r="G5530" t="n">
        <v>0.6</v>
      </c>
      <c r="H5530" t="n">
        <v>0</v>
      </c>
      <c r="I5530" t="n">
        <v>0</v>
      </c>
      <c r="J5530" t="n">
        <v>0</v>
      </c>
      <c r="K5530" t="n">
        <v>0</v>
      </c>
      <c r="L5530" t="n">
        <v>0</v>
      </c>
      <c r="M5530" t="n">
        <v>0</v>
      </c>
      <c r="N5530" t="n">
        <v>0</v>
      </c>
      <c r="O5530" t="n">
        <v>0</v>
      </c>
      <c r="P5530" t="n">
        <v>0</v>
      </c>
      <c r="Q5530" t="n">
        <v>0</v>
      </c>
      <c r="R5530" s="2" t="inlineStr"/>
    </row>
    <row r="5531" ht="15" customHeight="1">
      <c r="A5531" t="inlineStr">
        <is>
          <t>A 32993-2025</t>
        </is>
      </c>
      <c r="B5531" s="1" t="n">
        <v>45840.32392361111</v>
      </c>
      <c r="C5531" s="1" t="n">
        <v>45962</v>
      </c>
      <c r="D5531" t="inlineStr">
        <is>
          <t>JÖNKÖPINGS LÄN</t>
        </is>
      </c>
      <c r="E5531" t="inlineStr">
        <is>
          <t>VAGGERYD</t>
        </is>
      </c>
      <c r="G5531" t="n">
        <v>1</v>
      </c>
      <c r="H5531" t="n">
        <v>0</v>
      </c>
      <c r="I5531" t="n">
        <v>0</v>
      </c>
      <c r="J5531" t="n">
        <v>0</v>
      </c>
      <c r="K5531" t="n">
        <v>0</v>
      </c>
      <c r="L5531" t="n">
        <v>0</v>
      </c>
      <c r="M5531" t="n">
        <v>0</v>
      </c>
      <c r="N5531" t="n">
        <v>0</v>
      </c>
      <c r="O5531" t="n">
        <v>0</v>
      </c>
      <c r="P5531" t="n">
        <v>0</v>
      </c>
      <c r="Q5531" t="n">
        <v>0</v>
      </c>
      <c r="R5531" s="2" t="inlineStr"/>
    </row>
    <row r="5532" ht="15" customHeight="1">
      <c r="A5532" t="inlineStr">
        <is>
          <t>A 33021-2025</t>
        </is>
      </c>
      <c r="B5532" s="1" t="n">
        <v>45840.37233796297</v>
      </c>
      <c r="C5532" s="1" t="n">
        <v>45962</v>
      </c>
      <c r="D5532" t="inlineStr">
        <is>
          <t>JÖNKÖPINGS LÄN</t>
        </is>
      </c>
      <c r="E5532" t="inlineStr">
        <is>
          <t>VETLANDA</t>
        </is>
      </c>
      <c r="G5532" t="n">
        <v>0.9</v>
      </c>
      <c r="H5532" t="n">
        <v>0</v>
      </c>
      <c r="I5532" t="n">
        <v>0</v>
      </c>
      <c r="J5532" t="n">
        <v>0</v>
      </c>
      <c r="K5532" t="n">
        <v>0</v>
      </c>
      <c r="L5532" t="n">
        <v>0</v>
      </c>
      <c r="M5532" t="n">
        <v>0</v>
      </c>
      <c r="N5532" t="n">
        <v>0</v>
      </c>
      <c r="O5532" t="n">
        <v>0</v>
      </c>
      <c r="P5532" t="n">
        <v>0</v>
      </c>
      <c r="Q5532" t="n">
        <v>0</v>
      </c>
      <c r="R5532" s="2" t="inlineStr"/>
    </row>
    <row r="5533" ht="15" customHeight="1">
      <c r="A5533" t="inlineStr">
        <is>
          <t>A 8212-2022</t>
        </is>
      </c>
      <c r="B5533" s="1" t="n">
        <v>44609</v>
      </c>
      <c r="C5533" s="1" t="n">
        <v>45962</v>
      </c>
      <c r="D5533" t="inlineStr">
        <is>
          <t>JÖNKÖPINGS LÄN</t>
        </is>
      </c>
      <c r="E5533" t="inlineStr">
        <is>
          <t>NÄSSJÖ</t>
        </is>
      </c>
      <c r="G5533" t="n">
        <v>1.5</v>
      </c>
      <c r="H5533" t="n">
        <v>0</v>
      </c>
      <c r="I5533" t="n">
        <v>0</v>
      </c>
      <c r="J5533" t="n">
        <v>0</v>
      </c>
      <c r="K5533" t="n">
        <v>0</v>
      </c>
      <c r="L5533" t="n">
        <v>0</v>
      </c>
      <c r="M5533" t="n">
        <v>0</v>
      </c>
      <c r="N5533" t="n">
        <v>0</v>
      </c>
      <c r="O5533" t="n">
        <v>0</v>
      </c>
      <c r="P5533" t="n">
        <v>0</v>
      </c>
      <c r="Q5533" t="n">
        <v>0</v>
      </c>
      <c r="R5533" s="2" t="inlineStr"/>
    </row>
    <row r="5534" ht="15" customHeight="1">
      <c r="A5534" t="inlineStr">
        <is>
          <t>A 36553-2023</t>
        </is>
      </c>
      <c r="B5534" s="1" t="n">
        <v>45152</v>
      </c>
      <c r="C5534" s="1" t="n">
        <v>45962</v>
      </c>
      <c r="D5534" t="inlineStr">
        <is>
          <t>JÖNKÖPINGS LÄN</t>
        </is>
      </c>
      <c r="E5534" t="inlineStr">
        <is>
          <t>VAGGERYD</t>
        </is>
      </c>
      <c r="G5534" t="n">
        <v>5.4</v>
      </c>
      <c r="H5534" t="n">
        <v>0</v>
      </c>
      <c r="I5534" t="n">
        <v>0</v>
      </c>
      <c r="J5534" t="n">
        <v>0</v>
      </c>
      <c r="K5534" t="n">
        <v>0</v>
      </c>
      <c r="L5534" t="n">
        <v>0</v>
      </c>
      <c r="M5534" t="n">
        <v>0</v>
      </c>
      <c r="N5534" t="n">
        <v>0</v>
      </c>
      <c r="O5534" t="n">
        <v>0</v>
      </c>
      <c r="P5534" t="n">
        <v>0</v>
      </c>
      <c r="Q5534" t="n">
        <v>0</v>
      </c>
      <c r="R5534" s="2" t="inlineStr"/>
    </row>
    <row r="5535" ht="15" customHeight="1">
      <c r="A5535" t="inlineStr">
        <is>
          <t>A 69072-2020</t>
        </is>
      </c>
      <c r="B5535" s="1" t="n">
        <v>44187</v>
      </c>
      <c r="C5535" s="1" t="n">
        <v>45962</v>
      </c>
      <c r="D5535" t="inlineStr">
        <is>
          <t>JÖNKÖPINGS LÄN</t>
        </is>
      </c>
      <c r="E5535" t="inlineStr">
        <is>
          <t>VETLANDA</t>
        </is>
      </c>
      <c r="G5535" t="n">
        <v>1.7</v>
      </c>
      <c r="H5535" t="n">
        <v>0</v>
      </c>
      <c r="I5535" t="n">
        <v>0</v>
      </c>
      <c r="J5535" t="n">
        <v>0</v>
      </c>
      <c r="K5535" t="n">
        <v>0</v>
      </c>
      <c r="L5535" t="n">
        <v>0</v>
      </c>
      <c r="M5535" t="n">
        <v>0</v>
      </c>
      <c r="N5535" t="n">
        <v>0</v>
      </c>
      <c r="O5535" t="n">
        <v>0</v>
      </c>
      <c r="P5535" t="n">
        <v>0</v>
      </c>
      <c r="Q5535" t="n">
        <v>0</v>
      </c>
      <c r="R5535" s="2" t="inlineStr"/>
    </row>
    <row r="5536" ht="15" customHeight="1">
      <c r="A5536" t="inlineStr">
        <is>
          <t>A 21355-2022</t>
        </is>
      </c>
      <c r="B5536" s="1" t="n">
        <v>44705</v>
      </c>
      <c r="C5536" s="1" t="n">
        <v>45962</v>
      </c>
      <c r="D5536" t="inlineStr">
        <is>
          <t>JÖNKÖPINGS LÄN</t>
        </is>
      </c>
      <c r="E5536" t="inlineStr">
        <is>
          <t>ANEBY</t>
        </is>
      </c>
      <c r="G5536" t="n">
        <v>2.8</v>
      </c>
      <c r="H5536" t="n">
        <v>0</v>
      </c>
      <c r="I5536" t="n">
        <v>0</v>
      </c>
      <c r="J5536" t="n">
        <v>0</v>
      </c>
      <c r="K5536" t="n">
        <v>0</v>
      </c>
      <c r="L5536" t="n">
        <v>0</v>
      </c>
      <c r="M5536" t="n">
        <v>0</v>
      </c>
      <c r="N5536" t="n">
        <v>0</v>
      </c>
      <c r="O5536" t="n">
        <v>0</v>
      </c>
      <c r="P5536" t="n">
        <v>0</v>
      </c>
      <c r="Q5536" t="n">
        <v>0</v>
      </c>
      <c r="R5536" s="2" t="inlineStr"/>
    </row>
    <row r="5537" ht="15" customHeight="1">
      <c r="A5537" t="inlineStr">
        <is>
          <t>A 36873-2023</t>
        </is>
      </c>
      <c r="B5537" s="1" t="n">
        <v>45154.575</v>
      </c>
      <c r="C5537" s="1" t="n">
        <v>45962</v>
      </c>
      <c r="D5537" t="inlineStr">
        <is>
          <t>JÖNKÖPINGS LÄN</t>
        </is>
      </c>
      <c r="E5537" t="inlineStr">
        <is>
          <t>EKSJÖ</t>
        </is>
      </c>
      <c r="G5537" t="n">
        <v>0.5</v>
      </c>
      <c r="H5537" t="n">
        <v>0</v>
      </c>
      <c r="I5537" t="n">
        <v>0</v>
      </c>
      <c r="J5537" t="n">
        <v>0</v>
      </c>
      <c r="K5537" t="n">
        <v>0</v>
      </c>
      <c r="L5537" t="n">
        <v>0</v>
      </c>
      <c r="M5537" t="n">
        <v>0</v>
      </c>
      <c r="N5537" t="n">
        <v>0</v>
      </c>
      <c r="O5537" t="n">
        <v>0</v>
      </c>
      <c r="P5537" t="n">
        <v>0</v>
      </c>
      <c r="Q5537" t="n">
        <v>0</v>
      </c>
      <c r="R5537" s="2" t="inlineStr"/>
    </row>
    <row r="5538" ht="15" customHeight="1">
      <c r="A5538" t="inlineStr">
        <is>
          <t>A 46890-2024</t>
        </is>
      </c>
      <c r="B5538" s="1" t="n">
        <v>45583.66623842593</v>
      </c>
      <c r="C5538" s="1" t="n">
        <v>45962</v>
      </c>
      <c r="D5538" t="inlineStr">
        <is>
          <t>JÖNKÖPINGS LÄN</t>
        </is>
      </c>
      <c r="E5538" t="inlineStr">
        <is>
          <t>VAGGERYD</t>
        </is>
      </c>
      <c r="G5538" t="n">
        <v>2</v>
      </c>
      <c r="H5538" t="n">
        <v>0</v>
      </c>
      <c r="I5538" t="n">
        <v>0</v>
      </c>
      <c r="J5538" t="n">
        <v>0</v>
      </c>
      <c r="K5538" t="n">
        <v>0</v>
      </c>
      <c r="L5538" t="n">
        <v>0</v>
      </c>
      <c r="M5538" t="n">
        <v>0</v>
      </c>
      <c r="N5538" t="n">
        <v>0</v>
      </c>
      <c r="O5538" t="n">
        <v>0</v>
      </c>
      <c r="P5538" t="n">
        <v>0</v>
      </c>
      <c r="Q5538" t="n">
        <v>0</v>
      </c>
      <c r="R5538" s="2" t="inlineStr"/>
    </row>
    <row r="5539" ht="15" customHeight="1">
      <c r="A5539" t="inlineStr">
        <is>
          <t>A 33257-2025</t>
        </is>
      </c>
      <c r="B5539" s="1" t="n">
        <v>45840.67126157408</v>
      </c>
      <c r="C5539" s="1" t="n">
        <v>45962</v>
      </c>
      <c r="D5539" t="inlineStr">
        <is>
          <t>JÖNKÖPINGS LÄN</t>
        </is>
      </c>
      <c r="E5539" t="inlineStr">
        <is>
          <t>VETLANDA</t>
        </is>
      </c>
      <c r="G5539" t="n">
        <v>1.7</v>
      </c>
      <c r="H5539" t="n">
        <v>0</v>
      </c>
      <c r="I5539" t="n">
        <v>0</v>
      </c>
      <c r="J5539" t="n">
        <v>0</v>
      </c>
      <c r="K5539" t="n">
        <v>0</v>
      </c>
      <c r="L5539" t="n">
        <v>0</v>
      </c>
      <c r="M5539" t="n">
        <v>0</v>
      </c>
      <c r="N5539" t="n">
        <v>0</v>
      </c>
      <c r="O5539" t="n">
        <v>0</v>
      </c>
      <c r="P5539" t="n">
        <v>0</v>
      </c>
      <c r="Q5539" t="n">
        <v>0</v>
      </c>
      <c r="R5539" s="2" t="inlineStr"/>
    </row>
    <row r="5540" ht="15" customHeight="1">
      <c r="A5540" t="inlineStr">
        <is>
          <t>A 23858-2024</t>
        </is>
      </c>
      <c r="B5540" s="1" t="n">
        <v>45455</v>
      </c>
      <c r="C5540" s="1" t="n">
        <v>45962</v>
      </c>
      <c r="D5540" t="inlineStr">
        <is>
          <t>JÖNKÖPINGS LÄN</t>
        </is>
      </c>
      <c r="E5540" t="inlineStr">
        <is>
          <t>VETLANDA</t>
        </is>
      </c>
      <c r="G5540" t="n">
        <v>0.7</v>
      </c>
      <c r="H5540" t="n">
        <v>0</v>
      </c>
      <c r="I5540" t="n">
        <v>0</v>
      </c>
      <c r="J5540" t="n">
        <v>0</v>
      </c>
      <c r="K5540" t="n">
        <v>0</v>
      </c>
      <c r="L5540" t="n">
        <v>0</v>
      </c>
      <c r="M5540" t="n">
        <v>0</v>
      </c>
      <c r="N5540" t="n">
        <v>0</v>
      </c>
      <c r="O5540" t="n">
        <v>0</v>
      </c>
      <c r="P5540" t="n">
        <v>0</v>
      </c>
      <c r="Q5540" t="n">
        <v>0</v>
      </c>
      <c r="R5540" s="2" t="inlineStr"/>
    </row>
    <row r="5541" ht="15" customHeight="1">
      <c r="A5541" t="inlineStr">
        <is>
          <t>A 17124-2022</t>
        </is>
      </c>
      <c r="B5541" s="1" t="n">
        <v>44677.47850694445</v>
      </c>
      <c r="C5541" s="1" t="n">
        <v>45962</v>
      </c>
      <c r="D5541" t="inlineStr">
        <is>
          <t>JÖNKÖPINGS LÄN</t>
        </is>
      </c>
      <c r="E5541" t="inlineStr">
        <is>
          <t>VETLANDA</t>
        </is>
      </c>
      <c r="G5541" t="n">
        <v>1</v>
      </c>
      <c r="H5541" t="n">
        <v>0</v>
      </c>
      <c r="I5541" t="n">
        <v>0</v>
      </c>
      <c r="J5541" t="n">
        <v>0</v>
      </c>
      <c r="K5541" t="n">
        <v>0</v>
      </c>
      <c r="L5541" t="n">
        <v>0</v>
      </c>
      <c r="M5541" t="n">
        <v>0</v>
      </c>
      <c r="N5541" t="n">
        <v>0</v>
      </c>
      <c r="O5541" t="n">
        <v>0</v>
      </c>
      <c r="P5541" t="n">
        <v>0</v>
      </c>
      <c r="Q5541" t="n">
        <v>0</v>
      </c>
      <c r="R5541" s="2" t="inlineStr"/>
    </row>
    <row r="5542" ht="15" customHeight="1">
      <c r="A5542" t="inlineStr">
        <is>
          <t>A 50156-2023</t>
        </is>
      </c>
      <c r="B5542" s="1" t="n">
        <v>45215.69435185185</v>
      </c>
      <c r="C5542" s="1" t="n">
        <v>45962</v>
      </c>
      <c r="D5542" t="inlineStr">
        <is>
          <t>JÖNKÖPINGS LÄN</t>
        </is>
      </c>
      <c r="E5542" t="inlineStr">
        <is>
          <t>NÄSSJÖ</t>
        </is>
      </c>
      <c r="G5542" t="n">
        <v>2.8</v>
      </c>
      <c r="H5542" t="n">
        <v>0</v>
      </c>
      <c r="I5542" t="n">
        <v>0</v>
      </c>
      <c r="J5542" t="n">
        <v>0</v>
      </c>
      <c r="K5542" t="n">
        <v>0</v>
      </c>
      <c r="L5542" t="n">
        <v>0</v>
      </c>
      <c r="M5542" t="n">
        <v>0</v>
      </c>
      <c r="N5542" t="n">
        <v>0</v>
      </c>
      <c r="O5542" t="n">
        <v>0</v>
      </c>
      <c r="P5542" t="n">
        <v>0</v>
      </c>
      <c r="Q5542" t="n">
        <v>0</v>
      </c>
      <c r="R5542" s="2" t="inlineStr"/>
    </row>
    <row r="5543" ht="15" customHeight="1">
      <c r="A5543" t="inlineStr">
        <is>
          <t>A 33155-2025</t>
        </is>
      </c>
      <c r="B5543" s="1" t="n">
        <v>45840.55556712963</v>
      </c>
      <c r="C5543" s="1" t="n">
        <v>45962</v>
      </c>
      <c r="D5543" t="inlineStr">
        <is>
          <t>JÖNKÖPINGS LÄN</t>
        </is>
      </c>
      <c r="E5543" t="inlineStr">
        <is>
          <t>GISLAVED</t>
        </is>
      </c>
      <c r="G5543" t="n">
        <v>0.8</v>
      </c>
      <c r="H5543" t="n">
        <v>0</v>
      </c>
      <c r="I5543" t="n">
        <v>0</v>
      </c>
      <c r="J5543" t="n">
        <v>0</v>
      </c>
      <c r="K5543" t="n">
        <v>0</v>
      </c>
      <c r="L5543" t="n">
        <v>0</v>
      </c>
      <c r="M5543" t="n">
        <v>0</v>
      </c>
      <c r="N5543" t="n">
        <v>0</v>
      </c>
      <c r="O5543" t="n">
        <v>0</v>
      </c>
      <c r="P5543" t="n">
        <v>0</v>
      </c>
      <c r="Q5543" t="n">
        <v>0</v>
      </c>
      <c r="R5543" s="2" t="inlineStr"/>
    </row>
    <row r="5544" ht="15" customHeight="1">
      <c r="A5544" t="inlineStr">
        <is>
          <t>A 33203-2025</t>
        </is>
      </c>
      <c r="B5544" s="1" t="n">
        <v>45840.60864583333</v>
      </c>
      <c r="C5544" s="1" t="n">
        <v>45962</v>
      </c>
      <c r="D5544" t="inlineStr">
        <is>
          <t>JÖNKÖPINGS LÄN</t>
        </is>
      </c>
      <c r="E5544" t="inlineStr">
        <is>
          <t>TRANÅS</t>
        </is>
      </c>
      <c r="G5544" t="n">
        <v>2.2</v>
      </c>
      <c r="H5544" t="n">
        <v>0</v>
      </c>
      <c r="I5544" t="n">
        <v>0</v>
      </c>
      <c r="J5544" t="n">
        <v>0</v>
      </c>
      <c r="K5544" t="n">
        <v>0</v>
      </c>
      <c r="L5544" t="n">
        <v>0</v>
      </c>
      <c r="M5544" t="n">
        <v>0</v>
      </c>
      <c r="N5544" t="n">
        <v>0</v>
      </c>
      <c r="O5544" t="n">
        <v>0</v>
      </c>
      <c r="P5544" t="n">
        <v>0</v>
      </c>
      <c r="Q5544" t="n">
        <v>0</v>
      </c>
      <c r="R5544" s="2" t="inlineStr"/>
    </row>
    <row r="5545" ht="15" customHeight="1">
      <c r="A5545" t="inlineStr">
        <is>
          <t>A 33422-2025</t>
        </is>
      </c>
      <c r="B5545" s="1" t="n">
        <v>45841.44262731481</v>
      </c>
      <c r="C5545" s="1" t="n">
        <v>45962</v>
      </c>
      <c r="D5545" t="inlineStr">
        <is>
          <t>JÖNKÖPINGS LÄN</t>
        </is>
      </c>
      <c r="E5545" t="inlineStr">
        <is>
          <t>NÄSSJÖ</t>
        </is>
      </c>
      <c r="G5545" t="n">
        <v>0.5</v>
      </c>
      <c r="H5545" t="n">
        <v>0</v>
      </c>
      <c r="I5545" t="n">
        <v>0</v>
      </c>
      <c r="J5545" t="n">
        <v>0</v>
      </c>
      <c r="K5545" t="n">
        <v>0</v>
      </c>
      <c r="L5545" t="n">
        <v>0</v>
      </c>
      <c r="M5545" t="n">
        <v>0</v>
      </c>
      <c r="N5545" t="n">
        <v>0</v>
      </c>
      <c r="O5545" t="n">
        <v>0</v>
      </c>
      <c r="P5545" t="n">
        <v>0</v>
      </c>
      <c r="Q5545" t="n">
        <v>0</v>
      </c>
      <c r="R5545" s="2" t="inlineStr"/>
    </row>
    <row r="5546" ht="15" customHeight="1">
      <c r="A5546" t="inlineStr">
        <is>
          <t>A 5007-2021</t>
        </is>
      </c>
      <c r="B5546" s="1" t="n">
        <v>44228</v>
      </c>
      <c r="C5546" s="1" t="n">
        <v>45962</v>
      </c>
      <c r="D5546" t="inlineStr">
        <is>
          <t>JÖNKÖPINGS LÄN</t>
        </is>
      </c>
      <c r="E5546" t="inlineStr">
        <is>
          <t>GNOSJÖ</t>
        </is>
      </c>
      <c r="G5546" t="n">
        <v>2.9</v>
      </c>
      <c r="H5546" t="n">
        <v>0</v>
      </c>
      <c r="I5546" t="n">
        <v>0</v>
      </c>
      <c r="J5546" t="n">
        <v>0</v>
      </c>
      <c r="K5546" t="n">
        <v>0</v>
      </c>
      <c r="L5546" t="n">
        <v>0</v>
      </c>
      <c r="M5546" t="n">
        <v>0</v>
      </c>
      <c r="N5546" t="n">
        <v>0</v>
      </c>
      <c r="O5546" t="n">
        <v>0</v>
      </c>
      <c r="P5546" t="n">
        <v>0</v>
      </c>
      <c r="Q5546" t="n">
        <v>0</v>
      </c>
      <c r="R5546" s="2" t="inlineStr"/>
    </row>
    <row r="5547" ht="15" customHeight="1">
      <c r="A5547" t="inlineStr">
        <is>
          <t>A 5126-2021</t>
        </is>
      </c>
      <c r="B5547" s="1" t="n">
        <v>44228</v>
      </c>
      <c r="C5547" s="1" t="n">
        <v>45962</v>
      </c>
      <c r="D5547" t="inlineStr">
        <is>
          <t>JÖNKÖPINGS LÄN</t>
        </is>
      </c>
      <c r="E5547" t="inlineStr">
        <is>
          <t>ANEBY</t>
        </is>
      </c>
      <c r="G5547" t="n">
        <v>3.4</v>
      </c>
      <c r="H5547" t="n">
        <v>0</v>
      </c>
      <c r="I5547" t="n">
        <v>0</v>
      </c>
      <c r="J5547" t="n">
        <v>0</v>
      </c>
      <c r="K5547" t="n">
        <v>0</v>
      </c>
      <c r="L5547" t="n">
        <v>0</v>
      </c>
      <c r="M5547" t="n">
        <v>0</v>
      </c>
      <c r="N5547" t="n">
        <v>0</v>
      </c>
      <c r="O5547" t="n">
        <v>0</v>
      </c>
      <c r="P5547" t="n">
        <v>0</v>
      </c>
      <c r="Q5547" t="n">
        <v>0</v>
      </c>
      <c r="R5547" s="2" t="inlineStr"/>
    </row>
    <row r="5548" ht="15" customHeight="1">
      <c r="A5548" t="inlineStr">
        <is>
          <t>A 33601-2025</t>
        </is>
      </c>
      <c r="B5548" s="1" t="n">
        <v>45841</v>
      </c>
      <c r="C5548" s="1" t="n">
        <v>45962</v>
      </c>
      <c r="D5548" t="inlineStr">
        <is>
          <t>JÖNKÖPINGS LÄN</t>
        </is>
      </c>
      <c r="E5548" t="inlineStr">
        <is>
          <t>EKSJÖ</t>
        </is>
      </c>
      <c r="G5548" t="n">
        <v>1.2</v>
      </c>
      <c r="H5548" t="n">
        <v>0</v>
      </c>
      <c r="I5548" t="n">
        <v>0</v>
      </c>
      <c r="J5548" t="n">
        <v>0</v>
      </c>
      <c r="K5548" t="n">
        <v>0</v>
      </c>
      <c r="L5548" t="n">
        <v>0</v>
      </c>
      <c r="M5548" t="n">
        <v>0</v>
      </c>
      <c r="N5548" t="n">
        <v>0</v>
      </c>
      <c r="O5548" t="n">
        <v>0</v>
      </c>
      <c r="P5548" t="n">
        <v>0</v>
      </c>
      <c r="Q5548" t="n">
        <v>0</v>
      </c>
      <c r="R5548" s="2" t="inlineStr"/>
    </row>
    <row r="5549" ht="15" customHeight="1">
      <c r="A5549" t="inlineStr">
        <is>
          <t>A 33603-2025</t>
        </is>
      </c>
      <c r="B5549" s="1" t="n">
        <v>45841</v>
      </c>
      <c r="C5549" s="1" t="n">
        <v>45962</v>
      </c>
      <c r="D5549" t="inlineStr">
        <is>
          <t>JÖNKÖPINGS LÄN</t>
        </is>
      </c>
      <c r="E5549" t="inlineStr">
        <is>
          <t>EKSJÖ</t>
        </is>
      </c>
      <c r="G5549" t="n">
        <v>0.9</v>
      </c>
      <c r="H5549" t="n">
        <v>0</v>
      </c>
      <c r="I5549" t="n">
        <v>0</v>
      </c>
      <c r="J5549" t="n">
        <v>0</v>
      </c>
      <c r="K5549" t="n">
        <v>0</v>
      </c>
      <c r="L5549" t="n">
        <v>0</v>
      </c>
      <c r="M5549" t="n">
        <v>0</v>
      </c>
      <c r="N5549" t="n">
        <v>0</v>
      </c>
      <c r="O5549" t="n">
        <v>0</v>
      </c>
      <c r="P5549" t="n">
        <v>0</v>
      </c>
      <c r="Q5549" t="n">
        <v>0</v>
      </c>
      <c r="R5549" s="2" t="inlineStr"/>
    </row>
    <row r="5550" ht="15" customHeight="1">
      <c r="A5550" t="inlineStr">
        <is>
          <t>A 33602-2025</t>
        </is>
      </c>
      <c r="B5550" s="1" t="n">
        <v>45841</v>
      </c>
      <c r="C5550" s="1" t="n">
        <v>45962</v>
      </c>
      <c r="D5550" t="inlineStr">
        <is>
          <t>JÖNKÖPINGS LÄN</t>
        </is>
      </c>
      <c r="E5550" t="inlineStr">
        <is>
          <t>EKSJÖ</t>
        </is>
      </c>
      <c r="G5550" t="n">
        <v>1.4</v>
      </c>
      <c r="H5550" t="n">
        <v>0</v>
      </c>
      <c r="I5550" t="n">
        <v>0</v>
      </c>
      <c r="J5550" t="n">
        <v>0</v>
      </c>
      <c r="K5550" t="n">
        <v>0</v>
      </c>
      <c r="L5550" t="n">
        <v>0</v>
      </c>
      <c r="M5550" t="n">
        <v>0</v>
      </c>
      <c r="N5550" t="n">
        <v>0</v>
      </c>
      <c r="O5550" t="n">
        <v>0</v>
      </c>
      <c r="P5550" t="n">
        <v>0</v>
      </c>
      <c r="Q5550" t="n">
        <v>0</v>
      </c>
      <c r="R5550" s="2" t="inlineStr"/>
    </row>
    <row r="5551" ht="15" customHeight="1">
      <c r="A5551" t="inlineStr">
        <is>
          <t>A 33609-2025</t>
        </is>
      </c>
      <c r="B5551" s="1" t="n">
        <v>45841.61831018519</v>
      </c>
      <c r="C5551" s="1" t="n">
        <v>45962</v>
      </c>
      <c r="D5551" t="inlineStr">
        <is>
          <t>JÖNKÖPINGS LÄN</t>
        </is>
      </c>
      <c r="E5551" t="inlineStr">
        <is>
          <t>EKSJÖ</t>
        </is>
      </c>
      <c r="G5551" t="n">
        <v>0.6</v>
      </c>
      <c r="H5551" t="n">
        <v>0</v>
      </c>
      <c r="I5551" t="n">
        <v>0</v>
      </c>
      <c r="J5551" t="n">
        <v>0</v>
      </c>
      <c r="K5551" t="n">
        <v>0</v>
      </c>
      <c r="L5551" t="n">
        <v>0</v>
      </c>
      <c r="M5551" t="n">
        <v>0</v>
      </c>
      <c r="N5551" t="n">
        <v>0</v>
      </c>
      <c r="O5551" t="n">
        <v>0</v>
      </c>
      <c r="P5551" t="n">
        <v>0</v>
      </c>
      <c r="Q5551" t="n">
        <v>0</v>
      </c>
      <c r="R5551" s="2" t="inlineStr"/>
    </row>
    <row r="5552" ht="15" customHeight="1">
      <c r="A5552" t="inlineStr">
        <is>
          <t>A 33614-2025</t>
        </is>
      </c>
      <c r="B5552" s="1" t="n">
        <v>45841.62108796297</v>
      </c>
      <c r="C5552" s="1" t="n">
        <v>45962</v>
      </c>
      <c r="D5552" t="inlineStr">
        <is>
          <t>JÖNKÖPINGS LÄN</t>
        </is>
      </c>
      <c r="E5552" t="inlineStr">
        <is>
          <t>EKSJÖ</t>
        </is>
      </c>
      <c r="G5552" t="n">
        <v>0.6</v>
      </c>
      <c r="H5552" t="n">
        <v>0</v>
      </c>
      <c r="I5552" t="n">
        <v>0</v>
      </c>
      <c r="J5552" t="n">
        <v>0</v>
      </c>
      <c r="K5552" t="n">
        <v>0</v>
      </c>
      <c r="L5552" t="n">
        <v>0</v>
      </c>
      <c r="M5552" t="n">
        <v>0</v>
      </c>
      <c r="N5552" t="n">
        <v>0</v>
      </c>
      <c r="O5552" t="n">
        <v>0</v>
      </c>
      <c r="P5552" t="n">
        <v>0</v>
      </c>
      <c r="Q5552" t="n">
        <v>0</v>
      </c>
      <c r="R5552" s="2" t="inlineStr"/>
    </row>
    <row r="5553" ht="15" customHeight="1">
      <c r="A5553" t="inlineStr">
        <is>
          <t>A 33616-2025</t>
        </is>
      </c>
      <c r="B5553" s="1" t="n">
        <v>45841.62478009259</v>
      </c>
      <c r="C5553" s="1" t="n">
        <v>45962</v>
      </c>
      <c r="D5553" t="inlineStr">
        <is>
          <t>JÖNKÖPINGS LÄN</t>
        </is>
      </c>
      <c r="E5553" t="inlineStr">
        <is>
          <t>SÄVSJÖ</t>
        </is>
      </c>
      <c r="G5553" t="n">
        <v>2.7</v>
      </c>
      <c r="H5553" t="n">
        <v>0</v>
      </c>
      <c r="I5553" t="n">
        <v>0</v>
      </c>
      <c r="J5553" t="n">
        <v>0</v>
      </c>
      <c r="K5553" t="n">
        <v>0</v>
      </c>
      <c r="L5553" t="n">
        <v>0</v>
      </c>
      <c r="M5553" t="n">
        <v>0</v>
      </c>
      <c r="N5553" t="n">
        <v>0</v>
      </c>
      <c r="O5553" t="n">
        <v>0</v>
      </c>
      <c r="P5553" t="n">
        <v>0</v>
      </c>
      <c r="Q5553" t="n">
        <v>0</v>
      </c>
      <c r="R5553" s="2" t="inlineStr"/>
    </row>
    <row r="5554" ht="15" customHeight="1">
      <c r="A5554" t="inlineStr">
        <is>
          <t>A 11497-2022</t>
        </is>
      </c>
      <c r="B5554" s="1" t="n">
        <v>44631</v>
      </c>
      <c r="C5554" s="1" t="n">
        <v>45962</v>
      </c>
      <c r="D5554" t="inlineStr">
        <is>
          <t>JÖNKÖPINGS LÄN</t>
        </is>
      </c>
      <c r="E5554" t="inlineStr">
        <is>
          <t>JÖNKÖPING</t>
        </is>
      </c>
      <c r="G5554" t="n">
        <v>2.7</v>
      </c>
      <c r="H5554" t="n">
        <v>0</v>
      </c>
      <c r="I5554" t="n">
        <v>0</v>
      </c>
      <c r="J5554" t="n">
        <v>0</v>
      </c>
      <c r="K5554" t="n">
        <v>0</v>
      </c>
      <c r="L5554" t="n">
        <v>0</v>
      </c>
      <c r="M5554" t="n">
        <v>0</v>
      </c>
      <c r="N5554" t="n">
        <v>0</v>
      </c>
      <c r="O5554" t="n">
        <v>0</v>
      </c>
      <c r="P5554" t="n">
        <v>0</v>
      </c>
      <c r="Q5554" t="n">
        <v>0</v>
      </c>
      <c r="R5554" s="2" t="inlineStr"/>
    </row>
    <row r="5555" ht="15" customHeight="1">
      <c r="A5555" t="inlineStr">
        <is>
          <t>A 19750-2021</t>
        </is>
      </c>
      <c r="B5555" s="1" t="n">
        <v>44313</v>
      </c>
      <c r="C5555" s="1" t="n">
        <v>45962</v>
      </c>
      <c r="D5555" t="inlineStr">
        <is>
          <t>JÖNKÖPINGS LÄN</t>
        </is>
      </c>
      <c r="E5555" t="inlineStr">
        <is>
          <t>VÄRNAMO</t>
        </is>
      </c>
      <c r="G5555" t="n">
        <v>2.1</v>
      </c>
      <c r="H5555" t="n">
        <v>0</v>
      </c>
      <c r="I5555" t="n">
        <v>0</v>
      </c>
      <c r="J5555" t="n">
        <v>0</v>
      </c>
      <c r="K5555" t="n">
        <v>0</v>
      </c>
      <c r="L5555" t="n">
        <v>0</v>
      </c>
      <c r="M5555" t="n">
        <v>0</v>
      </c>
      <c r="N5555" t="n">
        <v>0</v>
      </c>
      <c r="O5555" t="n">
        <v>0</v>
      </c>
      <c r="P5555" t="n">
        <v>0</v>
      </c>
      <c r="Q5555" t="n">
        <v>0</v>
      </c>
      <c r="R5555" s="2" t="inlineStr"/>
    </row>
    <row r="5556" ht="15" customHeight="1">
      <c r="A5556" t="inlineStr">
        <is>
          <t>A 33268-2025</t>
        </is>
      </c>
      <c r="B5556" s="1" t="n">
        <v>45840.6791087963</v>
      </c>
      <c r="C5556" s="1" t="n">
        <v>45962</v>
      </c>
      <c r="D5556" t="inlineStr">
        <is>
          <t>JÖNKÖPINGS LÄN</t>
        </is>
      </c>
      <c r="E5556" t="inlineStr">
        <is>
          <t>VETLANDA</t>
        </is>
      </c>
      <c r="G5556" t="n">
        <v>1.1</v>
      </c>
      <c r="H5556" t="n">
        <v>0</v>
      </c>
      <c r="I5556" t="n">
        <v>0</v>
      </c>
      <c r="J5556" t="n">
        <v>0</v>
      </c>
      <c r="K5556" t="n">
        <v>0</v>
      </c>
      <c r="L5556" t="n">
        <v>0</v>
      </c>
      <c r="M5556" t="n">
        <v>0</v>
      </c>
      <c r="N5556" t="n">
        <v>0</v>
      </c>
      <c r="O5556" t="n">
        <v>0</v>
      </c>
      <c r="P5556" t="n">
        <v>0</v>
      </c>
      <c r="Q5556" t="n">
        <v>0</v>
      </c>
      <c r="R5556" s="2" t="inlineStr"/>
    </row>
    <row r="5557" ht="15" customHeight="1">
      <c r="A5557" t="inlineStr">
        <is>
          <t>A 24577-2023</t>
        </is>
      </c>
      <c r="B5557" s="1" t="n">
        <v>45083.58858796296</v>
      </c>
      <c r="C5557" s="1" t="n">
        <v>45962</v>
      </c>
      <c r="D5557" t="inlineStr">
        <is>
          <t>JÖNKÖPINGS LÄN</t>
        </is>
      </c>
      <c r="E5557" t="inlineStr">
        <is>
          <t>NÄSSJÖ</t>
        </is>
      </c>
      <c r="G5557" t="n">
        <v>0.9</v>
      </c>
      <c r="H5557" t="n">
        <v>0</v>
      </c>
      <c r="I5557" t="n">
        <v>0</v>
      </c>
      <c r="J5557" t="n">
        <v>0</v>
      </c>
      <c r="K5557" t="n">
        <v>0</v>
      </c>
      <c r="L5557" t="n">
        <v>0</v>
      </c>
      <c r="M5557" t="n">
        <v>0</v>
      </c>
      <c r="N5557" t="n">
        <v>0</v>
      </c>
      <c r="O5557" t="n">
        <v>0</v>
      </c>
      <c r="P5557" t="n">
        <v>0</v>
      </c>
      <c r="Q5557" t="n">
        <v>0</v>
      </c>
      <c r="R5557" s="2" t="inlineStr"/>
    </row>
    <row r="5558" ht="15" customHeight="1">
      <c r="A5558" t="inlineStr">
        <is>
          <t>A 43162-2024</t>
        </is>
      </c>
      <c r="B5558" s="1" t="n">
        <v>45567</v>
      </c>
      <c r="C5558" s="1" t="n">
        <v>45962</v>
      </c>
      <c r="D5558" t="inlineStr">
        <is>
          <t>JÖNKÖPINGS LÄN</t>
        </is>
      </c>
      <c r="E5558" t="inlineStr">
        <is>
          <t>VÄRNAMO</t>
        </is>
      </c>
      <c r="F5558" t="inlineStr">
        <is>
          <t>Kommuner</t>
        </is>
      </c>
      <c r="G5558" t="n">
        <v>3.6</v>
      </c>
      <c r="H5558" t="n">
        <v>0</v>
      </c>
      <c r="I5558" t="n">
        <v>0</v>
      </c>
      <c r="J5558" t="n">
        <v>0</v>
      </c>
      <c r="K5558" t="n">
        <v>0</v>
      </c>
      <c r="L5558" t="n">
        <v>0</v>
      </c>
      <c r="M5558" t="n">
        <v>0</v>
      </c>
      <c r="N5558" t="n">
        <v>0</v>
      </c>
      <c r="O5558" t="n">
        <v>0</v>
      </c>
      <c r="P5558" t="n">
        <v>0</v>
      </c>
      <c r="Q5558" t="n">
        <v>0</v>
      </c>
      <c r="R5558" s="2" t="inlineStr"/>
    </row>
    <row r="5559" ht="15" customHeight="1">
      <c r="A5559" t="inlineStr">
        <is>
          <t>A 30863-2023</t>
        </is>
      </c>
      <c r="B5559" s="1" t="n">
        <v>45113</v>
      </c>
      <c r="C5559" s="1" t="n">
        <v>45962</v>
      </c>
      <c r="D5559" t="inlineStr">
        <is>
          <t>JÖNKÖPINGS LÄN</t>
        </is>
      </c>
      <c r="E5559" t="inlineStr">
        <is>
          <t>HABO</t>
        </is>
      </c>
      <c r="G5559" t="n">
        <v>2.8</v>
      </c>
      <c r="H5559" t="n">
        <v>0</v>
      </c>
      <c r="I5559" t="n">
        <v>0</v>
      </c>
      <c r="J5559" t="n">
        <v>0</v>
      </c>
      <c r="K5559" t="n">
        <v>0</v>
      </c>
      <c r="L5559" t="n">
        <v>0</v>
      </c>
      <c r="M5559" t="n">
        <v>0</v>
      </c>
      <c r="N5559" t="n">
        <v>0</v>
      </c>
      <c r="O5559" t="n">
        <v>0</v>
      </c>
      <c r="P5559" t="n">
        <v>0</v>
      </c>
      <c r="Q5559" t="n">
        <v>0</v>
      </c>
      <c r="R5559" s="2" t="inlineStr"/>
    </row>
    <row r="5560" ht="15" customHeight="1">
      <c r="A5560" t="inlineStr">
        <is>
          <t>A 33477-2025</t>
        </is>
      </c>
      <c r="B5560" s="1" t="n">
        <v>45841.49510416666</v>
      </c>
      <c r="C5560" s="1" t="n">
        <v>45962</v>
      </c>
      <c r="D5560" t="inlineStr">
        <is>
          <t>JÖNKÖPINGS LÄN</t>
        </is>
      </c>
      <c r="E5560" t="inlineStr">
        <is>
          <t>NÄSSJÖ</t>
        </is>
      </c>
      <c r="G5560" t="n">
        <v>0.9</v>
      </c>
      <c r="H5560" t="n">
        <v>0</v>
      </c>
      <c r="I5560" t="n">
        <v>0</v>
      </c>
      <c r="J5560" t="n">
        <v>0</v>
      </c>
      <c r="K5560" t="n">
        <v>0</v>
      </c>
      <c r="L5560" t="n">
        <v>0</v>
      </c>
      <c r="M5560" t="n">
        <v>0</v>
      </c>
      <c r="N5560" t="n">
        <v>0</v>
      </c>
      <c r="O5560" t="n">
        <v>0</v>
      </c>
      <c r="P5560" t="n">
        <v>0</v>
      </c>
      <c r="Q5560" t="n">
        <v>0</v>
      </c>
      <c r="R5560" s="2" t="inlineStr"/>
    </row>
    <row r="5561" ht="15" customHeight="1">
      <c r="A5561" t="inlineStr">
        <is>
          <t>A 44400-2024</t>
        </is>
      </c>
      <c r="B5561" s="1" t="n">
        <v>45573.70368055555</v>
      </c>
      <c r="C5561" s="1" t="n">
        <v>45962</v>
      </c>
      <c r="D5561" t="inlineStr">
        <is>
          <t>JÖNKÖPINGS LÄN</t>
        </is>
      </c>
      <c r="E5561" t="inlineStr">
        <is>
          <t>NÄSSJÖ</t>
        </is>
      </c>
      <c r="G5561" t="n">
        <v>3.8</v>
      </c>
      <c r="H5561" t="n">
        <v>0</v>
      </c>
      <c r="I5561" t="n">
        <v>0</v>
      </c>
      <c r="J5561" t="n">
        <v>0</v>
      </c>
      <c r="K5561" t="n">
        <v>0</v>
      </c>
      <c r="L5561" t="n">
        <v>0</v>
      </c>
      <c r="M5561" t="n">
        <v>0</v>
      </c>
      <c r="N5561" t="n">
        <v>0</v>
      </c>
      <c r="O5561" t="n">
        <v>0</v>
      </c>
      <c r="P5561" t="n">
        <v>0</v>
      </c>
      <c r="Q5561" t="n">
        <v>0</v>
      </c>
      <c r="R5561" s="2" t="inlineStr"/>
    </row>
    <row r="5562" ht="15" customHeight="1">
      <c r="A5562" t="inlineStr">
        <is>
          <t>A 14486-2024</t>
        </is>
      </c>
      <c r="B5562" s="1" t="n">
        <v>45394.574375</v>
      </c>
      <c r="C5562" s="1" t="n">
        <v>45962</v>
      </c>
      <c r="D5562" t="inlineStr">
        <is>
          <t>JÖNKÖPINGS LÄN</t>
        </is>
      </c>
      <c r="E5562" t="inlineStr">
        <is>
          <t>NÄSSJÖ</t>
        </is>
      </c>
      <c r="G5562" t="n">
        <v>1.4</v>
      </c>
      <c r="H5562" t="n">
        <v>0</v>
      </c>
      <c r="I5562" t="n">
        <v>0</v>
      </c>
      <c r="J5562" t="n">
        <v>0</v>
      </c>
      <c r="K5562" t="n">
        <v>0</v>
      </c>
      <c r="L5562" t="n">
        <v>0</v>
      </c>
      <c r="M5562" t="n">
        <v>0</v>
      </c>
      <c r="N5562" t="n">
        <v>0</v>
      </c>
      <c r="O5562" t="n">
        <v>0</v>
      </c>
      <c r="P5562" t="n">
        <v>0</v>
      </c>
      <c r="Q5562" t="n">
        <v>0</v>
      </c>
      <c r="R5562" s="2" t="inlineStr"/>
    </row>
    <row r="5563" ht="15" customHeight="1">
      <c r="A5563" t="inlineStr">
        <is>
          <t>A 33315-2025</t>
        </is>
      </c>
      <c r="B5563" s="1" t="n">
        <v>45841</v>
      </c>
      <c r="C5563" s="1" t="n">
        <v>45962</v>
      </c>
      <c r="D5563" t="inlineStr">
        <is>
          <t>JÖNKÖPINGS LÄN</t>
        </is>
      </c>
      <c r="E5563" t="inlineStr">
        <is>
          <t>VÄRNAMO</t>
        </is>
      </c>
      <c r="G5563" t="n">
        <v>3.5</v>
      </c>
      <c r="H5563" t="n">
        <v>0</v>
      </c>
      <c r="I5563" t="n">
        <v>0</v>
      </c>
      <c r="J5563" t="n">
        <v>0</v>
      </c>
      <c r="K5563" t="n">
        <v>0</v>
      </c>
      <c r="L5563" t="n">
        <v>0</v>
      </c>
      <c r="M5563" t="n">
        <v>0</v>
      </c>
      <c r="N5563" t="n">
        <v>0</v>
      </c>
      <c r="O5563" t="n">
        <v>0</v>
      </c>
      <c r="P5563" t="n">
        <v>0</v>
      </c>
      <c r="Q5563" t="n">
        <v>0</v>
      </c>
      <c r="R5563" s="2" t="inlineStr"/>
    </row>
    <row r="5564" ht="15" customHeight="1">
      <c r="A5564" t="inlineStr">
        <is>
          <t>A 33354-2025</t>
        </is>
      </c>
      <c r="B5564" s="1" t="n">
        <v>45841.37609953704</v>
      </c>
      <c r="C5564" s="1" t="n">
        <v>45962</v>
      </c>
      <c r="D5564" t="inlineStr">
        <is>
          <t>JÖNKÖPINGS LÄN</t>
        </is>
      </c>
      <c r="E5564" t="inlineStr">
        <is>
          <t>VÄRNAMO</t>
        </is>
      </c>
      <c r="G5564" t="n">
        <v>0.8</v>
      </c>
      <c r="H5564" t="n">
        <v>0</v>
      </c>
      <c r="I5564" t="n">
        <v>0</v>
      </c>
      <c r="J5564" t="n">
        <v>0</v>
      </c>
      <c r="K5564" t="n">
        <v>0</v>
      </c>
      <c r="L5564" t="n">
        <v>0</v>
      </c>
      <c r="M5564" t="n">
        <v>0</v>
      </c>
      <c r="N5564" t="n">
        <v>0</v>
      </c>
      <c r="O5564" t="n">
        <v>0</v>
      </c>
      <c r="P5564" t="n">
        <v>0</v>
      </c>
      <c r="Q5564" t="n">
        <v>0</v>
      </c>
      <c r="R5564" s="2" t="inlineStr"/>
    </row>
    <row r="5565" ht="15" customHeight="1">
      <c r="A5565" t="inlineStr">
        <is>
          <t>A 33360-2025</t>
        </is>
      </c>
      <c r="B5565" s="1" t="n">
        <v>45841.38165509259</v>
      </c>
      <c r="C5565" s="1" t="n">
        <v>45962</v>
      </c>
      <c r="D5565" t="inlineStr">
        <is>
          <t>JÖNKÖPINGS LÄN</t>
        </is>
      </c>
      <c r="E5565" t="inlineStr">
        <is>
          <t>VÄRNAMO</t>
        </is>
      </c>
      <c r="G5565" t="n">
        <v>1</v>
      </c>
      <c r="H5565" t="n">
        <v>0</v>
      </c>
      <c r="I5565" t="n">
        <v>0</v>
      </c>
      <c r="J5565" t="n">
        <v>0</v>
      </c>
      <c r="K5565" t="n">
        <v>0</v>
      </c>
      <c r="L5565" t="n">
        <v>0</v>
      </c>
      <c r="M5565" t="n">
        <v>0</v>
      </c>
      <c r="N5565" t="n">
        <v>0</v>
      </c>
      <c r="O5565" t="n">
        <v>0</v>
      </c>
      <c r="P5565" t="n">
        <v>0</v>
      </c>
      <c r="Q5565" t="n">
        <v>0</v>
      </c>
      <c r="R5565" s="2" t="inlineStr"/>
    </row>
    <row r="5566" ht="15" customHeight="1">
      <c r="A5566" t="inlineStr">
        <is>
          <t>A 33362-2025</t>
        </is>
      </c>
      <c r="B5566" s="1" t="n">
        <v>45841.38238425926</v>
      </c>
      <c r="C5566" s="1" t="n">
        <v>45962</v>
      </c>
      <c r="D5566" t="inlineStr">
        <is>
          <t>JÖNKÖPINGS LÄN</t>
        </is>
      </c>
      <c r="E5566" t="inlineStr">
        <is>
          <t>VÄRNAMO</t>
        </is>
      </c>
      <c r="G5566" t="n">
        <v>2.5</v>
      </c>
      <c r="H5566" t="n">
        <v>0</v>
      </c>
      <c r="I5566" t="n">
        <v>0</v>
      </c>
      <c r="J5566" t="n">
        <v>0</v>
      </c>
      <c r="K5566" t="n">
        <v>0</v>
      </c>
      <c r="L5566" t="n">
        <v>0</v>
      </c>
      <c r="M5566" t="n">
        <v>0</v>
      </c>
      <c r="N5566" t="n">
        <v>0</v>
      </c>
      <c r="O5566" t="n">
        <v>0</v>
      </c>
      <c r="P5566" t="n">
        <v>0</v>
      </c>
      <c r="Q5566" t="n">
        <v>0</v>
      </c>
      <c r="R5566" s="2" t="inlineStr"/>
    </row>
    <row r="5567" ht="15" customHeight="1">
      <c r="A5567" t="inlineStr">
        <is>
          <t>A 33410-2025</t>
        </is>
      </c>
      <c r="B5567" s="1" t="n">
        <v>45841.43451388889</v>
      </c>
      <c r="C5567" s="1" t="n">
        <v>45962</v>
      </c>
      <c r="D5567" t="inlineStr">
        <is>
          <t>JÖNKÖPINGS LÄN</t>
        </is>
      </c>
      <c r="E5567" t="inlineStr">
        <is>
          <t>NÄSSJÖ</t>
        </is>
      </c>
      <c r="G5567" t="n">
        <v>0.8</v>
      </c>
      <c r="H5567" t="n">
        <v>0</v>
      </c>
      <c r="I5567" t="n">
        <v>0</v>
      </c>
      <c r="J5567" t="n">
        <v>0</v>
      </c>
      <c r="K5567" t="n">
        <v>0</v>
      </c>
      <c r="L5567" t="n">
        <v>0</v>
      </c>
      <c r="M5567" t="n">
        <v>0</v>
      </c>
      <c r="N5567" t="n">
        <v>0</v>
      </c>
      <c r="O5567" t="n">
        <v>0</v>
      </c>
      <c r="P5567" t="n">
        <v>0</v>
      </c>
      <c r="Q5567" t="n">
        <v>0</v>
      </c>
      <c r="R5567" s="2" t="inlineStr"/>
    </row>
    <row r="5568" ht="15" customHeight="1">
      <c r="A5568" t="inlineStr">
        <is>
          <t>A 27675-2025</t>
        </is>
      </c>
      <c r="B5568" s="1" t="n">
        <v>45813.62960648148</v>
      </c>
      <c r="C5568" s="1" t="n">
        <v>45962</v>
      </c>
      <c r="D5568" t="inlineStr">
        <is>
          <t>JÖNKÖPINGS LÄN</t>
        </is>
      </c>
      <c r="E5568" t="inlineStr">
        <is>
          <t>GNOSJÖ</t>
        </is>
      </c>
      <c r="G5568" t="n">
        <v>3.1</v>
      </c>
      <c r="H5568" t="n">
        <v>0</v>
      </c>
      <c r="I5568" t="n">
        <v>0</v>
      </c>
      <c r="J5568" t="n">
        <v>0</v>
      </c>
      <c r="K5568" t="n">
        <v>0</v>
      </c>
      <c r="L5568" t="n">
        <v>0</v>
      </c>
      <c r="M5568" t="n">
        <v>0</v>
      </c>
      <c r="N5568" t="n">
        <v>0</v>
      </c>
      <c r="O5568" t="n">
        <v>0</v>
      </c>
      <c r="P5568" t="n">
        <v>0</v>
      </c>
      <c r="Q5568" t="n">
        <v>0</v>
      </c>
      <c r="R5568" s="2" t="inlineStr"/>
    </row>
    <row r="5569" ht="15" customHeight="1">
      <c r="A5569" t="inlineStr">
        <is>
          <t>A 41876-2024</t>
        </is>
      </c>
      <c r="B5569" s="1" t="n">
        <v>45561</v>
      </c>
      <c r="C5569" s="1" t="n">
        <v>45962</v>
      </c>
      <c r="D5569" t="inlineStr">
        <is>
          <t>JÖNKÖPINGS LÄN</t>
        </is>
      </c>
      <c r="E5569" t="inlineStr">
        <is>
          <t>VETLANDA</t>
        </is>
      </c>
      <c r="G5569" t="n">
        <v>0.7</v>
      </c>
      <c r="H5569" t="n">
        <v>0</v>
      </c>
      <c r="I5569" t="n">
        <v>0</v>
      </c>
      <c r="J5569" t="n">
        <v>0</v>
      </c>
      <c r="K5569" t="n">
        <v>0</v>
      </c>
      <c r="L5569" t="n">
        <v>0</v>
      </c>
      <c r="M5569" t="n">
        <v>0</v>
      </c>
      <c r="N5569" t="n">
        <v>0</v>
      </c>
      <c r="O5569" t="n">
        <v>0</v>
      </c>
      <c r="P5569" t="n">
        <v>0</v>
      </c>
      <c r="Q5569" t="n">
        <v>0</v>
      </c>
      <c r="R5569" s="2" t="inlineStr"/>
    </row>
    <row r="5570" ht="15" customHeight="1">
      <c r="A5570" t="inlineStr">
        <is>
          <t>A 1977-2025</t>
        </is>
      </c>
      <c r="B5570" s="1" t="n">
        <v>45672.39741898148</v>
      </c>
      <c r="C5570" s="1" t="n">
        <v>45962</v>
      </c>
      <c r="D5570" t="inlineStr">
        <is>
          <t>JÖNKÖPINGS LÄN</t>
        </is>
      </c>
      <c r="E5570" t="inlineStr">
        <is>
          <t>GISLAVED</t>
        </is>
      </c>
      <c r="G5570" t="n">
        <v>2.1</v>
      </c>
      <c r="H5570" t="n">
        <v>0</v>
      </c>
      <c r="I5570" t="n">
        <v>0</v>
      </c>
      <c r="J5570" t="n">
        <v>0</v>
      </c>
      <c r="K5570" t="n">
        <v>0</v>
      </c>
      <c r="L5570" t="n">
        <v>0</v>
      </c>
      <c r="M5570" t="n">
        <v>0</v>
      </c>
      <c r="N5570" t="n">
        <v>0</v>
      </c>
      <c r="O5570" t="n">
        <v>0</v>
      </c>
      <c r="P5570" t="n">
        <v>0</v>
      </c>
      <c r="Q5570" t="n">
        <v>0</v>
      </c>
      <c r="R5570" s="2" t="inlineStr"/>
    </row>
    <row r="5571" ht="15" customHeight="1">
      <c r="A5571" t="inlineStr">
        <is>
          <t>A 2030-2025</t>
        </is>
      </c>
      <c r="B5571" s="1" t="n">
        <v>45672.48787037037</v>
      </c>
      <c r="C5571" s="1" t="n">
        <v>45962</v>
      </c>
      <c r="D5571" t="inlineStr">
        <is>
          <t>JÖNKÖPINGS LÄN</t>
        </is>
      </c>
      <c r="E5571" t="inlineStr">
        <is>
          <t>VAGGERYD</t>
        </is>
      </c>
      <c r="F5571" t="inlineStr">
        <is>
          <t>Sveaskog</t>
        </is>
      </c>
      <c r="G5571" t="n">
        <v>1.2</v>
      </c>
      <c r="H5571" t="n">
        <v>0</v>
      </c>
      <c r="I5571" t="n">
        <v>0</v>
      </c>
      <c r="J5571" t="n">
        <v>0</v>
      </c>
      <c r="K5571" t="n">
        <v>0</v>
      </c>
      <c r="L5571" t="n">
        <v>0</v>
      </c>
      <c r="M5571" t="n">
        <v>0</v>
      </c>
      <c r="N5571" t="n">
        <v>0</v>
      </c>
      <c r="O5571" t="n">
        <v>0</v>
      </c>
      <c r="P5571" t="n">
        <v>0</v>
      </c>
      <c r="Q5571" t="n">
        <v>0</v>
      </c>
      <c r="R5571" s="2" t="inlineStr"/>
    </row>
    <row r="5572" ht="15" customHeight="1">
      <c r="A5572" t="inlineStr">
        <is>
          <t>A 1441-2024</t>
        </is>
      </c>
      <c r="B5572" s="1" t="n">
        <v>45303</v>
      </c>
      <c r="C5572" s="1" t="n">
        <v>45962</v>
      </c>
      <c r="D5572" t="inlineStr">
        <is>
          <t>JÖNKÖPINGS LÄN</t>
        </is>
      </c>
      <c r="E5572" t="inlineStr">
        <is>
          <t>VETLANDA</t>
        </is>
      </c>
      <c r="G5572" t="n">
        <v>4.8</v>
      </c>
      <c r="H5572" t="n">
        <v>0</v>
      </c>
      <c r="I5572" t="n">
        <v>0</v>
      </c>
      <c r="J5572" t="n">
        <v>0</v>
      </c>
      <c r="K5572" t="n">
        <v>0</v>
      </c>
      <c r="L5572" t="n">
        <v>0</v>
      </c>
      <c r="M5572" t="n">
        <v>0</v>
      </c>
      <c r="N5572" t="n">
        <v>0</v>
      </c>
      <c r="O5572" t="n">
        <v>0</v>
      </c>
      <c r="P5572" t="n">
        <v>0</v>
      </c>
      <c r="Q5572" t="n">
        <v>0</v>
      </c>
      <c r="R5572" s="2" t="inlineStr"/>
    </row>
    <row r="5573" ht="15" customHeight="1">
      <c r="A5573" t="inlineStr">
        <is>
          <t>A 1450-2024</t>
        </is>
      </c>
      <c r="B5573" s="1" t="n">
        <v>45303.81549768519</v>
      </c>
      <c r="C5573" s="1" t="n">
        <v>45962</v>
      </c>
      <c r="D5573" t="inlineStr">
        <is>
          <t>JÖNKÖPINGS LÄN</t>
        </is>
      </c>
      <c r="E5573" t="inlineStr">
        <is>
          <t>GNOSJÖ</t>
        </is>
      </c>
      <c r="G5573" t="n">
        <v>0.9</v>
      </c>
      <c r="H5573" t="n">
        <v>0</v>
      </c>
      <c r="I5573" t="n">
        <v>0</v>
      </c>
      <c r="J5573" t="n">
        <v>0</v>
      </c>
      <c r="K5573" t="n">
        <v>0</v>
      </c>
      <c r="L5573" t="n">
        <v>0</v>
      </c>
      <c r="M5573" t="n">
        <v>0</v>
      </c>
      <c r="N5573" t="n">
        <v>0</v>
      </c>
      <c r="O5573" t="n">
        <v>0</v>
      </c>
      <c r="P5573" t="n">
        <v>0</v>
      </c>
      <c r="Q5573" t="n">
        <v>0</v>
      </c>
      <c r="R5573" s="2" t="inlineStr"/>
    </row>
    <row r="5574" ht="15" customHeight="1">
      <c r="A5574" t="inlineStr">
        <is>
          <t>A 17363-2025</t>
        </is>
      </c>
      <c r="B5574" s="1" t="n">
        <v>45756</v>
      </c>
      <c r="C5574" s="1" t="n">
        <v>45962</v>
      </c>
      <c r="D5574" t="inlineStr">
        <is>
          <t>JÖNKÖPINGS LÄN</t>
        </is>
      </c>
      <c r="E5574" t="inlineStr">
        <is>
          <t>JÖNKÖPING</t>
        </is>
      </c>
      <c r="G5574" t="n">
        <v>0.9</v>
      </c>
      <c r="H5574" t="n">
        <v>0</v>
      </c>
      <c r="I5574" t="n">
        <v>0</v>
      </c>
      <c r="J5574" t="n">
        <v>0</v>
      </c>
      <c r="K5574" t="n">
        <v>0</v>
      </c>
      <c r="L5574" t="n">
        <v>0</v>
      </c>
      <c r="M5574" t="n">
        <v>0</v>
      </c>
      <c r="N5574" t="n">
        <v>0</v>
      </c>
      <c r="O5574" t="n">
        <v>0</v>
      </c>
      <c r="P5574" t="n">
        <v>0</v>
      </c>
      <c r="Q5574" t="n">
        <v>0</v>
      </c>
      <c r="R5574" s="2" t="inlineStr"/>
    </row>
    <row r="5575" ht="15" customHeight="1">
      <c r="A5575" t="inlineStr">
        <is>
          <t>A 34069-2021</t>
        </is>
      </c>
      <c r="B5575" s="1" t="n">
        <v>44379.40621527778</v>
      </c>
      <c r="C5575" s="1" t="n">
        <v>45962</v>
      </c>
      <c r="D5575" t="inlineStr">
        <is>
          <t>JÖNKÖPINGS LÄN</t>
        </is>
      </c>
      <c r="E5575" t="inlineStr">
        <is>
          <t>VAGGERYD</t>
        </is>
      </c>
      <c r="G5575" t="n">
        <v>2.3</v>
      </c>
      <c r="H5575" t="n">
        <v>0</v>
      </c>
      <c r="I5575" t="n">
        <v>0</v>
      </c>
      <c r="J5575" t="n">
        <v>0</v>
      </c>
      <c r="K5575" t="n">
        <v>0</v>
      </c>
      <c r="L5575" t="n">
        <v>0</v>
      </c>
      <c r="M5575" t="n">
        <v>0</v>
      </c>
      <c r="N5575" t="n">
        <v>0</v>
      </c>
      <c r="O5575" t="n">
        <v>0</v>
      </c>
      <c r="P5575" t="n">
        <v>0</v>
      </c>
      <c r="Q5575" t="n">
        <v>0</v>
      </c>
      <c r="R5575" s="2" t="inlineStr"/>
    </row>
    <row r="5576" ht="15" customHeight="1">
      <c r="A5576" t="inlineStr">
        <is>
          <t>A 34245-2025</t>
        </is>
      </c>
      <c r="B5576" s="1" t="n">
        <v>45845.68017361111</v>
      </c>
      <c r="C5576" s="1" t="n">
        <v>45962</v>
      </c>
      <c r="D5576" t="inlineStr">
        <is>
          <t>JÖNKÖPINGS LÄN</t>
        </is>
      </c>
      <c r="E5576" t="inlineStr">
        <is>
          <t>VÄRNAMO</t>
        </is>
      </c>
      <c r="G5576" t="n">
        <v>3.5</v>
      </c>
      <c r="H5576" t="n">
        <v>0</v>
      </c>
      <c r="I5576" t="n">
        <v>0</v>
      </c>
      <c r="J5576" t="n">
        <v>0</v>
      </c>
      <c r="K5576" t="n">
        <v>0</v>
      </c>
      <c r="L5576" t="n">
        <v>0</v>
      </c>
      <c r="M5576" t="n">
        <v>0</v>
      </c>
      <c r="N5576" t="n">
        <v>0</v>
      </c>
      <c r="O5576" t="n">
        <v>0</v>
      </c>
      <c r="P5576" t="n">
        <v>0</v>
      </c>
      <c r="Q5576" t="n">
        <v>0</v>
      </c>
      <c r="R5576" s="2" t="inlineStr"/>
    </row>
    <row r="5577" ht="15" customHeight="1">
      <c r="A5577" t="inlineStr">
        <is>
          <t>A 33978-2025</t>
        </is>
      </c>
      <c r="B5577" s="1" t="n">
        <v>45843.32988425926</v>
      </c>
      <c r="C5577" s="1" t="n">
        <v>45962</v>
      </c>
      <c r="D5577" t="inlineStr">
        <is>
          <t>JÖNKÖPINGS LÄN</t>
        </is>
      </c>
      <c r="E5577" t="inlineStr">
        <is>
          <t>NÄSSJÖ</t>
        </is>
      </c>
      <c r="G5577" t="n">
        <v>0.9</v>
      </c>
      <c r="H5577" t="n">
        <v>0</v>
      </c>
      <c r="I5577" t="n">
        <v>0</v>
      </c>
      <c r="J5577" t="n">
        <v>0</v>
      </c>
      <c r="K5577" t="n">
        <v>0</v>
      </c>
      <c r="L5577" t="n">
        <v>0</v>
      </c>
      <c r="M5577" t="n">
        <v>0</v>
      </c>
      <c r="N5577" t="n">
        <v>0</v>
      </c>
      <c r="O5577" t="n">
        <v>0</v>
      </c>
      <c r="P5577" t="n">
        <v>0</v>
      </c>
      <c r="Q5577" t="n">
        <v>0</v>
      </c>
      <c r="R5577" s="2" t="inlineStr"/>
    </row>
    <row r="5578" ht="15" customHeight="1">
      <c r="A5578" t="inlineStr">
        <is>
          <t>A 3181-2023</t>
        </is>
      </c>
      <c r="B5578" s="1" t="n">
        <v>44946</v>
      </c>
      <c r="C5578" s="1" t="n">
        <v>45962</v>
      </c>
      <c r="D5578" t="inlineStr">
        <is>
          <t>JÖNKÖPINGS LÄN</t>
        </is>
      </c>
      <c r="E5578" t="inlineStr">
        <is>
          <t>NÄSSJÖ</t>
        </is>
      </c>
      <c r="G5578" t="n">
        <v>0.6</v>
      </c>
      <c r="H5578" t="n">
        <v>0</v>
      </c>
      <c r="I5578" t="n">
        <v>0</v>
      </c>
      <c r="J5578" t="n">
        <v>0</v>
      </c>
      <c r="K5578" t="n">
        <v>0</v>
      </c>
      <c r="L5578" t="n">
        <v>0</v>
      </c>
      <c r="M5578" t="n">
        <v>0</v>
      </c>
      <c r="N5578" t="n">
        <v>0</v>
      </c>
      <c r="O5578" t="n">
        <v>0</v>
      </c>
      <c r="P5578" t="n">
        <v>0</v>
      </c>
      <c r="Q5578" t="n">
        <v>0</v>
      </c>
      <c r="R5578" s="2" t="inlineStr"/>
    </row>
    <row r="5579" ht="15" customHeight="1">
      <c r="A5579" t="inlineStr">
        <is>
          <t>A 39650-2024</t>
        </is>
      </c>
      <c r="B5579" s="1" t="n">
        <v>45552.48335648148</v>
      </c>
      <c r="C5579" s="1" t="n">
        <v>45962</v>
      </c>
      <c r="D5579" t="inlineStr">
        <is>
          <t>JÖNKÖPINGS LÄN</t>
        </is>
      </c>
      <c r="E5579" t="inlineStr">
        <is>
          <t>JÖNKÖPING</t>
        </is>
      </c>
      <c r="G5579" t="n">
        <v>1.8</v>
      </c>
      <c r="H5579" t="n">
        <v>0</v>
      </c>
      <c r="I5579" t="n">
        <v>0</v>
      </c>
      <c r="J5579" t="n">
        <v>0</v>
      </c>
      <c r="K5579" t="n">
        <v>0</v>
      </c>
      <c r="L5579" t="n">
        <v>0</v>
      </c>
      <c r="M5579" t="n">
        <v>0</v>
      </c>
      <c r="N5579" t="n">
        <v>0</v>
      </c>
      <c r="O5579" t="n">
        <v>0</v>
      </c>
      <c r="P5579" t="n">
        <v>0</v>
      </c>
      <c r="Q5579" t="n">
        <v>0</v>
      </c>
      <c r="R5579" s="2" t="inlineStr"/>
    </row>
    <row r="5580" ht="15" customHeight="1">
      <c r="A5580" t="inlineStr">
        <is>
          <t>A 31017-2024</t>
        </is>
      </c>
      <c r="B5580" s="1" t="n">
        <v>45499.71973379629</v>
      </c>
      <c r="C5580" s="1" t="n">
        <v>45962</v>
      </c>
      <c r="D5580" t="inlineStr">
        <is>
          <t>JÖNKÖPINGS LÄN</t>
        </is>
      </c>
      <c r="E5580" t="inlineStr">
        <is>
          <t>VAGGERYD</t>
        </is>
      </c>
      <c r="F5580" t="inlineStr">
        <is>
          <t>Sveaskog</t>
        </is>
      </c>
      <c r="G5580" t="n">
        <v>0.5</v>
      </c>
      <c r="H5580" t="n">
        <v>0</v>
      </c>
      <c r="I5580" t="n">
        <v>0</v>
      </c>
      <c r="J5580" t="n">
        <v>0</v>
      </c>
      <c r="K5580" t="n">
        <v>0</v>
      </c>
      <c r="L5580" t="n">
        <v>0</v>
      </c>
      <c r="M5580" t="n">
        <v>0</v>
      </c>
      <c r="N5580" t="n">
        <v>0</v>
      </c>
      <c r="O5580" t="n">
        <v>0</v>
      </c>
      <c r="P5580" t="n">
        <v>0</v>
      </c>
      <c r="Q5580" t="n">
        <v>0</v>
      </c>
      <c r="R5580" s="2" t="inlineStr"/>
    </row>
    <row r="5581" ht="15" customHeight="1">
      <c r="A5581" t="inlineStr">
        <is>
          <t>A 38575-2025</t>
        </is>
      </c>
      <c r="B5581" s="1" t="n">
        <v>45884.4650925926</v>
      </c>
      <c r="C5581" s="1" t="n">
        <v>45962</v>
      </c>
      <c r="D5581" t="inlineStr">
        <is>
          <t>JÖNKÖPINGS LÄN</t>
        </is>
      </c>
      <c r="E5581" t="inlineStr">
        <is>
          <t>SÄVSJÖ</t>
        </is>
      </c>
      <c r="G5581" t="n">
        <v>3.4</v>
      </c>
      <c r="H5581" t="n">
        <v>0</v>
      </c>
      <c r="I5581" t="n">
        <v>0</v>
      </c>
      <c r="J5581" t="n">
        <v>0</v>
      </c>
      <c r="K5581" t="n">
        <v>0</v>
      </c>
      <c r="L5581" t="n">
        <v>0</v>
      </c>
      <c r="M5581" t="n">
        <v>0</v>
      </c>
      <c r="N5581" t="n">
        <v>0</v>
      </c>
      <c r="O5581" t="n">
        <v>0</v>
      </c>
      <c r="P5581" t="n">
        <v>0</v>
      </c>
      <c r="Q5581" t="n">
        <v>0</v>
      </c>
      <c r="R5581" s="2" t="inlineStr"/>
    </row>
    <row r="5582" ht="15" customHeight="1">
      <c r="A5582" t="inlineStr">
        <is>
          <t>A 10590-2023</t>
        </is>
      </c>
      <c r="B5582" s="1" t="n">
        <v>44988</v>
      </c>
      <c r="C5582" s="1" t="n">
        <v>45962</v>
      </c>
      <c r="D5582" t="inlineStr">
        <is>
          <t>JÖNKÖPINGS LÄN</t>
        </is>
      </c>
      <c r="E5582" t="inlineStr">
        <is>
          <t>VAGGERYD</t>
        </is>
      </c>
      <c r="G5582" t="n">
        <v>4.1</v>
      </c>
      <c r="H5582" t="n">
        <v>0</v>
      </c>
      <c r="I5582" t="n">
        <v>0</v>
      </c>
      <c r="J5582" t="n">
        <v>0</v>
      </c>
      <c r="K5582" t="n">
        <v>0</v>
      </c>
      <c r="L5582" t="n">
        <v>0</v>
      </c>
      <c r="M5582" t="n">
        <v>0</v>
      </c>
      <c r="N5582" t="n">
        <v>0</v>
      </c>
      <c r="O5582" t="n">
        <v>0</v>
      </c>
      <c r="P5582" t="n">
        <v>0</v>
      </c>
      <c r="Q5582" t="n">
        <v>0</v>
      </c>
      <c r="R5582" s="2" t="inlineStr"/>
    </row>
    <row r="5583" ht="15" customHeight="1">
      <c r="A5583" t="inlineStr">
        <is>
          <t>A 39685-2024</t>
        </is>
      </c>
      <c r="B5583" s="1" t="n">
        <v>45552.55456018518</v>
      </c>
      <c r="C5583" s="1" t="n">
        <v>45962</v>
      </c>
      <c r="D5583" t="inlineStr">
        <is>
          <t>JÖNKÖPINGS LÄN</t>
        </is>
      </c>
      <c r="E5583" t="inlineStr">
        <is>
          <t>ANEBY</t>
        </is>
      </c>
      <c r="G5583" t="n">
        <v>0.5</v>
      </c>
      <c r="H5583" t="n">
        <v>0</v>
      </c>
      <c r="I5583" t="n">
        <v>0</v>
      </c>
      <c r="J5583" t="n">
        <v>0</v>
      </c>
      <c r="K5583" t="n">
        <v>0</v>
      </c>
      <c r="L5583" t="n">
        <v>0</v>
      </c>
      <c r="M5583" t="n">
        <v>0</v>
      </c>
      <c r="N5583" t="n">
        <v>0</v>
      </c>
      <c r="O5583" t="n">
        <v>0</v>
      </c>
      <c r="P5583" t="n">
        <v>0</v>
      </c>
      <c r="Q5583" t="n">
        <v>0</v>
      </c>
      <c r="R5583" s="2" t="inlineStr"/>
    </row>
    <row r="5584" ht="15" customHeight="1">
      <c r="A5584" t="inlineStr">
        <is>
          <t>A 4577-2022</t>
        </is>
      </c>
      <c r="B5584" s="1" t="n">
        <v>44591</v>
      </c>
      <c r="C5584" s="1" t="n">
        <v>45962</v>
      </c>
      <c r="D5584" t="inlineStr">
        <is>
          <t>JÖNKÖPINGS LÄN</t>
        </is>
      </c>
      <c r="E5584" t="inlineStr">
        <is>
          <t>JÖNKÖPING</t>
        </is>
      </c>
      <c r="G5584" t="n">
        <v>1.4</v>
      </c>
      <c r="H5584" t="n">
        <v>0</v>
      </c>
      <c r="I5584" t="n">
        <v>0</v>
      </c>
      <c r="J5584" t="n">
        <v>0</v>
      </c>
      <c r="K5584" t="n">
        <v>0</v>
      </c>
      <c r="L5584" t="n">
        <v>0</v>
      </c>
      <c r="M5584" t="n">
        <v>0</v>
      </c>
      <c r="N5584" t="n">
        <v>0</v>
      </c>
      <c r="O5584" t="n">
        <v>0</v>
      </c>
      <c r="P5584" t="n">
        <v>0</v>
      </c>
      <c r="Q5584" t="n">
        <v>0</v>
      </c>
      <c r="R5584" s="2" t="inlineStr"/>
    </row>
    <row r="5585" ht="15" customHeight="1">
      <c r="A5585" t="inlineStr">
        <is>
          <t>A 20558-2023</t>
        </is>
      </c>
      <c r="B5585" s="1" t="n">
        <v>45057.62520833333</v>
      </c>
      <c r="C5585" s="1" t="n">
        <v>45962</v>
      </c>
      <c r="D5585" t="inlineStr">
        <is>
          <t>JÖNKÖPINGS LÄN</t>
        </is>
      </c>
      <c r="E5585" t="inlineStr">
        <is>
          <t>TRANÅS</t>
        </is>
      </c>
      <c r="G5585" t="n">
        <v>0.9</v>
      </c>
      <c r="H5585" t="n">
        <v>0</v>
      </c>
      <c r="I5585" t="n">
        <v>0</v>
      </c>
      <c r="J5585" t="n">
        <v>0</v>
      </c>
      <c r="K5585" t="n">
        <v>0</v>
      </c>
      <c r="L5585" t="n">
        <v>0</v>
      </c>
      <c r="M5585" t="n">
        <v>0</v>
      </c>
      <c r="N5585" t="n">
        <v>0</v>
      </c>
      <c r="O5585" t="n">
        <v>0</v>
      </c>
      <c r="P5585" t="n">
        <v>0</v>
      </c>
      <c r="Q5585" t="n">
        <v>0</v>
      </c>
      <c r="R5585" s="2" t="inlineStr"/>
    </row>
    <row r="5586" ht="15" customHeight="1">
      <c r="A5586" t="inlineStr">
        <is>
          <t>A 34120-2025</t>
        </is>
      </c>
      <c r="B5586" s="1" t="n">
        <v>45845.51800925926</v>
      </c>
      <c r="C5586" s="1" t="n">
        <v>45962</v>
      </c>
      <c r="D5586" t="inlineStr">
        <is>
          <t>JÖNKÖPINGS LÄN</t>
        </is>
      </c>
      <c r="E5586" t="inlineStr">
        <is>
          <t>VETLANDA</t>
        </is>
      </c>
      <c r="G5586" t="n">
        <v>3.5</v>
      </c>
      <c r="H5586" t="n">
        <v>0</v>
      </c>
      <c r="I5586" t="n">
        <v>0</v>
      </c>
      <c r="J5586" t="n">
        <v>0</v>
      </c>
      <c r="K5586" t="n">
        <v>0</v>
      </c>
      <c r="L5586" t="n">
        <v>0</v>
      </c>
      <c r="M5586" t="n">
        <v>0</v>
      </c>
      <c r="N5586" t="n">
        <v>0</v>
      </c>
      <c r="O5586" t="n">
        <v>0</v>
      </c>
      <c r="P5586" t="n">
        <v>0</v>
      </c>
      <c r="Q5586" t="n">
        <v>0</v>
      </c>
      <c r="R5586" s="2" t="inlineStr"/>
    </row>
    <row r="5587" ht="15" customHeight="1">
      <c r="A5587" t="inlineStr">
        <is>
          <t>A 4679-2022</t>
        </is>
      </c>
      <c r="B5587" s="1" t="n">
        <v>44592.47372685185</v>
      </c>
      <c r="C5587" s="1" t="n">
        <v>45962</v>
      </c>
      <c r="D5587" t="inlineStr">
        <is>
          <t>JÖNKÖPINGS LÄN</t>
        </is>
      </c>
      <c r="E5587" t="inlineStr">
        <is>
          <t>VETLANDA</t>
        </is>
      </c>
      <c r="G5587" t="n">
        <v>0.9</v>
      </c>
      <c r="H5587" t="n">
        <v>0</v>
      </c>
      <c r="I5587" t="n">
        <v>0</v>
      </c>
      <c r="J5587" t="n">
        <v>0</v>
      </c>
      <c r="K5587" t="n">
        <v>0</v>
      </c>
      <c r="L5587" t="n">
        <v>0</v>
      </c>
      <c r="M5587" t="n">
        <v>0</v>
      </c>
      <c r="N5587" t="n">
        <v>0</v>
      </c>
      <c r="O5587" t="n">
        <v>0</v>
      </c>
      <c r="P5587" t="n">
        <v>0</v>
      </c>
      <c r="Q5587" t="n">
        <v>0</v>
      </c>
      <c r="R5587" s="2" t="inlineStr"/>
    </row>
    <row r="5588" ht="15" customHeight="1">
      <c r="A5588" t="inlineStr">
        <is>
          <t>A 40280-2024</t>
        </is>
      </c>
      <c r="B5588" s="1" t="n">
        <v>45554</v>
      </c>
      <c r="C5588" s="1" t="n">
        <v>45962</v>
      </c>
      <c r="D5588" t="inlineStr">
        <is>
          <t>JÖNKÖPINGS LÄN</t>
        </is>
      </c>
      <c r="E5588" t="inlineStr">
        <is>
          <t>HABO</t>
        </is>
      </c>
      <c r="G5588" t="n">
        <v>6.9</v>
      </c>
      <c r="H5588" t="n">
        <v>0</v>
      </c>
      <c r="I5588" t="n">
        <v>0</v>
      </c>
      <c r="J5588" t="n">
        <v>0</v>
      </c>
      <c r="K5588" t="n">
        <v>0</v>
      </c>
      <c r="L5588" t="n">
        <v>0</v>
      </c>
      <c r="M5588" t="n">
        <v>0</v>
      </c>
      <c r="N5588" t="n">
        <v>0</v>
      </c>
      <c r="O5588" t="n">
        <v>0</v>
      </c>
      <c r="P5588" t="n">
        <v>0</v>
      </c>
      <c r="Q5588" t="n">
        <v>0</v>
      </c>
      <c r="R5588" s="2" t="inlineStr"/>
    </row>
    <row r="5589" ht="15" customHeight="1">
      <c r="A5589" t="inlineStr">
        <is>
          <t>A 33051-2023</t>
        </is>
      </c>
      <c r="B5589" s="1" t="n">
        <v>45126</v>
      </c>
      <c r="C5589" s="1" t="n">
        <v>45962</v>
      </c>
      <c r="D5589" t="inlineStr">
        <is>
          <t>JÖNKÖPINGS LÄN</t>
        </is>
      </c>
      <c r="E5589" t="inlineStr">
        <is>
          <t>ANEBY</t>
        </is>
      </c>
      <c r="G5589" t="n">
        <v>0.7</v>
      </c>
      <c r="H5589" t="n">
        <v>0</v>
      </c>
      <c r="I5589" t="n">
        <v>0</v>
      </c>
      <c r="J5589" t="n">
        <v>0</v>
      </c>
      <c r="K5589" t="n">
        <v>0</v>
      </c>
      <c r="L5589" t="n">
        <v>0</v>
      </c>
      <c r="M5589" t="n">
        <v>0</v>
      </c>
      <c r="N5589" t="n">
        <v>0</v>
      </c>
      <c r="O5589" t="n">
        <v>0</v>
      </c>
      <c r="P5589" t="n">
        <v>0</v>
      </c>
      <c r="Q5589" t="n">
        <v>0</v>
      </c>
      <c r="R5589" s="2" t="inlineStr"/>
    </row>
    <row r="5590" ht="15" customHeight="1">
      <c r="A5590" t="inlineStr">
        <is>
          <t>A 5645-2024</t>
        </is>
      </c>
      <c r="B5590" s="1" t="n">
        <v>45334.62074074074</v>
      </c>
      <c r="C5590" s="1" t="n">
        <v>45962</v>
      </c>
      <c r="D5590" t="inlineStr">
        <is>
          <t>JÖNKÖPINGS LÄN</t>
        </is>
      </c>
      <c r="E5590" t="inlineStr">
        <is>
          <t>EKSJÖ</t>
        </is>
      </c>
      <c r="F5590" t="inlineStr">
        <is>
          <t>Sveaskog</t>
        </is>
      </c>
      <c r="G5590" t="n">
        <v>16.1</v>
      </c>
      <c r="H5590" t="n">
        <v>0</v>
      </c>
      <c r="I5590" t="n">
        <v>0</v>
      </c>
      <c r="J5590" t="n">
        <v>0</v>
      </c>
      <c r="K5590" t="n">
        <v>0</v>
      </c>
      <c r="L5590" t="n">
        <v>0</v>
      </c>
      <c r="M5590" t="n">
        <v>0</v>
      </c>
      <c r="N5590" t="n">
        <v>0</v>
      </c>
      <c r="O5590" t="n">
        <v>0</v>
      </c>
      <c r="P5590" t="n">
        <v>0</v>
      </c>
      <c r="Q5590" t="n">
        <v>0</v>
      </c>
      <c r="R5590" s="2" t="inlineStr"/>
    </row>
    <row r="5591" ht="15" customHeight="1">
      <c r="A5591" t="inlineStr">
        <is>
          <t>A 5712-2024</t>
        </is>
      </c>
      <c r="B5591" s="1" t="n">
        <v>45334</v>
      </c>
      <c r="C5591" s="1" t="n">
        <v>45962</v>
      </c>
      <c r="D5591" t="inlineStr">
        <is>
          <t>JÖNKÖPINGS LÄN</t>
        </is>
      </c>
      <c r="E5591" t="inlineStr">
        <is>
          <t>EKSJÖ</t>
        </is>
      </c>
      <c r="G5591" t="n">
        <v>2.9</v>
      </c>
      <c r="H5591" t="n">
        <v>0</v>
      </c>
      <c r="I5591" t="n">
        <v>0</v>
      </c>
      <c r="J5591" t="n">
        <v>0</v>
      </c>
      <c r="K5591" t="n">
        <v>0</v>
      </c>
      <c r="L5591" t="n">
        <v>0</v>
      </c>
      <c r="M5591" t="n">
        <v>0</v>
      </c>
      <c r="N5591" t="n">
        <v>0</v>
      </c>
      <c r="O5591" t="n">
        <v>0</v>
      </c>
      <c r="P5591" t="n">
        <v>0</v>
      </c>
      <c r="Q5591" t="n">
        <v>0</v>
      </c>
      <c r="R5591" s="2" t="inlineStr"/>
    </row>
    <row r="5592" ht="15" customHeight="1">
      <c r="A5592" t="inlineStr">
        <is>
          <t>A 57038-2021</t>
        </is>
      </c>
      <c r="B5592" s="1" t="n">
        <v>44482.51827546296</v>
      </c>
      <c r="C5592" s="1" t="n">
        <v>45962</v>
      </c>
      <c r="D5592" t="inlineStr">
        <is>
          <t>JÖNKÖPINGS LÄN</t>
        </is>
      </c>
      <c r="E5592" t="inlineStr">
        <is>
          <t>TRANÅS</t>
        </is>
      </c>
      <c r="G5592" t="n">
        <v>1</v>
      </c>
      <c r="H5592" t="n">
        <v>0</v>
      </c>
      <c r="I5592" t="n">
        <v>0</v>
      </c>
      <c r="J5592" t="n">
        <v>0</v>
      </c>
      <c r="K5592" t="n">
        <v>0</v>
      </c>
      <c r="L5592" t="n">
        <v>0</v>
      </c>
      <c r="M5592" t="n">
        <v>0</v>
      </c>
      <c r="N5592" t="n">
        <v>0</v>
      </c>
      <c r="O5592" t="n">
        <v>0</v>
      </c>
      <c r="P5592" t="n">
        <v>0</v>
      </c>
      <c r="Q5592" t="n">
        <v>0</v>
      </c>
      <c r="R5592" s="2" t="inlineStr"/>
    </row>
    <row r="5593" ht="15" customHeight="1">
      <c r="A5593" t="inlineStr">
        <is>
          <t>A 24501-2024</t>
        </is>
      </c>
      <c r="B5593" s="1" t="n">
        <v>45460.23224537037</v>
      </c>
      <c r="C5593" s="1" t="n">
        <v>45962</v>
      </c>
      <c r="D5593" t="inlineStr">
        <is>
          <t>JÖNKÖPINGS LÄN</t>
        </is>
      </c>
      <c r="E5593" t="inlineStr">
        <is>
          <t>NÄSSJÖ</t>
        </is>
      </c>
      <c r="G5593" t="n">
        <v>0.6</v>
      </c>
      <c r="H5593" t="n">
        <v>0</v>
      </c>
      <c r="I5593" t="n">
        <v>0</v>
      </c>
      <c r="J5593" t="n">
        <v>0</v>
      </c>
      <c r="K5593" t="n">
        <v>0</v>
      </c>
      <c r="L5593" t="n">
        <v>0</v>
      </c>
      <c r="M5593" t="n">
        <v>0</v>
      </c>
      <c r="N5593" t="n">
        <v>0</v>
      </c>
      <c r="O5593" t="n">
        <v>0</v>
      </c>
      <c r="P5593" t="n">
        <v>0</v>
      </c>
      <c r="Q5593" t="n">
        <v>0</v>
      </c>
      <c r="R5593" s="2" t="inlineStr"/>
    </row>
    <row r="5594" ht="15" customHeight="1">
      <c r="A5594" t="inlineStr">
        <is>
          <t>A 24523-2024</t>
        </is>
      </c>
      <c r="B5594" s="1" t="n">
        <v>45460.36145833333</v>
      </c>
      <c r="C5594" s="1" t="n">
        <v>45962</v>
      </c>
      <c r="D5594" t="inlineStr">
        <is>
          <t>JÖNKÖPINGS LÄN</t>
        </is>
      </c>
      <c r="E5594" t="inlineStr">
        <is>
          <t>VAGGERYD</t>
        </is>
      </c>
      <c r="G5594" t="n">
        <v>2.3</v>
      </c>
      <c r="H5594" t="n">
        <v>0</v>
      </c>
      <c r="I5594" t="n">
        <v>0</v>
      </c>
      <c r="J5594" t="n">
        <v>0</v>
      </c>
      <c r="K5594" t="n">
        <v>0</v>
      </c>
      <c r="L5594" t="n">
        <v>0</v>
      </c>
      <c r="M5594" t="n">
        <v>0</v>
      </c>
      <c r="N5594" t="n">
        <v>0</v>
      </c>
      <c r="O5594" t="n">
        <v>0</v>
      </c>
      <c r="P5594" t="n">
        <v>0</v>
      </c>
      <c r="Q5594" t="n">
        <v>0</v>
      </c>
      <c r="R5594" s="2" t="inlineStr"/>
    </row>
    <row r="5595" ht="15" customHeight="1">
      <c r="A5595" t="inlineStr">
        <is>
          <t>A 8262-2025</t>
        </is>
      </c>
      <c r="B5595" s="1" t="n">
        <v>45708.50255787037</v>
      </c>
      <c r="C5595" s="1" t="n">
        <v>45962</v>
      </c>
      <c r="D5595" t="inlineStr">
        <is>
          <t>JÖNKÖPINGS LÄN</t>
        </is>
      </c>
      <c r="E5595" t="inlineStr">
        <is>
          <t>JÖNKÖPING</t>
        </is>
      </c>
      <c r="G5595" t="n">
        <v>0.5</v>
      </c>
      <c r="H5595" t="n">
        <v>0</v>
      </c>
      <c r="I5595" t="n">
        <v>0</v>
      </c>
      <c r="J5595" t="n">
        <v>0</v>
      </c>
      <c r="K5595" t="n">
        <v>0</v>
      </c>
      <c r="L5595" t="n">
        <v>0</v>
      </c>
      <c r="M5595" t="n">
        <v>0</v>
      </c>
      <c r="N5595" t="n">
        <v>0</v>
      </c>
      <c r="O5595" t="n">
        <v>0</v>
      </c>
      <c r="P5595" t="n">
        <v>0</v>
      </c>
      <c r="Q5595" t="n">
        <v>0</v>
      </c>
      <c r="R5595" s="2" t="inlineStr"/>
    </row>
    <row r="5596" ht="15" customHeight="1">
      <c r="A5596" t="inlineStr">
        <is>
          <t>A 34194-2025</t>
        </is>
      </c>
      <c r="B5596" s="1" t="n">
        <v>45845.62190972222</v>
      </c>
      <c r="C5596" s="1" t="n">
        <v>45962</v>
      </c>
      <c r="D5596" t="inlineStr">
        <is>
          <t>JÖNKÖPINGS LÄN</t>
        </is>
      </c>
      <c r="E5596" t="inlineStr">
        <is>
          <t>GISLAVED</t>
        </is>
      </c>
      <c r="G5596" t="n">
        <v>1.6</v>
      </c>
      <c r="H5596" t="n">
        <v>0</v>
      </c>
      <c r="I5596" t="n">
        <v>0</v>
      </c>
      <c r="J5596" t="n">
        <v>0</v>
      </c>
      <c r="K5596" t="n">
        <v>0</v>
      </c>
      <c r="L5596" t="n">
        <v>0</v>
      </c>
      <c r="M5596" t="n">
        <v>0</v>
      </c>
      <c r="N5596" t="n">
        <v>0</v>
      </c>
      <c r="O5596" t="n">
        <v>0</v>
      </c>
      <c r="P5596" t="n">
        <v>0</v>
      </c>
      <c r="Q5596" t="n">
        <v>0</v>
      </c>
      <c r="R5596" s="2" t="inlineStr"/>
    </row>
    <row r="5597" ht="15" customHeight="1">
      <c r="A5597" t="inlineStr">
        <is>
          <t>A 52241-2022</t>
        </is>
      </c>
      <c r="B5597" s="1" t="n">
        <v>44873.59988425926</v>
      </c>
      <c r="C5597" s="1" t="n">
        <v>45962</v>
      </c>
      <c r="D5597" t="inlineStr">
        <is>
          <t>JÖNKÖPINGS LÄN</t>
        </is>
      </c>
      <c r="E5597" t="inlineStr">
        <is>
          <t>NÄSSJÖ</t>
        </is>
      </c>
      <c r="G5597" t="n">
        <v>0.9</v>
      </c>
      <c r="H5597" t="n">
        <v>0</v>
      </c>
      <c r="I5597" t="n">
        <v>0</v>
      </c>
      <c r="J5597" t="n">
        <v>0</v>
      </c>
      <c r="K5597" t="n">
        <v>0</v>
      </c>
      <c r="L5597" t="n">
        <v>0</v>
      </c>
      <c r="M5597" t="n">
        <v>0</v>
      </c>
      <c r="N5597" t="n">
        <v>0</v>
      </c>
      <c r="O5597" t="n">
        <v>0</v>
      </c>
      <c r="P5597" t="n">
        <v>0</v>
      </c>
      <c r="Q5597" t="n">
        <v>0</v>
      </c>
      <c r="R5597" s="2" t="inlineStr"/>
    </row>
    <row r="5598" ht="15" customHeight="1">
      <c r="A5598" t="inlineStr">
        <is>
          <t>A 64851-2023</t>
        </is>
      </c>
      <c r="B5598" s="1" t="n">
        <v>45282</v>
      </c>
      <c r="C5598" s="1" t="n">
        <v>45962</v>
      </c>
      <c r="D5598" t="inlineStr">
        <is>
          <t>JÖNKÖPINGS LÄN</t>
        </is>
      </c>
      <c r="E5598" t="inlineStr">
        <is>
          <t>VETLANDA</t>
        </is>
      </c>
      <c r="G5598" t="n">
        <v>2.1</v>
      </c>
      <c r="H5598" t="n">
        <v>0</v>
      </c>
      <c r="I5598" t="n">
        <v>0</v>
      </c>
      <c r="J5598" t="n">
        <v>0</v>
      </c>
      <c r="K5598" t="n">
        <v>0</v>
      </c>
      <c r="L5598" t="n">
        <v>0</v>
      </c>
      <c r="M5598" t="n">
        <v>0</v>
      </c>
      <c r="N5598" t="n">
        <v>0</v>
      </c>
      <c r="O5598" t="n">
        <v>0</v>
      </c>
      <c r="P5598" t="n">
        <v>0</v>
      </c>
      <c r="Q5598" t="n">
        <v>0</v>
      </c>
      <c r="R5598" s="2" t="inlineStr"/>
    </row>
    <row r="5599" ht="15" customHeight="1">
      <c r="A5599" t="inlineStr">
        <is>
          <t>A 41460-2023</t>
        </is>
      </c>
      <c r="B5599" s="1" t="n">
        <v>45175</v>
      </c>
      <c r="C5599" s="1" t="n">
        <v>45962</v>
      </c>
      <c r="D5599" t="inlineStr">
        <is>
          <t>JÖNKÖPINGS LÄN</t>
        </is>
      </c>
      <c r="E5599" t="inlineStr">
        <is>
          <t>VÄRNAMO</t>
        </is>
      </c>
      <c r="G5599" t="n">
        <v>4</v>
      </c>
      <c r="H5599" t="n">
        <v>0</v>
      </c>
      <c r="I5599" t="n">
        <v>0</v>
      </c>
      <c r="J5599" t="n">
        <v>0</v>
      </c>
      <c r="K5599" t="n">
        <v>0</v>
      </c>
      <c r="L5599" t="n">
        <v>0</v>
      </c>
      <c r="M5599" t="n">
        <v>0</v>
      </c>
      <c r="N5599" t="n">
        <v>0</v>
      </c>
      <c r="O5599" t="n">
        <v>0</v>
      </c>
      <c r="P5599" t="n">
        <v>0</v>
      </c>
      <c r="Q5599" t="n">
        <v>0</v>
      </c>
      <c r="R5599" s="2" t="inlineStr"/>
    </row>
    <row r="5600" ht="15" customHeight="1">
      <c r="A5600" t="inlineStr">
        <is>
          <t>A 57031-2023</t>
        </is>
      </c>
      <c r="B5600" s="1" t="n">
        <v>45244</v>
      </c>
      <c r="C5600" s="1" t="n">
        <v>45962</v>
      </c>
      <c r="D5600" t="inlineStr">
        <is>
          <t>JÖNKÖPINGS LÄN</t>
        </is>
      </c>
      <c r="E5600" t="inlineStr">
        <is>
          <t>NÄSSJÖ</t>
        </is>
      </c>
      <c r="G5600" t="n">
        <v>2.3</v>
      </c>
      <c r="H5600" t="n">
        <v>0</v>
      </c>
      <c r="I5600" t="n">
        <v>0</v>
      </c>
      <c r="J5600" t="n">
        <v>0</v>
      </c>
      <c r="K5600" t="n">
        <v>0</v>
      </c>
      <c r="L5600" t="n">
        <v>0</v>
      </c>
      <c r="M5600" t="n">
        <v>0</v>
      </c>
      <c r="N5600" t="n">
        <v>0</v>
      </c>
      <c r="O5600" t="n">
        <v>0</v>
      </c>
      <c r="P5600" t="n">
        <v>0</v>
      </c>
      <c r="Q5600" t="n">
        <v>0</v>
      </c>
      <c r="R5600" s="2" t="inlineStr"/>
    </row>
    <row r="5601" ht="15" customHeight="1">
      <c r="A5601" t="inlineStr">
        <is>
          <t>A 57090-2023</t>
        </is>
      </c>
      <c r="B5601" s="1" t="n">
        <v>45245.29518518518</v>
      </c>
      <c r="C5601" s="1" t="n">
        <v>45962</v>
      </c>
      <c r="D5601" t="inlineStr">
        <is>
          <t>JÖNKÖPINGS LÄN</t>
        </is>
      </c>
      <c r="E5601" t="inlineStr">
        <is>
          <t>VETLANDA</t>
        </is>
      </c>
      <c r="G5601" t="n">
        <v>1.5</v>
      </c>
      <c r="H5601" t="n">
        <v>0</v>
      </c>
      <c r="I5601" t="n">
        <v>0</v>
      </c>
      <c r="J5601" t="n">
        <v>0</v>
      </c>
      <c r="K5601" t="n">
        <v>0</v>
      </c>
      <c r="L5601" t="n">
        <v>0</v>
      </c>
      <c r="M5601" t="n">
        <v>0</v>
      </c>
      <c r="N5601" t="n">
        <v>0</v>
      </c>
      <c r="O5601" t="n">
        <v>0</v>
      </c>
      <c r="P5601" t="n">
        <v>0</v>
      </c>
      <c r="Q5601" t="n">
        <v>0</v>
      </c>
      <c r="R5601" s="2" t="inlineStr"/>
    </row>
    <row r="5602" ht="15" customHeight="1">
      <c r="A5602" t="inlineStr">
        <is>
          <t>A 38577-2025</t>
        </is>
      </c>
      <c r="B5602" s="1" t="n">
        <v>45884.4655787037</v>
      </c>
      <c r="C5602" s="1" t="n">
        <v>45962</v>
      </c>
      <c r="D5602" t="inlineStr">
        <is>
          <t>JÖNKÖPINGS LÄN</t>
        </is>
      </c>
      <c r="E5602" t="inlineStr">
        <is>
          <t>SÄVSJÖ</t>
        </is>
      </c>
      <c r="G5602" t="n">
        <v>1.3</v>
      </c>
      <c r="H5602" t="n">
        <v>0</v>
      </c>
      <c r="I5602" t="n">
        <v>0</v>
      </c>
      <c r="J5602" t="n">
        <v>0</v>
      </c>
      <c r="K5602" t="n">
        <v>0</v>
      </c>
      <c r="L5602" t="n">
        <v>0</v>
      </c>
      <c r="M5602" t="n">
        <v>0</v>
      </c>
      <c r="N5602" t="n">
        <v>0</v>
      </c>
      <c r="O5602" t="n">
        <v>0</v>
      </c>
      <c r="P5602" t="n">
        <v>0</v>
      </c>
      <c r="Q5602" t="n">
        <v>0</v>
      </c>
      <c r="R5602" s="2" t="inlineStr"/>
    </row>
    <row r="5603" ht="15" customHeight="1">
      <c r="A5603" t="inlineStr">
        <is>
          <t>A 61922-2021</t>
        </is>
      </c>
      <c r="B5603" s="1" t="n">
        <v>44501</v>
      </c>
      <c r="C5603" s="1" t="n">
        <v>45962</v>
      </c>
      <c r="D5603" t="inlineStr">
        <is>
          <t>JÖNKÖPINGS LÄN</t>
        </is>
      </c>
      <c r="E5603" t="inlineStr">
        <is>
          <t>GISLAVED</t>
        </is>
      </c>
      <c r="G5603" t="n">
        <v>0.8</v>
      </c>
      <c r="H5603" t="n">
        <v>0</v>
      </c>
      <c r="I5603" t="n">
        <v>0</v>
      </c>
      <c r="J5603" t="n">
        <v>0</v>
      </c>
      <c r="K5603" t="n">
        <v>0</v>
      </c>
      <c r="L5603" t="n">
        <v>0</v>
      </c>
      <c r="M5603" t="n">
        <v>0</v>
      </c>
      <c r="N5603" t="n">
        <v>0</v>
      </c>
      <c r="O5603" t="n">
        <v>0</v>
      </c>
      <c r="P5603" t="n">
        <v>0</v>
      </c>
      <c r="Q5603" t="n">
        <v>0</v>
      </c>
      <c r="R5603" s="2" t="inlineStr"/>
    </row>
    <row r="5604" ht="15" customHeight="1">
      <c r="A5604" t="inlineStr">
        <is>
          <t>A 15842-2025</t>
        </is>
      </c>
      <c r="B5604" s="1" t="n">
        <v>45748.87611111111</v>
      </c>
      <c r="C5604" s="1" t="n">
        <v>45962</v>
      </c>
      <c r="D5604" t="inlineStr">
        <is>
          <t>JÖNKÖPINGS LÄN</t>
        </is>
      </c>
      <c r="E5604" t="inlineStr">
        <is>
          <t>SÄVSJÖ</t>
        </is>
      </c>
      <c r="G5604" t="n">
        <v>0.5</v>
      </c>
      <c r="H5604" t="n">
        <v>0</v>
      </c>
      <c r="I5604" t="n">
        <v>0</v>
      </c>
      <c r="J5604" t="n">
        <v>0</v>
      </c>
      <c r="K5604" t="n">
        <v>0</v>
      </c>
      <c r="L5604" t="n">
        <v>0</v>
      </c>
      <c r="M5604" t="n">
        <v>0</v>
      </c>
      <c r="N5604" t="n">
        <v>0</v>
      </c>
      <c r="O5604" t="n">
        <v>0</v>
      </c>
      <c r="P5604" t="n">
        <v>0</v>
      </c>
      <c r="Q5604" t="n">
        <v>0</v>
      </c>
      <c r="R5604" s="2" t="inlineStr"/>
    </row>
    <row r="5605" ht="15" customHeight="1">
      <c r="A5605" t="inlineStr">
        <is>
          <t>A 33706-2025</t>
        </is>
      </c>
      <c r="B5605" s="1" t="n">
        <v>45841.78908564815</v>
      </c>
      <c r="C5605" s="1" t="n">
        <v>45962</v>
      </c>
      <c r="D5605" t="inlineStr">
        <is>
          <t>JÖNKÖPINGS LÄN</t>
        </is>
      </c>
      <c r="E5605" t="inlineStr">
        <is>
          <t>HABO</t>
        </is>
      </c>
      <c r="G5605" t="n">
        <v>1.1</v>
      </c>
      <c r="H5605" t="n">
        <v>0</v>
      </c>
      <c r="I5605" t="n">
        <v>0</v>
      </c>
      <c r="J5605" t="n">
        <v>0</v>
      </c>
      <c r="K5605" t="n">
        <v>0</v>
      </c>
      <c r="L5605" t="n">
        <v>0</v>
      </c>
      <c r="M5605" t="n">
        <v>0</v>
      </c>
      <c r="N5605" t="n">
        <v>0</v>
      </c>
      <c r="O5605" t="n">
        <v>0</v>
      </c>
      <c r="P5605" t="n">
        <v>0</v>
      </c>
      <c r="Q5605" t="n">
        <v>0</v>
      </c>
      <c r="R5605" s="2" t="inlineStr"/>
    </row>
    <row r="5606" ht="15" customHeight="1">
      <c r="A5606" t="inlineStr">
        <is>
          <t>A 34190-2025</t>
        </is>
      </c>
      <c r="B5606" s="1" t="n">
        <v>45845.61696759259</v>
      </c>
      <c r="C5606" s="1" t="n">
        <v>45962</v>
      </c>
      <c r="D5606" t="inlineStr">
        <is>
          <t>JÖNKÖPINGS LÄN</t>
        </is>
      </c>
      <c r="E5606" t="inlineStr">
        <is>
          <t>GISLAVED</t>
        </is>
      </c>
      <c r="G5606" t="n">
        <v>1.3</v>
      </c>
      <c r="H5606" t="n">
        <v>0</v>
      </c>
      <c r="I5606" t="n">
        <v>0</v>
      </c>
      <c r="J5606" t="n">
        <v>0</v>
      </c>
      <c r="K5606" t="n">
        <v>0</v>
      </c>
      <c r="L5606" t="n">
        <v>0</v>
      </c>
      <c r="M5606" t="n">
        <v>0</v>
      </c>
      <c r="N5606" t="n">
        <v>0</v>
      </c>
      <c r="O5606" t="n">
        <v>0</v>
      </c>
      <c r="P5606" t="n">
        <v>0</v>
      </c>
      <c r="Q5606" t="n">
        <v>0</v>
      </c>
      <c r="R5606" s="2" t="inlineStr"/>
    </row>
    <row r="5607" ht="15" customHeight="1">
      <c r="A5607" t="inlineStr">
        <is>
          <t>A 34193-2025</t>
        </is>
      </c>
      <c r="B5607" s="1" t="n">
        <v>45845.62030092593</v>
      </c>
      <c r="C5607" s="1" t="n">
        <v>45962</v>
      </c>
      <c r="D5607" t="inlineStr">
        <is>
          <t>JÖNKÖPINGS LÄN</t>
        </is>
      </c>
      <c r="E5607" t="inlineStr">
        <is>
          <t>GISLAVED</t>
        </is>
      </c>
      <c r="G5607" t="n">
        <v>1</v>
      </c>
      <c r="H5607" t="n">
        <v>0</v>
      </c>
      <c r="I5607" t="n">
        <v>0</v>
      </c>
      <c r="J5607" t="n">
        <v>0</v>
      </c>
      <c r="K5607" t="n">
        <v>0</v>
      </c>
      <c r="L5607" t="n">
        <v>0</v>
      </c>
      <c r="M5607" t="n">
        <v>0</v>
      </c>
      <c r="N5607" t="n">
        <v>0</v>
      </c>
      <c r="O5607" t="n">
        <v>0</v>
      </c>
      <c r="P5607" t="n">
        <v>0</v>
      </c>
      <c r="Q5607" t="n">
        <v>0</v>
      </c>
      <c r="R5607" s="2" t="inlineStr"/>
    </row>
    <row r="5608" ht="15" customHeight="1">
      <c r="A5608" t="inlineStr">
        <is>
          <t>A 57192-2024</t>
        </is>
      </c>
      <c r="B5608" s="1" t="n">
        <v>45629</v>
      </c>
      <c r="C5608" s="1" t="n">
        <v>45962</v>
      </c>
      <c r="D5608" t="inlineStr">
        <is>
          <t>JÖNKÖPINGS LÄN</t>
        </is>
      </c>
      <c r="E5608" t="inlineStr">
        <is>
          <t>VAGGERYD</t>
        </is>
      </c>
      <c r="G5608" t="n">
        <v>20.8</v>
      </c>
      <c r="H5608" t="n">
        <v>0</v>
      </c>
      <c r="I5608" t="n">
        <v>0</v>
      </c>
      <c r="J5608" t="n">
        <v>0</v>
      </c>
      <c r="K5608" t="n">
        <v>0</v>
      </c>
      <c r="L5608" t="n">
        <v>0</v>
      </c>
      <c r="M5608" t="n">
        <v>0</v>
      </c>
      <c r="N5608" t="n">
        <v>0</v>
      </c>
      <c r="O5608" t="n">
        <v>0</v>
      </c>
      <c r="P5608" t="n">
        <v>0</v>
      </c>
      <c r="Q5608" t="n">
        <v>0</v>
      </c>
      <c r="R5608" s="2" t="inlineStr"/>
    </row>
    <row r="5609" ht="15" customHeight="1">
      <c r="A5609" t="inlineStr">
        <is>
          <t>A 49343-2023</t>
        </is>
      </c>
      <c r="B5609" s="1" t="n">
        <v>45211</v>
      </c>
      <c r="C5609" s="1" t="n">
        <v>45962</v>
      </c>
      <c r="D5609" t="inlineStr">
        <is>
          <t>JÖNKÖPINGS LÄN</t>
        </is>
      </c>
      <c r="E5609" t="inlineStr">
        <is>
          <t>JÖNKÖPING</t>
        </is>
      </c>
      <c r="G5609" t="n">
        <v>4.1</v>
      </c>
      <c r="H5609" t="n">
        <v>0</v>
      </c>
      <c r="I5609" t="n">
        <v>0</v>
      </c>
      <c r="J5609" t="n">
        <v>0</v>
      </c>
      <c r="K5609" t="n">
        <v>0</v>
      </c>
      <c r="L5609" t="n">
        <v>0</v>
      </c>
      <c r="M5609" t="n">
        <v>0</v>
      </c>
      <c r="N5609" t="n">
        <v>0</v>
      </c>
      <c r="O5609" t="n">
        <v>0</v>
      </c>
      <c r="P5609" t="n">
        <v>0</v>
      </c>
      <c r="Q5609" t="n">
        <v>0</v>
      </c>
      <c r="R5609" s="2" t="inlineStr"/>
    </row>
    <row r="5610" ht="15" customHeight="1">
      <c r="A5610" t="inlineStr">
        <is>
          <t>A 34196-2025</t>
        </is>
      </c>
      <c r="B5610" s="1" t="n">
        <v>45845.62399305555</v>
      </c>
      <c r="C5610" s="1" t="n">
        <v>45962</v>
      </c>
      <c r="D5610" t="inlineStr">
        <is>
          <t>JÖNKÖPINGS LÄN</t>
        </is>
      </c>
      <c r="E5610" t="inlineStr">
        <is>
          <t>GISLAVED</t>
        </is>
      </c>
      <c r="G5610" t="n">
        <v>2.4</v>
      </c>
      <c r="H5610" t="n">
        <v>0</v>
      </c>
      <c r="I5610" t="n">
        <v>0</v>
      </c>
      <c r="J5610" t="n">
        <v>0</v>
      </c>
      <c r="K5610" t="n">
        <v>0</v>
      </c>
      <c r="L5610" t="n">
        <v>0</v>
      </c>
      <c r="M5610" t="n">
        <v>0</v>
      </c>
      <c r="N5610" t="n">
        <v>0</v>
      </c>
      <c r="O5610" t="n">
        <v>0</v>
      </c>
      <c r="P5610" t="n">
        <v>0</v>
      </c>
      <c r="Q5610" t="n">
        <v>0</v>
      </c>
      <c r="R5610" s="2" t="inlineStr"/>
    </row>
    <row r="5611" ht="15" customHeight="1">
      <c r="A5611" t="inlineStr">
        <is>
          <t>A 57794-2024</t>
        </is>
      </c>
      <c r="B5611" s="1" t="n">
        <v>45631.34063657407</v>
      </c>
      <c r="C5611" s="1" t="n">
        <v>45962</v>
      </c>
      <c r="D5611" t="inlineStr">
        <is>
          <t>JÖNKÖPINGS LÄN</t>
        </is>
      </c>
      <c r="E5611" t="inlineStr">
        <is>
          <t>VETLANDA</t>
        </is>
      </c>
      <c r="G5611" t="n">
        <v>2.9</v>
      </c>
      <c r="H5611" t="n">
        <v>0</v>
      </c>
      <c r="I5611" t="n">
        <v>0</v>
      </c>
      <c r="J5611" t="n">
        <v>0</v>
      </c>
      <c r="K5611" t="n">
        <v>0</v>
      </c>
      <c r="L5611" t="n">
        <v>0</v>
      </c>
      <c r="M5611" t="n">
        <v>0</v>
      </c>
      <c r="N5611" t="n">
        <v>0</v>
      </c>
      <c r="O5611" t="n">
        <v>0</v>
      </c>
      <c r="P5611" t="n">
        <v>0</v>
      </c>
      <c r="Q5611" t="n">
        <v>0</v>
      </c>
      <c r="R5611" s="2" t="inlineStr"/>
    </row>
    <row r="5612" ht="15" customHeight="1">
      <c r="A5612" t="inlineStr">
        <is>
          <t>A 7555-2023</t>
        </is>
      </c>
      <c r="B5612" s="1" t="n">
        <v>44972.3347337963</v>
      </c>
      <c r="C5612" s="1" t="n">
        <v>45962</v>
      </c>
      <c r="D5612" t="inlineStr">
        <is>
          <t>JÖNKÖPINGS LÄN</t>
        </is>
      </c>
      <c r="E5612" t="inlineStr">
        <is>
          <t>VAGGERYD</t>
        </is>
      </c>
      <c r="G5612" t="n">
        <v>1.8</v>
      </c>
      <c r="H5612" t="n">
        <v>0</v>
      </c>
      <c r="I5612" t="n">
        <v>0</v>
      </c>
      <c r="J5612" t="n">
        <v>0</v>
      </c>
      <c r="K5612" t="n">
        <v>0</v>
      </c>
      <c r="L5612" t="n">
        <v>0</v>
      </c>
      <c r="M5612" t="n">
        <v>0</v>
      </c>
      <c r="N5612" t="n">
        <v>0</v>
      </c>
      <c r="O5612" t="n">
        <v>0</v>
      </c>
      <c r="P5612" t="n">
        <v>0</v>
      </c>
      <c r="Q5612" t="n">
        <v>0</v>
      </c>
      <c r="R5612" s="2" t="inlineStr"/>
    </row>
    <row r="5613" ht="15" customHeight="1">
      <c r="A5613" t="inlineStr">
        <is>
          <t>A 10865-2023</t>
        </is>
      </c>
      <c r="B5613" s="1" t="n">
        <v>44991.40253472222</v>
      </c>
      <c r="C5613" s="1" t="n">
        <v>45962</v>
      </c>
      <c r="D5613" t="inlineStr">
        <is>
          <t>JÖNKÖPINGS LÄN</t>
        </is>
      </c>
      <c r="E5613" t="inlineStr">
        <is>
          <t>SÄVSJÖ</t>
        </is>
      </c>
      <c r="G5613" t="n">
        <v>1.4</v>
      </c>
      <c r="H5613" t="n">
        <v>0</v>
      </c>
      <c r="I5613" t="n">
        <v>0</v>
      </c>
      <c r="J5613" t="n">
        <v>0</v>
      </c>
      <c r="K5613" t="n">
        <v>0</v>
      </c>
      <c r="L5613" t="n">
        <v>0</v>
      </c>
      <c r="M5613" t="n">
        <v>0</v>
      </c>
      <c r="N5613" t="n">
        <v>0</v>
      </c>
      <c r="O5613" t="n">
        <v>0</v>
      </c>
      <c r="P5613" t="n">
        <v>0</v>
      </c>
      <c r="Q5613" t="n">
        <v>0</v>
      </c>
      <c r="R5613" s="2" t="inlineStr"/>
    </row>
    <row r="5614" ht="15" customHeight="1">
      <c r="A5614" t="inlineStr">
        <is>
          <t>A 39200-2024</t>
        </is>
      </c>
      <c r="B5614" s="1" t="n">
        <v>45548</v>
      </c>
      <c r="C5614" s="1" t="n">
        <v>45962</v>
      </c>
      <c r="D5614" t="inlineStr">
        <is>
          <t>JÖNKÖPINGS LÄN</t>
        </is>
      </c>
      <c r="E5614" t="inlineStr">
        <is>
          <t>VETLANDA</t>
        </is>
      </c>
      <c r="G5614" t="n">
        <v>6.4</v>
      </c>
      <c r="H5614" t="n">
        <v>0</v>
      </c>
      <c r="I5614" t="n">
        <v>0</v>
      </c>
      <c r="J5614" t="n">
        <v>0</v>
      </c>
      <c r="K5614" t="n">
        <v>0</v>
      </c>
      <c r="L5614" t="n">
        <v>0</v>
      </c>
      <c r="M5614" t="n">
        <v>0</v>
      </c>
      <c r="N5614" t="n">
        <v>0</v>
      </c>
      <c r="O5614" t="n">
        <v>0</v>
      </c>
      <c r="P5614" t="n">
        <v>0</v>
      </c>
      <c r="Q5614" t="n">
        <v>0</v>
      </c>
      <c r="R5614" s="2" t="inlineStr"/>
    </row>
    <row r="5615" ht="15" customHeight="1">
      <c r="A5615" t="inlineStr">
        <is>
          <t>A 11457-2023</t>
        </is>
      </c>
      <c r="B5615" s="1" t="n">
        <v>44993.58428240741</v>
      </c>
      <c r="C5615" s="1" t="n">
        <v>45962</v>
      </c>
      <c r="D5615" t="inlineStr">
        <is>
          <t>JÖNKÖPINGS LÄN</t>
        </is>
      </c>
      <c r="E5615" t="inlineStr">
        <is>
          <t>MULLSJÖ</t>
        </is>
      </c>
      <c r="G5615" t="n">
        <v>0.6</v>
      </c>
      <c r="H5615" t="n">
        <v>0</v>
      </c>
      <c r="I5615" t="n">
        <v>0</v>
      </c>
      <c r="J5615" t="n">
        <v>0</v>
      </c>
      <c r="K5615" t="n">
        <v>0</v>
      </c>
      <c r="L5615" t="n">
        <v>0</v>
      </c>
      <c r="M5615" t="n">
        <v>0</v>
      </c>
      <c r="N5615" t="n">
        <v>0</v>
      </c>
      <c r="O5615" t="n">
        <v>0</v>
      </c>
      <c r="P5615" t="n">
        <v>0</v>
      </c>
      <c r="Q5615" t="n">
        <v>0</v>
      </c>
      <c r="R5615" s="2" t="inlineStr"/>
    </row>
    <row r="5616" ht="15" customHeight="1">
      <c r="A5616" t="inlineStr">
        <is>
          <t>A 10926-2023</t>
        </is>
      </c>
      <c r="B5616" s="1" t="n">
        <v>44991.51064814815</v>
      </c>
      <c r="C5616" s="1" t="n">
        <v>45962</v>
      </c>
      <c r="D5616" t="inlineStr">
        <is>
          <t>JÖNKÖPINGS LÄN</t>
        </is>
      </c>
      <c r="E5616" t="inlineStr">
        <is>
          <t>EKSJÖ</t>
        </is>
      </c>
      <c r="G5616" t="n">
        <v>0.5</v>
      </c>
      <c r="H5616" t="n">
        <v>0</v>
      </c>
      <c r="I5616" t="n">
        <v>0</v>
      </c>
      <c r="J5616" t="n">
        <v>0</v>
      </c>
      <c r="K5616" t="n">
        <v>0</v>
      </c>
      <c r="L5616" t="n">
        <v>0</v>
      </c>
      <c r="M5616" t="n">
        <v>0</v>
      </c>
      <c r="N5616" t="n">
        <v>0</v>
      </c>
      <c r="O5616" t="n">
        <v>0</v>
      </c>
      <c r="P5616" t="n">
        <v>0</v>
      </c>
      <c r="Q5616" t="n">
        <v>0</v>
      </c>
      <c r="R5616" s="2" t="inlineStr"/>
    </row>
    <row r="5617" ht="15" customHeight="1">
      <c r="A5617" t="inlineStr">
        <is>
          <t>A 58057-2023</t>
        </is>
      </c>
      <c r="B5617" s="1" t="n">
        <v>45247</v>
      </c>
      <c r="C5617" s="1" t="n">
        <v>45962</v>
      </c>
      <c r="D5617" t="inlineStr">
        <is>
          <t>JÖNKÖPINGS LÄN</t>
        </is>
      </c>
      <c r="E5617" t="inlineStr">
        <is>
          <t>VETLANDA</t>
        </is>
      </c>
      <c r="G5617" t="n">
        <v>6.7</v>
      </c>
      <c r="H5617" t="n">
        <v>0</v>
      </c>
      <c r="I5617" t="n">
        <v>0</v>
      </c>
      <c r="J5617" t="n">
        <v>0</v>
      </c>
      <c r="K5617" t="n">
        <v>0</v>
      </c>
      <c r="L5617" t="n">
        <v>0</v>
      </c>
      <c r="M5617" t="n">
        <v>0</v>
      </c>
      <c r="N5617" t="n">
        <v>0</v>
      </c>
      <c r="O5617" t="n">
        <v>0</v>
      </c>
      <c r="P5617" t="n">
        <v>0</v>
      </c>
      <c r="Q5617" t="n">
        <v>0</v>
      </c>
      <c r="R5617" s="2" t="inlineStr"/>
    </row>
    <row r="5618" ht="15" customHeight="1">
      <c r="A5618" t="inlineStr">
        <is>
          <t>A 11523-2023</t>
        </is>
      </c>
      <c r="B5618" s="1" t="n">
        <v>44993.72670138889</v>
      </c>
      <c r="C5618" s="1" t="n">
        <v>45962</v>
      </c>
      <c r="D5618" t="inlineStr">
        <is>
          <t>JÖNKÖPINGS LÄN</t>
        </is>
      </c>
      <c r="E5618" t="inlineStr">
        <is>
          <t>NÄSSJÖ</t>
        </is>
      </c>
      <c r="G5618" t="n">
        <v>1.3</v>
      </c>
      <c r="H5618" t="n">
        <v>0</v>
      </c>
      <c r="I5618" t="n">
        <v>0</v>
      </c>
      <c r="J5618" t="n">
        <v>0</v>
      </c>
      <c r="K5618" t="n">
        <v>0</v>
      </c>
      <c r="L5618" t="n">
        <v>0</v>
      </c>
      <c r="M5618" t="n">
        <v>0</v>
      </c>
      <c r="N5618" t="n">
        <v>0</v>
      </c>
      <c r="O5618" t="n">
        <v>0</v>
      </c>
      <c r="P5618" t="n">
        <v>0</v>
      </c>
      <c r="Q5618" t="n">
        <v>0</v>
      </c>
      <c r="R5618" s="2" t="inlineStr"/>
    </row>
    <row r="5619" ht="15" customHeight="1">
      <c r="A5619" t="inlineStr">
        <is>
          <t>A 12100-2025</t>
        </is>
      </c>
      <c r="B5619" s="1" t="n">
        <v>45729.334375</v>
      </c>
      <c r="C5619" s="1" t="n">
        <v>45962</v>
      </c>
      <c r="D5619" t="inlineStr">
        <is>
          <t>JÖNKÖPINGS LÄN</t>
        </is>
      </c>
      <c r="E5619" t="inlineStr">
        <is>
          <t>VETLANDA</t>
        </is>
      </c>
      <c r="G5619" t="n">
        <v>1.4</v>
      </c>
      <c r="H5619" t="n">
        <v>0</v>
      </c>
      <c r="I5619" t="n">
        <v>0</v>
      </c>
      <c r="J5619" t="n">
        <v>0</v>
      </c>
      <c r="K5619" t="n">
        <v>0</v>
      </c>
      <c r="L5619" t="n">
        <v>0</v>
      </c>
      <c r="M5619" t="n">
        <v>0</v>
      </c>
      <c r="N5619" t="n">
        <v>0</v>
      </c>
      <c r="O5619" t="n">
        <v>0</v>
      </c>
      <c r="P5619" t="n">
        <v>0</v>
      </c>
      <c r="Q5619" t="n">
        <v>0</v>
      </c>
      <c r="R5619" s="2" t="inlineStr"/>
    </row>
    <row r="5620" ht="15" customHeight="1">
      <c r="A5620" t="inlineStr">
        <is>
          <t>A 56945-2022</t>
        </is>
      </c>
      <c r="B5620" s="1" t="n">
        <v>44894</v>
      </c>
      <c r="C5620" s="1" t="n">
        <v>45962</v>
      </c>
      <c r="D5620" t="inlineStr">
        <is>
          <t>JÖNKÖPINGS LÄN</t>
        </is>
      </c>
      <c r="E5620" t="inlineStr">
        <is>
          <t>GISLAVED</t>
        </is>
      </c>
      <c r="G5620" t="n">
        <v>1.1</v>
      </c>
      <c r="H5620" t="n">
        <v>0</v>
      </c>
      <c r="I5620" t="n">
        <v>0</v>
      </c>
      <c r="J5620" t="n">
        <v>0</v>
      </c>
      <c r="K5620" t="n">
        <v>0</v>
      </c>
      <c r="L5620" t="n">
        <v>0</v>
      </c>
      <c r="M5620" t="n">
        <v>0</v>
      </c>
      <c r="N5620" t="n">
        <v>0</v>
      </c>
      <c r="O5620" t="n">
        <v>0</v>
      </c>
      <c r="P5620" t="n">
        <v>0</v>
      </c>
      <c r="Q5620" t="n">
        <v>0</v>
      </c>
      <c r="R5620" s="2" t="inlineStr"/>
    </row>
    <row r="5621" ht="15" customHeight="1">
      <c r="A5621" t="inlineStr">
        <is>
          <t>A 30585-2023</t>
        </is>
      </c>
      <c r="B5621" s="1" t="n">
        <v>45112</v>
      </c>
      <c r="C5621" s="1" t="n">
        <v>45962</v>
      </c>
      <c r="D5621" t="inlineStr">
        <is>
          <t>JÖNKÖPINGS LÄN</t>
        </is>
      </c>
      <c r="E5621" t="inlineStr">
        <is>
          <t>JÖNKÖPING</t>
        </is>
      </c>
      <c r="G5621" t="n">
        <v>0.7</v>
      </c>
      <c r="H5621" t="n">
        <v>0</v>
      </c>
      <c r="I5621" t="n">
        <v>0</v>
      </c>
      <c r="J5621" t="n">
        <v>0</v>
      </c>
      <c r="K5621" t="n">
        <v>0</v>
      </c>
      <c r="L5621" t="n">
        <v>0</v>
      </c>
      <c r="M5621" t="n">
        <v>0</v>
      </c>
      <c r="N5621" t="n">
        <v>0</v>
      </c>
      <c r="O5621" t="n">
        <v>0</v>
      </c>
      <c r="P5621" t="n">
        <v>0</v>
      </c>
      <c r="Q5621" t="n">
        <v>0</v>
      </c>
      <c r="R5621" s="2" t="inlineStr"/>
    </row>
    <row r="5622" ht="15" customHeight="1">
      <c r="A5622" t="inlineStr">
        <is>
          <t>A 7728-2025</t>
        </is>
      </c>
      <c r="B5622" s="1" t="n">
        <v>45706.45956018518</v>
      </c>
      <c r="C5622" s="1" t="n">
        <v>45962</v>
      </c>
      <c r="D5622" t="inlineStr">
        <is>
          <t>JÖNKÖPINGS LÄN</t>
        </is>
      </c>
      <c r="E5622" t="inlineStr">
        <is>
          <t>EKSJÖ</t>
        </is>
      </c>
      <c r="G5622" t="n">
        <v>2.6</v>
      </c>
      <c r="H5622" t="n">
        <v>0</v>
      </c>
      <c r="I5622" t="n">
        <v>0</v>
      </c>
      <c r="J5622" t="n">
        <v>0</v>
      </c>
      <c r="K5622" t="n">
        <v>0</v>
      </c>
      <c r="L5622" t="n">
        <v>0</v>
      </c>
      <c r="M5622" t="n">
        <v>0</v>
      </c>
      <c r="N5622" t="n">
        <v>0</v>
      </c>
      <c r="O5622" t="n">
        <v>0</v>
      </c>
      <c r="P5622" t="n">
        <v>0</v>
      </c>
      <c r="Q5622" t="n">
        <v>0</v>
      </c>
      <c r="R5622" s="2" t="inlineStr"/>
    </row>
    <row r="5623" ht="15" customHeight="1">
      <c r="A5623" t="inlineStr">
        <is>
          <t>A 46307-2021</t>
        </is>
      </c>
      <c r="B5623" s="1" t="n">
        <v>44442</v>
      </c>
      <c r="C5623" s="1" t="n">
        <v>45962</v>
      </c>
      <c r="D5623" t="inlineStr">
        <is>
          <t>JÖNKÖPINGS LÄN</t>
        </is>
      </c>
      <c r="E5623" t="inlineStr">
        <is>
          <t>SÄVSJÖ</t>
        </is>
      </c>
      <c r="F5623" t="inlineStr">
        <is>
          <t>Kommuner</t>
        </is>
      </c>
      <c r="G5623" t="n">
        <v>25.6</v>
      </c>
      <c r="H5623" t="n">
        <v>0</v>
      </c>
      <c r="I5623" t="n">
        <v>0</v>
      </c>
      <c r="J5623" t="n">
        <v>0</v>
      </c>
      <c r="K5623" t="n">
        <v>0</v>
      </c>
      <c r="L5623" t="n">
        <v>0</v>
      </c>
      <c r="M5623" t="n">
        <v>0</v>
      </c>
      <c r="N5623" t="n">
        <v>0</v>
      </c>
      <c r="O5623" t="n">
        <v>0</v>
      </c>
      <c r="P5623" t="n">
        <v>0</v>
      </c>
      <c r="Q5623" t="n">
        <v>0</v>
      </c>
      <c r="R5623" s="2" t="inlineStr"/>
    </row>
    <row r="5624" ht="15" customHeight="1">
      <c r="A5624" t="inlineStr">
        <is>
          <t>A 15830-2025</t>
        </is>
      </c>
      <c r="B5624" s="1" t="n">
        <v>45748</v>
      </c>
      <c r="C5624" s="1" t="n">
        <v>45962</v>
      </c>
      <c r="D5624" t="inlineStr">
        <is>
          <t>JÖNKÖPINGS LÄN</t>
        </is>
      </c>
      <c r="E5624" t="inlineStr">
        <is>
          <t>VETLANDA</t>
        </is>
      </c>
      <c r="G5624" t="n">
        <v>0.9</v>
      </c>
      <c r="H5624" t="n">
        <v>0</v>
      </c>
      <c r="I5624" t="n">
        <v>0</v>
      </c>
      <c r="J5624" t="n">
        <v>0</v>
      </c>
      <c r="K5624" t="n">
        <v>0</v>
      </c>
      <c r="L5624" t="n">
        <v>0</v>
      </c>
      <c r="M5624" t="n">
        <v>0</v>
      </c>
      <c r="N5624" t="n">
        <v>0</v>
      </c>
      <c r="O5624" t="n">
        <v>0</v>
      </c>
      <c r="P5624" t="n">
        <v>0</v>
      </c>
      <c r="Q5624" t="n">
        <v>0</v>
      </c>
      <c r="R5624" s="2" t="inlineStr"/>
    </row>
    <row r="5625" ht="15" customHeight="1">
      <c r="A5625" t="inlineStr">
        <is>
          <t>A 15492-2025</t>
        </is>
      </c>
      <c r="B5625" s="1" t="n">
        <v>45747.57667824074</v>
      </c>
      <c r="C5625" s="1" t="n">
        <v>45962</v>
      </c>
      <c r="D5625" t="inlineStr">
        <is>
          <t>JÖNKÖPINGS LÄN</t>
        </is>
      </c>
      <c r="E5625" t="inlineStr">
        <is>
          <t>VETLANDA</t>
        </is>
      </c>
      <c r="G5625" t="n">
        <v>2.3</v>
      </c>
      <c r="H5625" t="n">
        <v>0</v>
      </c>
      <c r="I5625" t="n">
        <v>0</v>
      </c>
      <c r="J5625" t="n">
        <v>0</v>
      </c>
      <c r="K5625" t="n">
        <v>0</v>
      </c>
      <c r="L5625" t="n">
        <v>0</v>
      </c>
      <c r="M5625" t="n">
        <v>0</v>
      </c>
      <c r="N5625" t="n">
        <v>0</v>
      </c>
      <c r="O5625" t="n">
        <v>0</v>
      </c>
      <c r="P5625" t="n">
        <v>0</v>
      </c>
      <c r="Q5625" t="n">
        <v>0</v>
      </c>
      <c r="R5625" s="2" t="inlineStr"/>
    </row>
    <row r="5626" ht="15" customHeight="1">
      <c r="A5626" t="inlineStr">
        <is>
          <t>A 48006-2024</t>
        </is>
      </c>
      <c r="B5626" s="1" t="n">
        <v>45589.45113425926</v>
      </c>
      <c r="C5626" s="1" t="n">
        <v>45962</v>
      </c>
      <c r="D5626" t="inlineStr">
        <is>
          <t>JÖNKÖPINGS LÄN</t>
        </is>
      </c>
      <c r="E5626" t="inlineStr">
        <is>
          <t>VETLANDA</t>
        </is>
      </c>
      <c r="G5626" t="n">
        <v>1.4</v>
      </c>
      <c r="H5626" t="n">
        <v>0</v>
      </c>
      <c r="I5626" t="n">
        <v>0</v>
      </c>
      <c r="J5626" t="n">
        <v>0</v>
      </c>
      <c r="K5626" t="n">
        <v>0</v>
      </c>
      <c r="L5626" t="n">
        <v>0</v>
      </c>
      <c r="M5626" t="n">
        <v>0</v>
      </c>
      <c r="N5626" t="n">
        <v>0</v>
      </c>
      <c r="O5626" t="n">
        <v>0</v>
      </c>
      <c r="P5626" t="n">
        <v>0</v>
      </c>
      <c r="Q5626" t="n">
        <v>0</v>
      </c>
      <c r="R5626" s="2" t="inlineStr"/>
    </row>
    <row r="5627" ht="15" customHeight="1">
      <c r="A5627" t="inlineStr">
        <is>
          <t>A 25112-2024</t>
        </is>
      </c>
      <c r="B5627" s="1" t="n">
        <v>45462.43791666667</v>
      </c>
      <c r="C5627" s="1" t="n">
        <v>45962</v>
      </c>
      <c r="D5627" t="inlineStr">
        <is>
          <t>JÖNKÖPINGS LÄN</t>
        </is>
      </c>
      <c r="E5627" t="inlineStr">
        <is>
          <t>GISLAVED</t>
        </is>
      </c>
      <c r="G5627" t="n">
        <v>0.6</v>
      </c>
      <c r="H5627" t="n">
        <v>0</v>
      </c>
      <c r="I5627" t="n">
        <v>0</v>
      </c>
      <c r="J5627" t="n">
        <v>0</v>
      </c>
      <c r="K5627" t="n">
        <v>0</v>
      </c>
      <c r="L5627" t="n">
        <v>0</v>
      </c>
      <c r="M5627" t="n">
        <v>0</v>
      </c>
      <c r="N5627" t="n">
        <v>0</v>
      </c>
      <c r="O5627" t="n">
        <v>0</v>
      </c>
      <c r="P5627" t="n">
        <v>0</v>
      </c>
      <c r="Q5627" t="n">
        <v>0</v>
      </c>
      <c r="R5627" s="2" t="inlineStr"/>
    </row>
    <row r="5628" ht="15" customHeight="1">
      <c r="A5628" t="inlineStr">
        <is>
          <t>A 33775-2025</t>
        </is>
      </c>
      <c r="B5628" s="1" t="n">
        <v>45842.39381944444</v>
      </c>
      <c r="C5628" s="1" t="n">
        <v>45962</v>
      </c>
      <c r="D5628" t="inlineStr">
        <is>
          <t>JÖNKÖPINGS LÄN</t>
        </is>
      </c>
      <c r="E5628" t="inlineStr">
        <is>
          <t>EKSJÖ</t>
        </is>
      </c>
      <c r="G5628" t="n">
        <v>0.6</v>
      </c>
      <c r="H5628" t="n">
        <v>0</v>
      </c>
      <c r="I5628" t="n">
        <v>0</v>
      </c>
      <c r="J5628" t="n">
        <v>0</v>
      </c>
      <c r="K5628" t="n">
        <v>0</v>
      </c>
      <c r="L5628" t="n">
        <v>0</v>
      </c>
      <c r="M5628" t="n">
        <v>0</v>
      </c>
      <c r="N5628" t="n">
        <v>0</v>
      </c>
      <c r="O5628" t="n">
        <v>0</v>
      </c>
      <c r="P5628" t="n">
        <v>0</v>
      </c>
      <c r="Q5628" t="n">
        <v>0</v>
      </c>
      <c r="R5628" s="2" t="inlineStr"/>
    </row>
    <row r="5629" ht="15" customHeight="1">
      <c r="A5629" t="inlineStr">
        <is>
          <t>A 33793-2025</t>
        </is>
      </c>
      <c r="B5629" s="1" t="n">
        <v>45842.42921296296</v>
      </c>
      <c r="C5629" s="1" t="n">
        <v>45962</v>
      </c>
      <c r="D5629" t="inlineStr">
        <is>
          <t>JÖNKÖPINGS LÄN</t>
        </is>
      </c>
      <c r="E5629" t="inlineStr">
        <is>
          <t>NÄSSJÖ</t>
        </is>
      </c>
      <c r="G5629" t="n">
        <v>1.2</v>
      </c>
      <c r="H5629" t="n">
        <v>0</v>
      </c>
      <c r="I5629" t="n">
        <v>0</v>
      </c>
      <c r="J5629" t="n">
        <v>0</v>
      </c>
      <c r="K5629" t="n">
        <v>0</v>
      </c>
      <c r="L5629" t="n">
        <v>0</v>
      </c>
      <c r="M5629" t="n">
        <v>0</v>
      </c>
      <c r="N5629" t="n">
        <v>0</v>
      </c>
      <c r="O5629" t="n">
        <v>0</v>
      </c>
      <c r="P5629" t="n">
        <v>0</v>
      </c>
      <c r="Q5629" t="n">
        <v>0</v>
      </c>
      <c r="R5629" s="2" t="inlineStr"/>
    </row>
    <row r="5630" ht="15" customHeight="1">
      <c r="A5630" t="inlineStr">
        <is>
          <t>A 31772-2023</t>
        </is>
      </c>
      <c r="B5630" s="1" t="n">
        <v>45118</v>
      </c>
      <c r="C5630" s="1" t="n">
        <v>45962</v>
      </c>
      <c r="D5630" t="inlineStr">
        <is>
          <t>JÖNKÖPINGS LÄN</t>
        </is>
      </c>
      <c r="E5630" t="inlineStr">
        <is>
          <t>GNOSJÖ</t>
        </is>
      </c>
      <c r="G5630" t="n">
        <v>1.3</v>
      </c>
      <c r="H5630" t="n">
        <v>0</v>
      </c>
      <c r="I5630" t="n">
        <v>0</v>
      </c>
      <c r="J5630" t="n">
        <v>0</v>
      </c>
      <c r="K5630" t="n">
        <v>0</v>
      </c>
      <c r="L5630" t="n">
        <v>0</v>
      </c>
      <c r="M5630" t="n">
        <v>0</v>
      </c>
      <c r="N5630" t="n">
        <v>0</v>
      </c>
      <c r="O5630" t="n">
        <v>0</v>
      </c>
      <c r="P5630" t="n">
        <v>0</v>
      </c>
      <c r="Q5630" t="n">
        <v>0</v>
      </c>
      <c r="R5630" s="2" t="inlineStr"/>
    </row>
    <row r="5631" ht="15" customHeight="1">
      <c r="A5631" t="inlineStr">
        <is>
          <t>A 10169-2025</t>
        </is>
      </c>
      <c r="B5631" s="1" t="n">
        <v>45719.65719907408</v>
      </c>
      <c r="C5631" s="1" t="n">
        <v>45962</v>
      </c>
      <c r="D5631" t="inlineStr">
        <is>
          <t>JÖNKÖPINGS LÄN</t>
        </is>
      </c>
      <c r="E5631" t="inlineStr">
        <is>
          <t>EKSJÖ</t>
        </is>
      </c>
      <c r="F5631" t="inlineStr">
        <is>
          <t>Sveaskog</t>
        </is>
      </c>
      <c r="G5631" t="n">
        <v>2.6</v>
      </c>
      <c r="H5631" t="n">
        <v>0</v>
      </c>
      <c r="I5631" t="n">
        <v>0</v>
      </c>
      <c r="J5631" t="n">
        <v>0</v>
      </c>
      <c r="K5631" t="n">
        <v>0</v>
      </c>
      <c r="L5631" t="n">
        <v>0</v>
      </c>
      <c r="M5631" t="n">
        <v>0</v>
      </c>
      <c r="N5631" t="n">
        <v>0</v>
      </c>
      <c r="O5631" t="n">
        <v>0</v>
      </c>
      <c r="P5631" t="n">
        <v>0</v>
      </c>
      <c r="Q5631" t="n">
        <v>0</v>
      </c>
      <c r="R5631" s="2" t="inlineStr"/>
    </row>
    <row r="5632" ht="15" customHeight="1">
      <c r="A5632" t="inlineStr">
        <is>
          <t>A 51185-2021</t>
        </is>
      </c>
      <c r="B5632" s="1" t="n">
        <v>44461.47802083333</v>
      </c>
      <c r="C5632" s="1" t="n">
        <v>45962</v>
      </c>
      <c r="D5632" t="inlineStr">
        <is>
          <t>JÖNKÖPINGS LÄN</t>
        </is>
      </c>
      <c r="E5632" t="inlineStr">
        <is>
          <t>ANEBY</t>
        </is>
      </c>
      <c r="G5632" t="n">
        <v>4</v>
      </c>
      <c r="H5632" t="n">
        <v>0</v>
      </c>
      <c r="I5632" t="n">
        <v>0</v>
      </c>
      <c r="J5632" t="n">
        <v>0</v>
      </c>
      <c r="K5632" t="n">
        <v>0</v>
      </c>
      <c r="L5632" t="n">
        <v>0</v>
      </c>
      <c r="M5632" t="n">
        <v>0</v>
      </c>
      <c r="N5632" t="n">
        <v>0</v>
      </c>
      <c r="O5632" t="n">
        <v>0</v>
      </c>
      <c r="P5632" t="n">
        <v>0</v>
      </c>
      <c r="Q5632" t="n">
        <v>0</v>
      </c>
      <c r="R5632" s="2" t="inlineStr"/>
    </row>
    <row r="5633" ht="15" customHeight="1">
      <c r="A5633" t="inlineStr">
        <is>
          <t>A 34091-2025</t>
        </is>
      </c>
      <c r="B5633" s="1" t="n">
        <v>45845.47137731482</v>
      </c>
      <c r="C5633" s="1" t="n">
        <v>45962</v>
      </c>
      <c r="D5633" t="inlineStr">
        <is>
          <t>JÖNKÖPINGS LÄN</t>
        </is>
      </c>
      <c r="E5633" t="inlineStr">
        <is>
          <t>VAGGERYD</t>
        </is>
      </c>
      <c r="F5633" t="inlineStr">
        <is>
          <t>Sveaskog</t>
        </is>
      </c>
      <c r="G5633" t="n">
        <v>3.2</v>
      </c>
      <c r="H5633" t="n">
        <v>0</v>
      </c>
      <c r="I5633" t="n">
        <v>0</v>
      </c>
      <c r="J5633" t="n">
        <v>0</v>
      </c>
      <c r="K5633" t="n">
        <v>0</v>
      </c>
      <c r="L5633" t="n">
        <v>0</v>
      </c>
      <c r="M5633" t="n">
        <v>0</v>
      </c>
      <c r="N5633" t="n">
        <v>0</v>
      </c>
      <c r="O5633" t="n">
        <v>0</v>
      </c>
      <c r="P5633" t="n">
        <v>0</v>
      </c>
      <c r="Q5633" t="n">
        <v>0</v>
      </c>
      <c r="R5633" s="2" t="inlineStr"/>
    </row>
    <row r="5634" ht="15" customHeight="1">
      <c r="A5634" t="inlineStr">
        <is>
          <t>A 34124-2025</t>
        </is>
      </c>
      <c r="B5634" s="1" t="n">
        <v>45845.52295138889</v>
      </c>
      <c r="C5634" s="1" t="n">
        <v>45962</v>
      </c>
      <c r="D5634" t="inlineStr">
        <is>
          <t>JÖNKÖPINGS LÄN</t>
        </is>
      </c>
      <c r="E5634" t="inlineStr">
        <is>
          <t>EKSJÖ</t>
        </is>
      </c>
      <c r="G5634" t="n">
        <v>0.7</v>
      </c>
      <c r="H5634" t="n">
        <v>0</v>
      </c>
      <c r="I5634" t="n">
        <v>0</v>
      </c>
      <c r="J5634" t="n">
        <v>0</v>
      </c>
      <c r="K5634" t="n">
        <v>0</v>
      </c>
      <c r="L5634" t="n">
        <v>0</v>
      </c>
      <c r="M5634" t="n">
        <v>0</v>
      </c>
      <c r="N5634" t="n">
        <v>0</v>
      </c>
      <c r="O5634" t="n">
        <v>0</v>
      </c>
      <c r="P5634" t="n">
        <v>0</v>
      </c>
      <c r="Q5634" t="n">
        <v>0</v>
      </c>
      <c r="R5634" s="2" t="inlineStr"/>
    </row>
    <row r="5635" ht="15" customHeight="1">
      <c r="A5635" t="inlineStr">
        <is>
          <t>A 44935-2023</t>
        </is>
      </c>
      <c r="B5635" s="1" t="n">
        <v>45190.67278935185</v>
      </c>
      <c r="C5635" s="1" t="n">
        <v>45962</v>
      </c>
      <c r="D5635" t="inlineStr">
        <is>
          <t>JÖNKÖPINGS LÄN</t>
        </is>
      </c>
      <c r="E5635" t="inlineStr">
        <is>
          <t>GISLAVED</t>
        </is>
      </c>
      <c r="G5635" t="n">
        <v>1.2</v>
      </c>
      <c r="H5635" t="n">
        <v>0</v>
      </c>
      <c r="I5635" t="n">
        <v>0</v>
      </c>
      <c r="J5635" t="n">
        <v>0</v>
      </c>
      <c r="K5635" t="n">
        <v>0</v>
      </c>
      <c r="L5635" t="n">
        <v>0</v>
      </c>
      <c r="M5635" t="n">
        <v>0</v>
      </c>
      <c r="N5635" t="n">
        <v>0</v>
      </c>
      <c r="O5635" t="n">
        <v>0</v>
      </c>
      <c r="P5635" t="n">
        <v>0</v>
      </c>
      <c r="Q5635" t="n">
        <v>0</v>
      </c>
      <c r="R5635" s="2" t="inlineStr"/>
    </row>
    <row r="5636" ht="15" customHeight="1">
      <c r="A5636" t="inlineStr">
        <is>
          <t>A 4279-2022</t>
        </is>
      </c>
      <c r="B5636" s="1" t="n">
        <v>44588.70157407408</v>
      </c>
      <c r="C5636" s="1" t="n">
        <v>45962</v>
      </c>
      <c r="D5636" t="inlineStr">
        <is>
          <t>JÖNKÖPINGS LÄN</t>
        </is>
      </c>
      <c r="E5636" t="inlineStr">
        <is>
          <t>GISLAVED</t>
        </is>
      </c>
      <c r="G5636" t="n">
        <v>3</v>
      </c>
      <c r="H5636" t="n">
        <v>0</v>
      </c>
      <c r="I5636" t="n">
        <v>0</v>
      </c>
      <c r="J5636" t="n">
        <v>0</v>
      </c>
      <c r="K5636" t="n">
        <v>0</v>
      </c>
      <c r="L5636" t="n">
        <v>0</v>
      </c>
      <c r="M5636" t="n">
        <v>0</v>
      </c>
      <c r="N5636" t="n">
        <v>0</v>
      </c>
      <c r="O5636" t="n">
        <v>0</v>
      </c>
      <c r="P5636" t="n">
        <v>0</v>
      </c>
      <c r="Q5636" t="n">
        <v>0</v>
      </c>
      <c r="R5636" s="2" t="inlineStr"/>
    </row>
    <row r="5637" ht="15" customHeight="1">
      <c r="A5637" t="inlineStr">
        <is>
          <t>A 47792-2024</t>
        </is>
      </c>
      <c r="B5637" s="1" t="n">
        <v>45588.59636574074</v>
      </c>
      <c r="C5637" s="1" t="n">
        <v>45962</v>
      </c>
      <c r="D5637" t="inlineStr">
        <is>
          <t>JÖNKÖPINGS LÄN</t>
        </is>
      </c>
      <c r="E5637" t="inlineStr">
        <is>
          <t>GISLAVED</t>
        </is>
      </c>
      <c r="G5637" t="n">
        <v>1.6</v>
      </c>
      <c r="H5637" t="n">
        <v>0</v>
      </c>
      <c r="I5637" t="n">
        <v>0</v>
      </c>
      <c r="J5637" t="n">
        <v>0</v>
      </c>
      <c r="K5637" t="n">
        <v>0</v>
      </c>
      <c r="L5637" t="n">
        <v>0</v>
      </c>
      <c r="M5637" t="n">
        <v>0</v>
      </c>
      <c r="N5637" t="n">
        <v>0</v>
      </c>
      <c r="O5637" t="n">
        <v>0</v>
      </c>
      <c r="P5637" t="n">
        <v>0</v>
      </c>
      <c r="Q5637" t="n">
        <v>0</v>
      </c>
      <c r="R5637" s="2" t="inlineStr"/>
    </row>
    <row r="5638" ht="15" customHeight="1">
      <c r="A5638" t="inlineStr">
        <is>
          <t>A 19323-2025</t>
        </is>
      </c>
      <c r="B5638" s="1" t="n">
        <v>45769.58104166666</v>
      </c>
      <c r="C5638" s="1" t="n">
        <v>45962</v>
      </c>
      <c r="D5638" t="inlineStr">
        <is>
          <t>JÖNKÖPINGS LÄN</t>
        </is>
      </c>
      <c r="E5638" t="inlineStr">
        <is>
          <t>TRANÅS</t>
        </is>
      </c>
      <c r="G5638" t="n">
        <v>1.9</v>
      </c>
      <c r="H5638" t="n">
        <v>0</v>
      </c>
      <c r="I5638" t="n">
        <v>0</v>
      </c>
      <c r="J5638" t="n">
        <v>0</v>
      </c>
      <c r="K5638" t="n">
        <v>0</v>
      </c>
      <c r="L5638" t="n">
        <v>0</v>
      </c>
      <c r="M5638" t="n">
        <v>0</v>
      </c>
      <c r="N5638" t="n">
        <v>0</v>
      </c>
      <c r="O5638" t="n">
        <v>0</v>
      </c>
      <c r="P5638" t="n">
        <v>0</v>
      </c>
      <c r="Q5638" t="n">
        <v>0</v>
      </c>
      <c r="R5638" s="2" t="inlineStr"/>
    </row>
    <row r="5639" ht="15" customHeight="1">
      <c r="A5639" t="inlineStr">
        <is>
          <t>A 20278-2025</t>
        </is>
      </c>
      <c r="B5639" s="1" t="n">
        <v>45774.36863425926</v>
      </c>
      <c r="C5639" s="1" t="n">
        <v>45962</v>
      </c>
      <c r="D5639" t="inlineStr">
        <is>
          <t>JÖNKÖPINGS LÄN</t>
        </is>
      </c>
      <c r="E5639" t="inlineStr">
        <is>
          <t>TRANÅS</t>
        </is>
      </c>
      <c r="G5639" t="n">
        <v>1.3</v>
      </c>
      <c r="H5639" t="n">
        <v>0</v>
      </c>
      <c r="I5639" t="n">
        <v>0</v>
      </c>
      <c r="J5639" t="n">
        <v>0</v>
      </c>
      <c r="K5639" t="n">
        <v>0</v>
      </c>
      <c r="L5639" t="n">
        <v>0</v>
      </c>
      <c r="M5639" t="n">
        <v>0</v>
      </c>
      <c r="N5639" t="n">
        <v>0</v>
      </c>
      <c r="O5639" t="n">
        <v>0</v>
      </c>
      <c r="P5639" t="n">
        <v>0</v>
      </c>
      <c r="Q5639" t="n">
        <v>0</v>
      </c>
      <c r="R5639" s="2" t="inlineStr"/>
    </row>
    <row r="5640" ht="15" customHeight="1">
      <c r="A5640" t="inlineStr">
        <is>
          <t>A 60384-2023</t>
        </is>
      </c>
      <c r="B5640" s="1" t="n">
        <v>45259.42446759259</v>
      </c>
      <c r="C5640" s="1" t="n">
        <v>45962</v>
      </c>
      <c r="D5640" t="inlineStr">
        <is>
          <t>JÖNKÖPINGS LÄN</t>
        </is>
      </c>
      <c r="E5640" t="inlineStr">
        <is>
          <t>VETLANDA</t>
        </is>
      </c>
      <c r="G5640" t="n">
        <v>5.6</v>
      </c>
      <c r="H5640" t="n">
        <v>0</v>
      </c>
      <c r="I5640" t="n">
        <v>0</v>
      </c>
      <c r="J5640" t="n">
        <v>0</v>
      </c>
      <c r="K5640" t="n">
        <v>0</v>
      </c>
      <c r="L5640" t="n">
        <v>0</v>
      </c>
      <c r="M5640" t="n">
        <v>0</v>
      </c>
      <c r="N5640" t="n">
        <v>0</v>
      </c>
      <c r="O5640" t="n">
        <v>0</v>
      </c>
      <c r="P5640" t="n">
        <v>0</v>
      </c>
      <c r="Q5640" t="n">
        <v>0</v>
      </c>
      <c r="R5640" s="2" t="inlineStr"/>
    </row>
    <row r="5641" ht="15" customHeight="1">
      <c r="A5641" t="inlineStr">
        <is>
          <t>A 34203-2025</t>
        </is>
      </c>
      <c r="B5641" s="1" t="n">
        <v>45845.63450231482</v>
      </c>
      <c r="C5641" s="1" t="n">
        <v>45962</v>
      </c>
      <c r="D5641" t="inlineStr">
        <is>
          <t>JÖNKÖPINGS LÄN</t>
        </is>
      </c>
      <c r="E5641" t="inlineStr">
        <is>
          <t>VAGGERYD</t>
        </is>
      </c>
      <c r="F5641" t="inlineStr">
        <is>
          <t>Sveaskog</t>
        </is>
      </c>
      <c r="G5641" t="n">
        <v>1.8</v>
      </c>
      <c r="H5641" t="n">
        <v>0</v>
      </c>
      <c r="I5641" t="n">
        <v>0</v>
      </c>
      <c r="J5641" t="n">
        <v>0</v>
      </c>
      <c r="K5641" t="n">
        <v>0</v>
      </c>
      <c r="L5641" t="n">
        <v>0</v>
      </c>
      <c r="M5641" t="n">
        <v>0</v>
      </c>
      <c r="N5641" t="n">
        <v>0</v>
      </c>
      <c r="O5641" t="n">
        <v>0</v>
      </c>
      <c r="P5641" t="n">
        <v>0</v>
      </c>
      <c r="Q5641" t="n">
        <v>0</v>
      </c>
      <c r="R5641" s="2" t="inlineStr"/>
    </row>
    <row r="5642" ht="15" customHeight="1">
      <c r="A5642" t="inlineStr">
        <is>
          <t>A 10153-2024</t>
        </is>
      </c>
      <c r="B5642" s="1" t="n">
        <v>45364.64887731482</v>
      </c>
      <c r="C5642" s="1" t="n">
        <v>45962</v>
      </c>
      <c r="D5642" t="inlineStr">
        <is>
          <t>JÖNKÖPINGS LÄN</t>
        </is>
      </c>
      <c r="E5642" t="inlineStr">
        <is>
          <t>EKSJÖ</t>
        </is>
      </c>
      <c r="G5642" t="n">
        <v>0.7</v>
      </c>
      <c r="H5642" t="n">
        <v>0</v>
      </c>
      <c r="I5642" t="n">
        <v>0</v>
      </c>
      <c r="J5642" t="n">
        <v>0</v>
      </c>
      <c r="K5642" t="n">
        <v>0</v>
      </c>
      <c r="L5642" t="n">
        <v>0</v>
      </c>
      <c r="M5642" t="n">
        <v>0</v>
      </c>
      <c r="N5642" t="n">
        <v>0</v>
      </c>
      <c r="O5642" t="n">
        <v>0</v>
      </c>
      <c r="P5642" t="n">
        <v>0</v>
      </c>
      <c r="Q5642" t="n">
        <v>0</v>
      </c>
      <c r="R5642" s="2" t="inlineStr"/>
    </row>
    <row r="5643" ht="15" customHeight="1">
      <c r="A5643" t="inlineStr">
        <is>
          <t>A 23664-2025</t>
        </is>
      </c>
      <c r="B5643" s="1" t="n">
        <v>45792.82875</v>
      </c>
      <c r="C5643" s="1" t="n">
        <v>45962</v>
      </c>
      <c r="D5643" t="inlineStr">
        <is>
          <t>JÖNKÖPINGS LÄN</t>
        </is>
      </c>
      <c r="E5643" t="inlineStr">
        <is>
          <t>SÄVSJÖ</t>
        </is>
      </c>
      <c r="G5643" t="n">
        <v>7.3</v>
      </c>
      <c r="H5643" t="n">
        <v>0</v>
      </c>
      <c r="I5643" t="n">
        <v>0</v>
      </c>
      <c r="J5643" t="n">
        <v>0</v>
      </c>
      <c r="K5643" t="n">
        <v>0</v>
      </c>
      <c r="L5643" t="n">
        <v>0</v>
      </c>
      <c r="M5643" t="n">
        <v>0</v>
      </c>
      <c r="N5643" t="n">
        <v>0</v>
      </c>
      <c r="O5643" t="n">
        <v>0</v>
      </c>
      <c r="P5643" t="n">
        <v>0</v>
      </c>
      <c r="Q5643" t="n">
        <v>0</v>
      </c>
      <c r="R5643" s="2" t="inlineStr"/>
    </row>
    <row r="5644" ht="15" customHeight="1">
      <c r="A5644" t="inlineStr">
        <is>
          <t>A 56407-2024</t>
        </is>
      </c>
      <c r="B5644" s="1" t="n">
        <v>45625</v>
      </c>
      <c r="C5644" s="1" t="n">
        <v>45962</v>
      </c>
      <c r="D5644" t="inlineStr">
        <is>
          <t>JÖNKÖPINGS LÄN</t>
        </is>
      </c>
      <c r="E5644" t="inlineStr">
        <is>
          <t>VETLANDA</t>
        </is>
      </c>
      <c r="G5644" t="n">
        <v>1</v>
      </c>
      <c r="H5644" t="n">
        <v>0</v>
      </c>
      <c r="I5644" t="n">
        <v>0</v>
      </c>
      <c r="J5644" t="n">
        <v>0</v>
      </c>
      <c r="K5644" t="n">
        <v>0</v>
      </c>
      <c r="L5644" t="n">
        <v>0</v>
      </c>
      <c r="M5644" t="n">
        <v>0</v>
      </c>
      <c r="N5644" t="n">
        <v>0</v>
      </c>
      <c r="O5644" t="n">
        <v>0</v>
      </c>
      <c r="P5644" t="n">
        <v>0</v>
      </c>
      <c r="Q5644" t="n">
        <v>0</v>
      </c>
      <c r="R5644" s="2" t="inlineStr"/>
    </row>
    <row r="5645" ht="15" customHeight="1">
      <c r="A5645" t="inlineStr">
        <is>
          <t>A 33846-2025</t>
        </is>
      </c>
      <c r="B5645" s="1" t="n">
        <v>45842.49056712963</v>
      </c>
      <c r="C5645" s="1" t="n">
        <v>45962</v>
      </c>
      <c r="D5645" t="inlineStr">
        <is>
          <t>JÖNKÖPINGS LÄN</t>
        </is>
      </c>
      <c r="E5645" t="inlineStr">
        <is>
          <t>JÖNKÖPING</t>
        </is>
      </c>
      <c r="G5645" t="n">
        <v>0.4</v>
      </c>
      <c r="H5645" t="n">
        <v>0</v>
      </c>
      <c r="I5645" t="n">
        <v>0</v>
      </c>
      <c r="J5645" t="n">
        <v>0</v>
      </c>
      <c r="K5645" t="n">
        <v>0</v>
      </c>
      <c r="L5645" t="n">
        <v>0</v>
      </c>
      <c r="M5645" t="n">
        <v>0</v>
      </c>
      <c r="N5645" t="n">
        <v>0</v>
      </c>
      <c r="O5645" t="n">
        <v>0</v>
      </c>
      <c r="P5645" t="n">
        <v>0</v>
      </c>
      <c r="Q5645" t="n">
        <v>0</v>
      </c>
      <c r="R5645" s="2" t="inlineStr"/>
    </row>
    <row r="5646" ht="15" customHeight="1">
      <c r="A5646" t="inlineStr">
        <is>
          <t>A 33833-2025</t>
        </is>
      </c>
      <c r="B5646" s="1" t="n">
        <v>45842</v>
      </c>
      <c r="C5646" s="1" t="n">
        <v>45962</v>
      </c>
      <c r="D5646" t="inlineStr">
        <is>
          <t>JÖNKÖPINGS LÄN</t>
        </is>
      </c>
      <c r="E5646" t="inlineStr">
        <is>
          <t>VETLANDA</t>
        </is>
      </c>
      <c r="G5646" t="n">
        <v>1.1</v>
      </c>
      <c r="H5646" t="n">
        <v>0</v>
      </c>
      <c r="I5646" t="n">
        <v>0</v>
      </c>
      <c r="J5646" t="n">
        <v>0</v>
      </c>
      <c r="K5646" t="n">
        <v>0</v>
      </c>
      <c r="L5646" t="n">
        <v>0</v>
      </c>
      <c r="M5646" t="n">
        <v>0</v>
      </c>
      <c r="N5646" t="n">
        <v>0</v>
      </c>
      <c r="O5646" t="n">
        <v>0</v>
      </c>
      <c r="P5646" t="n">
        <v>0</v>
      </c>
      <c r="Q5646" t="n">
        <v>0</v>
      </c>
      <c r="R5646" s="2" t="inlineStr"/>
    </row>
    <row r="5647" ht="15" customHeight="1">
      <c r="A5647" t="inlineStr">
        <is>
          <t>A 2780-2023</t>
        </is>
      </c>
      <c r="B5647" s="1" t="n">
        <v>44944.65483796296</v>
      </c>
      <c r="C5647" s="1" t="n">
        <v>45962</v>
      </c>
      <c r="D5647" t="inlineStr">
        <is>
          <t>JÖNKÖPINGS LÄN</t>
        </is>
      </c>
      <c r="E5647" t="inlineStr">
        <is>
          <t>HABO</t>
        </is>
      </c>
      <c r="G5647" t="n">
        <v>1.3</v>
      </c>
      <c r="H5647" t="n">
        <v>0</v>
      </c>
      <c r="I5647" t="n">
        <v>0</v>
      </c>
      <c r="J5647" t="n">
        <v>0</v>
      </c>
      <c r="K5647" t="n">
        <v>0</v>
      </c>
      <c r="L5647" t="n">
        <v>0</v>
      </c>
      <c r="M5647" t="n">
        <v>0</v>
      </c>
      <c r="N5647" t="n">
        <v>0</v>
      </c>
      <c r="O5647" t="n">
        <v>0</v>
      </c>
      <c r="P5647" t="n">
        <v>0</v>
      </c>
      <c r="Q5647" t="n">
        <v>0</v>
      </c>
      <c r="R5647" s="2" t="inlineStr"/>
    </row>
    <row r="5648" ht="15" customHeight="1">
      <c r="A5648" t="inlineStr">
        <is>
          <t>A 2916-2023</t>
        </is>
      </c>
      <c r="B5648" s="1" t="n">
        <v>44945</v>
      </c>
      <c r="C5648" s="1" t="n">
        <v>45962</v>
      </c>
      <c r="D5648" t="inlineStr">
        <is>
          <t>JÖNKÖPINGS LÄN</t>
        </is>
      </c>
      <c r="E5648" t="inlineStr">
        <is>
          <t>EKSJÖ</t>
        </is>
      </c>
      <c r="F5648" t="inlineStr">
        <is>
          <t>Övriga Aktiebolag</t>
        </is>
      </c>
      <c r="G5648" t="n">
        <v>7.3</v>
      </c>
      <c r="H5648" t="n">
        <v>0</v>
      </c>
      <c r="I5648" t="n">
        <v>0</v>
      </c>
      <c r="J5648" t="n">
        <v>0</v>
      </c>
      <c r="K5648" t="n">
        <v>0</v>
      </c>
      <c r="L5648" t="n">
        <v>0</v>
      </c>
      <c r="M5648" t="n">
        <v>0</v>
      </c>
      <c r="N5648" t="n">
        <v>0</v>
      </c>
      <c r="O5648" t="n">
        <v>0</v>
      </c>
      <c r="P5648" t="n">
        <v>0</v>
      </c>
      <c r="Q5648" t="n">
        <v>0</v>
      </c>
      <c r="R5648" s="2" t="inlineStr"/>
    </row>
    <row r="5649" ht="15" customHeight="1">
      <c r="A5649" t="inlineStr">
        <is>
          <t>A 9485-2025</t>
        </is>
      </c>
      <c r="B5649" s="1" t="n">
        <v>45715.48833333333</v>
      </c>
      <c r="C5649" s="1" t="n">
        <v>45962</v>
      </c>
      <c r="D5649" t="inlineStr">
        <is>
          <t>JÖNKÖPINGS LÄN</t>
        </is>
      </c>
      <c r="E5649" t="inlineStr">
        <is>
          <t>VETLANDA</t>
        </is>
      </c>
      <c r="G5649" t="n">
        <v>0.7</v>
      </c>
      <c r="H5649" t="n">
        <v>0</v>
      </c>
      <c r="I5649" t="n">
        <v>0</v>
      </c>
      <c r="J5649" t="n">
        <v>0</v>
      </c>
      <c r="K5649" t="n">
        <v>0</v>
      </c>
      <c r="L5649" t="n">
        <v>0</v>
      </c>
      <c r="M5649" t="n">
        <v>0</v>
      </c>
      <c r="N5649" t="n">
        <v>0</v>
      </c>
      <c r="O5649" t="n">
        <v>0</v>
      </c>
      <c r="P5649" t="n">
        <v>0</v>
      </c>
      <c r="Q5649" t="n">
        <v>0</v>
      </c>
      <c r="R5649" s="2" t="inlineStr"/>
    </row>
    <row r="5650" ht="15" customHeight="1">
      <c r="A5650" t="inlineStr">
        <is>
          <t>A 33977-2025</t>
        </is>
      </c>
      <c r="B5650" s="1" t="n">
        <v>45843.32826388889</v>
      </c>
      <c r="C5650" s="1" t="n">
        <v>45962</v>
      </c>
      <c r="D5650" t="inlineStr">
        <is>
          <t>JÖNKÖPINGS LÄN</t>
        </is>
      </c>
      <c r="E5650" t="inlineStr">
        <is>
          <t>NÄSSJÖ</t>
        </is>
      </c>
      <c r="G5650" t="n">
        <v>0.7</v>
      </c>
      <c r="H5650" t="n">
        <v>0</v>
      </c>
      <c r="I5650" t="n">
        <v>0</v>
      </c>
      <c r="J5650" t="n">
        <v>0</v>
      </c>
      <c r="K5650" t="n">
        <v>0</v>
      </c>
      <c r="L5650" t="n">
        <v>0</v>
      </c>
      <c r="M5650" t="n">
        <v>0</v>
      </c>
      <c r="N5650" t="n">
        <v>0</v>
      </c>
      <c r="O5650" t="n">
        <v>0</v>
      </c>
      <c r="P5650" t="n">
        <v>0</v>
      </c>
      <c r="Q5650" t="n">
        <v>0</v>
      </c>
      <c r="R5650" s="2" t="inlineStr"/>
    </row>
    <row r="5651" ht="15" customHeight="1">
      <c r="A5651" t="inlineStr">
        <is>
          <t>A 33979-2025</t>
        </is>
      </c>
      <c r="B5651" s="1" t="n">
        <v>45843.33149305556</v>
      </c>
      <c r="C5651" s="1" t="n">
        <v>45962</v>
      </c>
      <c r="D5651" t="inlineStr">
        <is>
          <t>JÖNKÖPINGS LÄN</t>
        </is>
      </c>
      <c r="E5651" t="inlineStr">
        <is>
          <t>NÄSSJÖ</t>
        </is>
      </c>
      <c r="G5651" t="n">
        <v>0.6</v>
      </c>
      <c r="H5651" t="n">
        <v>0</v>
      </c>
      <c r="I5651" t="n">
        <v>0</v>
      </c>
      <c r="J5651" t="n">
        <v>0</v>
      </c>
      <c r="K5651" t="n">
        <v>0</v>
      </c>
      <c r="L5651" t="n">
        <v>0</v>
      </c>
      <c r="M5651" t="n">
        <v>0</v>
      </c>
      <c r="N5651" t="n">
        <v>0</v>
      </c>
      <c r="O5651" t="n">
        <v>0</v>
      </c>
      <c r="P5651" t="n">
        <v>0</v>
      </c>
      <c r="Q5651" t="n">
        <v>0</v>
      </c>
      <c r="R5651" s="2" t="inlineStr"/>
    </row>
    <row r="5652" ht="15" customHeight="1">
      <c r="A5652" t="inlineStr">
        <is>
          <t>A 7821-2024</t>
        </is>
      </c>
      <c r="B5652" s="1" t="n">
        <v>45349</v>
      </c>
      <c r="C5652" s="1" t="n">
        <v>45962</v>
      </c>
      <c r="D5652" t="inlineStr">
        <is>
          <t>JÖNKÖPINGS LÄN</t>
        </is>
      </c>
      <c r="E5652" t="inlineStr">
        <is>
          <t>MULLSJÖ</t>
        </is>
      </c>
      <c r="G5652" t="n">
        <v>8.199999999999999</v>
      </c>
      <c r="H5652" t="n">
        <v>0</v>
      </c>
      <c r="I5652" t="n">
        <v>0</v>
      </c>
      <c r="J5652" t="n">
        <v>0</v>
      </c>
      <c r="K5652" t="n">
        <v>0</v>
      </c>
      <c r="L5652" t="n">
        <v>0</v>
      </c>
      <c r="M5652" t="n">
        <v>0</v>
      </c>
      <c r="N5652" t="n">
        <v>0</v>
      </c>
      <c r="O5652" t="n">
        <v>0</v>
      </c>
      <c r="P5652" t="n">
        <v>0</v>
      </c>
      <c r="Q5652" t="n">
        <v>0</v>
      </c>
      <c r="R5652" s="2" t="inlineStr"/>
    </row>
    <row r="5653" ht="15" customHeight="1">
      <c r="A5653" t="inlineStr">
        <is>
          <t>A 7823-2024</t>
        </is>
      </c>
      <c r="B5653" s="1" t="n">
        <v>45349</v>
      </c>
      <c r="C5653" s="1" t="n">
        <v>45962</v>
      </c>
      <c r="D5653" t="inlineStr">
        <is>
          <t>JÖNKÖPINGS LÄN</t>
        </is>
      </c>
      <c r="E5653" t="inlineStr">
        <is>
          <t>MULLSJÖ</t>
        </is>
      </c>
      <c r="G5653" t="n">
        <v>3.5</v>
      </c>
      <c r="H5653" t="n">
        <v>0</v>
      </c>
      <c r="I5653" t="n">
        <v>0</v>
      </c>
      <c r="J5653" t="n">
        <v>0</v>
      </c>
      <c r="K5653" t="n">
        <v>0</v>
      </c>
      <c r="L5653" t="n">
        <v>0</v>
      </c>
      <c r="M5653" t="n">
        <v>0</v>
      </c>
      <c r="N5653" t="n">
        <v>0</v>
      </c>
      <c r="O5653" t="n">
        <v>0</v>
      </c>
      <c r="P5653" t="n">
        <v>0</v>
      </c>
      <c r="Q5653" t="n">
        <v>0</v>
      </c>
      <c r="R5653" s="2" t="inlineStr"/>
    </row>
    <row r="5654" ht="15" customHeight="1">
      <c r="A5654" t="inlineStr">
        <is>
          <t>A 27687-2024</t>
        </is>
      </c>
      <c r="B5654" s="1" t="n">
        <v>45475.33333333334</v>
      </c>
      <c r="C5654" s="1" t="n">
        <v>45962</v>
      </c>
      <c r="D5654" t="inlineStr">
        <is>
          <t>JÖNKÖPINGS LÄN</t>
        </is>
      </c>
      <c r="E5654" t="inlineStr">
        <is>
          <t>VETLANDA</t>
        </is>
      </c>
      <c r="G5654" t="n">
        <v>3.3</v>
      </c>
      <c r="H5654" t="n">
        <v>0</v>
      </c>
      <c r="I5654" t="n">
        <v>0</v>
      </c>
      <c r="J5654" t="n">
        <v>0</v>
      </c>
      <c r="K5654" t="n">
        <v>0</v>
      </c>
      <c r="L5654" t="n">
        <v>0</v>
      </c>
      <c r="M5654" t="n">
        <v>0</v>
      </c>
      <c r="N5654" t="n">
        <v>0</v>
      </c>
      <c r="O5654" t="n">
        <v>0</v>
      </c>
      <c r="P5654" t="n">
        <v>0</v>
      </c>
      <c r="Q5654" t="n">
        <v>0</v>
      </c>
      <c r="R5654" s="2" t="inlineStr"/>
    </row>
    <row r="5655" ht="15" customHeight="1">
      <c r="A5655" t="inlineStr">
        <is>
          <t>A 56322-2021</t>
        </is>
      </c>
      <c r="B5655" s="1" t="n">
        <v>44477</v>
      </c>
      <c r="C5655" s="1" t="n">
        <v>45962</v>
      </c>
      <c r="D5655" t="inlineStr">
        <is>
          <t>JÖNKÖPINGS LÄN</t>
        </is>
      </c>
      <c r="E5655" t="inlineStr">
        <is>
          <t>EKSJÖ</t>
        </is>
      </c>
      <c r="G5655" t="n">
        <v>1.5</v>
      </c>
      <c r="H5655" t="n">
        <v>0</v>
      </c>
      <c r="I5655" t="n">
        <v>0</v>
      </c>
      <c r="J5655" t="n">
        <v>0</v>
      </c>
      <c r="K5655" t="n">
        <v>0</v>
      </c>
      <c r="L5655" t="n">
        <v>0</v>
      </c>
      <c r="M5655" t="n">
        <v>0</v>
      </c>
      <c r="N5655" t="n">
        <v>0</v>
      </c>
      <c r="O5655" t="n">
        <v>0</v>
      </c>
      <c r="P5655" t="n">
        <v>0</v>
      </c>
      <c r="Q5655" t="n">
        <v>0</v>
      </c>
      <c r="R5655" s="2" t="inlineStr"/>
    </row>
    <row r="5656" ht="15" customHeight="1">
      <c r="A5656" t="inlineStr">
        <is>
          <t>A 56876-2023</t>
        </is>
      </c>
      <c r="B5656" s="1" t="n">
        <v>45244</v>
      </c>
      <c r="C5656" s="1" t="n">
        <v>45962</v>
      </c>
      <c r="D5656" t="inlineStr">
        <is>
          <t>JÖNKÖPINGS LÄN</t>
        </is>
      </c>
      <c r="E5656" t="inlineStr">
        <is>
          <t>MULLSJÖ</t>
        </is>
      </c>
      <c r="G5656" t="n">
        <v>0.6</v>
      </c>
      <c r="H5656" t="n">
        <v>0</v>
      </c>
      <c r="I5656" t="n">
        <v>0</v>
      </c>
      <c r="J5656" t="n">
        <v>0</v>
      </c>
      <c r="K5656" t="n">
        <v>0</v>
      </c>
      <c r="L5656" t="n">
        <v>0</v>
      </c>
      <c r="M5656" t="n">
        <v>0</v>
      </c>
      <c r="N5656" t="n">
        <v>0</v>
      </c>
      <c r="O5656" t="n">
        <v>0</v>
      </c>
      <c r="P5656" t="n">
        <v>0</v>
      </c>
      <c r="Q5656" t="n">
        <v>0</v>
      </c>
      <c r="R5656" s="2" t="inlineStr"/>
    </row>
    <row r="5657" ht="15" customHeight="1">
      <c r="A5657" t="inlineStr">
        <is>
          <t>A 34191-2025</t>
        </is>
      </c>
      <c r="B5657" s="1" t="n">
        <v>45845.61859953704</v>
      </c>
      <c r="C5657" s="1" t="n">
        <v>45962</v>
      </c>
      <c r="D5657" t="inlineStr">
        <is>
          <t>JÖNKÖPINGS LÄN</t>
        </is>
      </c>
      <c r="E5657" t="inlineStr">
        <is>
          <t>GISLAVED</t>
        </is>
      </c>
      <c r="G5657" t="n">
        <v>0.8</v>
      </c>
      <c r="H5657" t="n">
        <v>0</v>
      </c>
      <c r="I5657" t="n">
        <v>0</v>
      </c>
      <c r="J5657" t="n">
        <v>0</v>
      </c>
      <c r="K5657" t="n">
        <v>0</v>
      </c>
      <c r="L5657" t="n">
        <v>0</v>
      </c>
      <c r="M5657" t="n">
        <v>0</v>
      </c>
      <c r="N5657" t="n">
        <v>0</v>
      </c>
      <c r="O5657" t="n">
        <v>0</v>
      </c>
      <c r="P5657" t="n">
        <v>0</v>
      </c>
      <c r="Q5657" t="n">
        <v>0</v>
      </c>
      <c r="R5657" s="2" t="inlineStr"/>
    </row>
    <row r="5658" ht="15" customHeight="1">
      <c r="A5658" t="inlineStr">
        <is>
          <t>A 34199-2025</t>
        </is>
      </c>
      <c r="B5658" s="1" t="n">
        <v>45845.63173611111</v>
      </c>
      <c r="C5658" s="1" t="n">
        <v>45962</v>
      </c>
      <c r="D5658" t="inlineStr">
        <is>
          <t>JÖNKÖPINGS LÄN</t>
        </is>
      </c>
      <c r="E5658" t="inlineStr">
        <is>
          <t>VAGGERYD</t>
        </is>
      </c>
      <c r="F5658" t="inlineStr">
        <is>
          <t>Sveaskog</t>
        </is>
      </c>
      <c r="G5658" t="n">
        <v>7.5</v>
      </c>
      <c r="H5658" t="n">
        <v>0</v>
      </c>
      <c r="I5658" t="n">
        <v>0</v>
      </c>
      <c r="J5658" t="n">
        <v>0</v>
      </c>
      <c r="K5658" t="n">
        <v>0</v>
      </c>
      <c r="L5658" t="n">
        <v>0</v>
      </c>
      <c r="M5658" t="n">
        <v>0</v>
      </c>
      <c r="N5658" t="n">
        <v>0</v>
      </c>
      <c r="O5658" t="n">
        <v>0</v>
      </c>
      <c r="P5658" t="n">
        <v>0</v>
      </c>
      <c r="Q5658" t="n">
        <v>0</v>
      </c>
      <c r="R5658" s="2" t="inlineStr"/>
    </row>
    <row r="5659" ht="15" customHeight="1">
      <c r="A5659" t="inlineStr">
        <is>
          <t>A 34215-2025</t>
        </is>
      </c>
      <c r="B5659" s="1" t="n">
        <v>45845.64554398148</v>
      </c>
      <c r="C5659" s="1" t="n">
        <v>45962</v>
      </c>
      <c r="D5659" t="inlineStr">
        <is>
          <t>JÖNKÖPINGS LÄN</t>
        </is>
      </c>
      <c r="E5659" t="inlineStr">
        <is>
          <t>VAGGERYD</t>
        </is>
      </c>
      <c r="F5659" t="inlineStr">
        <is>
          <t>Sveaskog</t>
        </is>
      </c>
      <c r="G5659" t="n">
        <v>19.8</v>
      </c>
      <c r="H5659" t="n">
        <v>0</v>
      </c>
      <c r="I5659" t="n">
        <v>0</v>
      </c>
      <c r="J5659" t="n">
        <v>0</v>
      </c>
      <c r="K5659" t="n">
        <v>0</v>
      </c>
      <c r="L5659" t="n">
        <v>0</v>
      </c>
      <c r="M5659" t="n">
        <v>0</v>
      </c>
      <c r="N5659" t="n">
        <v>0</v>
      </c>
      <c r="O5659" t="n">
        <v>0</v>
      </c>
      <c r="P5659" t="n">
        <v>0</v>
      </c>
      <c r="Q5659" t="n">
        <v>0</v>
      </c>
      <c r="R5659" s="2" t="inlineStr"/>
    </row>
    <row r="5660" ht="15" customHeight="1">
      <c r="A5660" t="inlineStr">
        <is>
          <t>A 33747-2025</t>
        </is>
      </c>
      <c r="B5660" s="1" t="n">
        <v>45842.35563657407</v>
      </c>
      <c r="C5660" s="1" t="n">
        <v>45962</v>
      </c>
      <c r="D5660" t="inlineStr">
        <is>
          <t>JÖNKÖPINGS LÄN</t>
        </is>
      </c>
      <c r="E5660" t="inlineStr">
        <is>
          <t>VETLANDA</t>
        </is>
      </c>
      <c r="G5660" t="n">
        <v>3.9</v>
      </c>
      <c r="H5660" t="n">
        <v>0</v>
      </c>
      <c r="I5660" t="n">
        <v>0</v>
      </c>
      <c r="J5660" t="n">
        <v>0</v>
      </c>
      <c r="K5660" t="n">
        <v>0</v>
      </c>
      <c r="L5660" t="n">
        <v>0</v>
      </c>
      <c r="M5660" t="n">
        <v>0</v>
      </c>
      <c r="N5660" t="n">
        <v>0</v>
      </c>
      <c r="O5660" t="n">
        <v>0</v>
      </c>
      <c r="P5660" t="n">
        <v>0</v>
      </c>
      <c r="Q5660" t="n">
        <v>0</v>
      </c>
      <c r="R5660" s="2" t="inlineStr"/>
    </row>
    <row r="5661" ht="15" customHeight="1">
      <c r="A5661" t="inlineStr">
        <is>
          <t>A 33755-2025</t>
        </is>
      </c>
      <c r="B5661" s="1" t="n">
        <v>45842.37567129629</v>
      </c>
      <c r="C5661" s="1" t="n">
        <v>45962</v>
      </c>
      <c r="D5661" t="inlineStr">
        <is>
          <t>JÖNKÖPINGS LÄN</t>
        </is>
      </c>
      <c r="E5661" t="inlineStr">
        <is>
          <t>VETLANDA</t>
        </is>
      </c>
      <c r="G5661" t="n">
        <v>0.7</v>
      </c>
      <c r="H5661" t="n">
        <v>0</v>
      </c>
      <c r="I5661" t="n">
        <v>0</v>
      </c>
      <c r="J5661" t="n">
        <v>0</v>
      </c>
      <c r="K5661" t="n">
        <v>0</v>
      </c>
      <c r="L5661" t="n">
        <v>0</v>
      </c>
      <c r="M5661" t="n">
        <v>0</v>
      </c>
      <c r="N5661" t="n">
        <v>0</v>
      </c>
      <c r="O5661" t="n">
        <v>0</v>
      </c>
      <c r="P5661" t="n">
        <v>0</v>
      </c>
      <c r="Q5661" t="n">
        <v>0</v>
      </c>
      <c r="R5661" s="2" t="inlineStr"/>
    </row>
    <row r="5662" ht="15" customHeight="1">
      <c r="A5662" t="inlineStr">
        <is>
          <t>A 24329-2025</t>
        </is>
      </c>
      <c r="B5662" s="1" t="n">
        <v>45797.56770833334</v>
      </c>
      <c r="C5662" s="1" t="n">
        <v>45962</v>
      </c>
      <c r="D5662" t="inlineStr">
        <is>
          <t>JÖNKÖPINGS LÄN</t>
        </is>
      </c>
      <c r="E5662" t="inlineStr">
        <is>
          <t>JÖNKÖPING</t>
        </is>
      </c>
      <c r="G5662" t="n">
        <v>2.6</v>
      </c>
      <c r="H5662" t="n">
        <v>0</v>
      </c>
      <c r="I5662" t="n">
        <v>0</v>
      </c>
      <c r="J5662" t="n">
        <v>0</v>
      </c>
      <c r="K5662" t="n">
        <v>0</v>
      </c>
      <c r="L5662" t="n">
        <v>0</v>
      </c>
      <c r="M5662" t="n">
        <v>0</v>
      </c>
      <c r="N5662" t="n">
        <v>0</v>
      </c>
      <c r="O5662" t="n">
        <v>0</v>
      </c>
      <c r="P5662" t="n">
        <v>0</v>
      </c>
      <c r="Q5662" t="n">
        <v>0</v>
      </c>
      <c r="R5662" s="2" t="inlineStr"/>
    </row>
    <row r="5663" ht="15" customHeight="1">
      <c r="A5663" t="inlineStr">
        <is>
          <t>A 11020-2024</t>
        </is>
      </c>
      <c r="B5663" s="1" t="n">
        <v>45370.62805555556</v>
      </c>
      <c r="C5663" s="1" t="n">
        <v>45962</v>
      </c>
      <c r="D5663" t="inlineStr">
        <is>
          <t>JÖNKÖPINGS LÄN</t>
        </is>
      </c>
      <c r="E5663" t="inlineStr">
        <is>
          <t>NÄSSJÖ</t>
        </is>
      </c>
      <c r="G5663" t="n">
        <v>1.1</v>
      </c>
      <c r="H5663" t="n">
        <v>0</v>
      </c>
      <c r="I5663" t="n">
        <v>0</v>
      </c>
      <c r="J5663" t="n">
        <v>0</v>
      </c>
      <c r="K5663" t="n">
        <v>0</v>
      </c>
      <c r="L5663" t="n">
        <v>0</v>
      </c>
      <c r="M5663" t="n">
        <v>0</v>
      </c>
      <c r="N5663" t="n">
        <v>0</v>
      </c>
      <c r="O5663" t="n">
        <v>0</v>
      </c>
      <c r="P5663" t="n">
        <v>0</v>
      </c>
      <c r="Q5663" t="n">
        <v>0</v>
      </c>
      <c r="R5663" s="2" t="inlineStr"/>
    </row>
    <row r="5664" ht="15" customHeight="1">
      <c r="A5664" t="inlineStr">
        <is>
          <t>A 42817-2024</t>
        </is>
      </c>
      <c r="B5664" s="1" t="n">
        <v>45566.58208333333</v>
      </c>
      <c r="C5664" s="1" t="n">
        <v>45962</v>
      </c>
      <c r="D5664" t="inlineStr">
        <is>
          <t>JÖNKÖPINGS LÄN</t>
        </is>
      </c>
      <c r="E5664" t="inlineStr">
        <is>
          <t>VÄRNAMO</t>
        </is>
      </c>
      <c r="G5664" t="n">
        <v>1.4</v>
      </c>
      <c r="H5664" t="n">
        <v>0</v>
      </c>
      <c r="I5664" t="n">
        <v>0</v>
      </c>
      <c r="J5664" t="n">
        <v>0</v>
      </c>
      <c r="K5664" t="n">
        <v>0</v>
      </c>
      <c r="L5664" t="n">
        <v>0</v>
      </c>
      <c r="M5664" t="n">
        <v>0</v>
      </c>
      <c r="N5664" t="n">
        <v>0</v>
      </c>
      <c r="O5664" t="n">
        <v>0</v>
      </c>
      <c r="P5664" t="n">
        <v>0</v>
      </c>
      <c r="Q5664" t="n">
        <v>0</v>
      </c>
      <c r="R5664" s="2" t="inlineStr"/>
    </row>
    <row r="5665" ht="15" customHeight="1">
      <c r="A5665" t="inlineStr">
        <is>
          <t>A 9484-2025</t>
        </is>
      </c>
      <c r="B5665" s="1" t="n">
        <v>45715.48729166666</v>
      </c>
      <c r="C5665" s="1" t="n">
        <v>45962</v>
      </c>
      <c r="D5665" t="inlineStr">
        <is>
          <t>JÖNKÖPINGS LÄN</t>
        </is>
      </c>
      <c r="E5665" t="inlineStr">
        <is>
          <t>VETLANDA</t>
        </is>
      </c>
      <c r="G5665" t="n">
        <v>2.7</v>
      </c>
      <c r="H5665" t="n">
        <v>0</v>
      </c>
      <c r="I5665" t="n">
        <v>0</v>
      </c>
      <c r="J5665" t="n">
        <v>0</v>
      </c>
      <c r="K5665" t="n">
        <v>0</v>
      </c>
      <c r="L5665" t="n">
        <v>0</v>
      </c>
      <c r="M5665" t="n">
        <v>0</v>
      </c>
      <c r="N5665" t="n">
        <v>0</v>
      </c>
      <c r="O5665" t="n">
        <v>0</v>
      </c>
      <c r="P5665" t="n">
        <v>0</v>
      </c>
      <c r="Q5665" t="n">
        <v>0</v>
      </c>
      <c r="R5665" s="2" t="inlineStr"/>
    </row>
    <row r="5666" ht="15" customHeight="1">
      <c r="A5666" t="inlineStr">
        <is>
          <t>A 34094-2025</t>
        </is>
      </c>
      <c r="B5666" s="1" t="n">
        <v>45845.4816087963</v>
      </c>
      <c r="C5666" s="1" t="n">
        <v>45962</v>
      </c>
      <c r="D5666" t="inlineStr">
        <is>
          <t>JÖNKÖPINGS LÄN</t>
        </is>
      </c>
      <c r="E5666" t="inlineStr">
        <is>
          <t>VAGGERYD</t>
        </is>
      </c>
      <c r="G5666" t="n">
        <v>14.5</v>
      </c>
      <c r="H5666" t="n">
        <v>0</v>
      </c>
      <c r="I5666" t="n">
        <v>0</v>
      </c>
      <c r="J5666" t="n">
        <v>0</v>
      </c>
      <c r="K5666" t="n">
        <v>0</v>
      </c>
      <c r="L5666" t="n">
        <v>0</v>
      </c>
      <c r="M5666" t="n">
        <v>0</v>
      </c>
      <c r="N5666" t="n">
        <v>0</v>
      </c>
      <c r="O5666" t="n">
        <v>0</v>
      </c>
      <c r="P5666" t="n">
        <v>0</v>
      </c>
      <c r="Q5666" t="n">
        <v>0</v>
      </c>
      <c r="R5666" s="2" t="inlineStr"/>
    </row>
    <row r="5667" ht="15" customHeight="1">
      <c r="A5667" t="inlineStr">
        <is>
          <t>A 34183-2025</t>
        </is>
      </c>
      <c r="B5667" s="1" t="n">
        <v>45845.60700231481</v>
      </c>
      <c r="C5667" s="1" t="n">
        <v>45962</v>
      </c>
      <c r="D5667" t="inlineStr">
        <is>
          <t>JÖNKÖPINGS LÄN</t>
        </is>
      </c>
      <c r="E5667" t="inlineStr">
        <is>
          <t>JÖNKÖPING</t>
        </is>
      </c>
      <c r="G5667" t="n">
        <v>0.9</v>
      </c>
      <c r="H5667" t="n">
        <v>0</v>
      </c>
      <c r="I5667" t="n">
        <v>0</v>
      </c>
      <c r="J5667" t="n">
        <v>0</v>
      </c>
      <c r="K5667" t="n">
        <v>0</v>
      </c>
      <c r="L5667" t="n">
        <v>0</v>
      </c>
      <c r="M5667" t="n">
        <v>0</v>
      </c>
      <c r="N5667" t="n">
        <v>0</v>
      </c>
      <c r="O5667" t="n">
        <v>0</v>
      </c>
      <c r="P5667" t="n">
        <v>0</v>
      </c>
      <c r="Q5667" t="n">
        <v>0</v>
      </c>
      <c r="R5667" s="2" t="inlineStr"/>
    </row>
    <row r="5668" ht="15" customHeight="1">
      <c r="A5668" t="inlineStr">
        <is>
          <t>A 60077-2023</t>
        </is>
      </c>
      <c r="B5668" s="1" t="n">
        <v>45258.40917824074</v>
      </c>
      <c r="C5668" s="1" t="n">
        <v>45962</v>
      </c>
      <c r="D5668" t="inlineStr">
        <is>
          <t>JÖNKÖPINGS LÄN</t>
        </is>
      </c>
      <c r="E5668" t="inlineStr">
        <is>
          <t>GISLAVED</t>
        </is>
      </c>
      <c r="G5668" t="n">
        <v>2.5</v>
      </c>
      <c r="H5668" t="n">
        <v>0</v>
      </c>
      <c r="I5668" t="n">
        <v>0</v>
      </c>
      <c r="J5668" t="n">
        <v>0</v>
      </c>
      <c r="K5668" t="n">
        <v>0</v>
      </c>
      <c r="L5668" t="n">
        <v>0</v>
      </c>
      <c r="M5668" t="n">
        <v>0</v>
      </c>
      <c r="N5668" t="n">
        <v>0</v>
      </c>
      <c r="O5668" t="n">
        <v>0</v>
      </c>
      <c r="P5668" t="n">
        <v>0</v>
      </c>
      <c r="Q5668" t="n">
        <v>0</v>
      </c>
      <c r="R5668" s="2" t="inlineStr"/>
    </row>
    <row r="5669" ht="15" customHeight="1">
      <c r="A5669" t="inlineStr">
        <is>
          <t>A 33969-2025</t>
        </is>
      </c>
      <c r="B5669" s="1" t="n">
        <v>45842.93458333334</v>
      </c>
      <c r="C5669" s="1" t="n">
        <v>45962</v>
      </c>
      <c r="D5669" t="inlineStr">
        <is>
          <t>JÖNKÖPINGS LÄN</t>
        </is>
      </c>
      <c r="E5669" t="inlineStr">
        <is>
          <t>EKSJÖ</t>
        </is>
      </c>
      <c r="G5669" t="n">
        <v>7.9</v>
      </c>
      <c r="H5669" t="n">
        <v>0</v>
      </c>
      <c r="I5669" t="n">
        <v>0</v>
      </c>
      <c r="J5669" t="n">
        <v>0</v>
      </c>
      <c r="K5669" t="n">
        <v>0</v>
      </c>
      <c r="L5669" t="n">
        <v>0</v>
      </c>
      <c r="M5669" t="n">
        <v>0</v>
      </c>
      <c r="N5669" t="n">
        <v>0</v>
      </c>
      <c r="O5669" t="n">
        <v>0</v>
      </c>
      <c r="P5669" t="n">
        <v>0</v>
      </c>
      <c r="Q5669" t="n">
        <v>0</v>
      </c>
      <c r="R5669" s="2" t="inlineStr"/>
    </row>
    <row r="5670" ht="15" customHeight="1">
      <c r="A5670" t="inlineStr">
        <is>
          <t>A 33970-2025</t>
        </is>
      </c>
      <c r="B5670" s="1" t="n">
        <v>45842.93585648148</v>
      </c>
      <c r="C5670" s="1" t="n">
        <v>45962</v>
      </c>
      <c r="D5670" t="inlineStr">
        <is>
          <t>JÖNKÖPINGS LÄN</t>
        </is>
      </c>
      <c r="E5670" t="inlineStr">
        <is>
          <t>EKSJÖ</t>
        </is>
      </c>
      <c r="G5670" t="n">
        <v>0.5</v>
      </c>
      <c r="H5670" t="n">
        <v>0</v>
      </c>
      <c r="I5670" t="n">
        <v>0</v>
      </c>
      <c r="J5670" t="n">
        <v>0</v>
      </c>
      <c r="K5670" t="n">
        <v>0</v>
      </c>
      <c r="L5670" t="n">
        <v>0</v>
      </c>
      <c r="M5670" t="n">
        <v>0</v>
      </c>
      <c r="N5670" t="n">
        <v>0</v>
      </c>
      <c r="O5670" t="n">
        <v>0</v>
      </c>
      <c r="P5670" t="n">
        <v>0</v>
      </c>
      <c r="Q5670" t="n">
        <v>0</v>
      </c>
      <c r="R5670" s="2" t="inlineStr"/>
    </row>
    <row r="5671" ht="15" customHeight="1">
      <c r="A5671" t="inlineStr">
        <is>
          <t>A 30297-2024</t>
        </is>
      </c>
      <c r="B5671" s="1" t="n">
        <v>45490</v>
      </c>
      <c r="C5671" s="1" t="n">
        <v>45962</v>
      </c>
      <c r="D5671" t="inlineStr">
        <is>
          <t>JÖNKÖPINGS LÄN</t>
        </is>
      </c>
      <c r="E5671" t="inlineStr">
        <is>
          <t>VAGGERYD</t>
        </is>
      </c>
      <c r="G5671" t="n">
        <v>3.2</v>
      </c>
      <c r="H5671" t="n">
        <v>0</v>
      </c>
      <c r="I5671" t="n">
        <v>0</v>
      </c>
      <c r="J5671" t="n">
        <v>0</v>
      </c>
      <c r="K5671" t="n">
        <v>0</v>
      </c>
      <c r="L5671" t="n">
        <v>0</v>
      </c>
      <c r="M5671" t="n">
        <v>0</v>
      </c>
      <c r="N5671" t="n">
        <v>0</v>
      </c>
      <c r="O5671" t="n">
        <v>0</v>
      </c>
      <c r="P5671" t="n">
        <v>0</v>
      </c>
      <c r="Q5671" t="n">
        <v>0</v>
      </c>
      <c r="R5671" s="2" t="inlineStr"/>
    </row>
    <row r="5672" ht="15" customHeight="1">
      <c r="A5672" t="inlineStr">
        <is>
          <t>A 33849-2025</t>
        </is>
      </c>
      <c r="B5672" s="1" t="n">
        <v>45842.49457175926</v>
      </c>
      <c r="C5672" s="1" t="n">
        <v>45962</v>
      </c>
      <c r="D5672" t="inlineStr">
        <is>
          <t>JÖNKÖPINGS LÄN</t>
        </is>
      </c>
      <c r="E5672" t="inlineStr">
        <is>
          <t>JÖNKÖPING</t>
        </is>
      </c>
      <c r="G5672" t="n">
        <v>1.7</v>
      </c>
      <c r="H5672" t="n">
        <v>0</v>
      </c>
      <c r="I5672" t="n">
        <v>0</v>
      </c>
      <c r="J5672" t="n">
        <v>0</v>
      </c>
      <c r="K5672" t="n">
        <v>0</v>
      </c>
      <c r="L5672" t="n">
        <v>0</v>
      </c>
      <c r="M5672" t="n">
        <v>0</v>
      </c>
      <c r="N5672" t="n">
        <v>0</v>
      </c>
      <c r="O5672" t="n">
        <v>0</v>
      </c>
      <c r="P5672" t="n">
        <v>0</v>
      </c>
      <c r="Q5672" t="n">
        <v>0</v>
      </c>
      <c r="R5672" s="2" t="inlineStr"/>
    </row>
    <row r="5673" ht="15" customHeight="1">
      <c r="A5673" t="inlineStr">
        <is>
          <t>A 33850-2025</t>
        </is>
      </c>
      <c r="B5673" s="1" t="n">
        <v>45842.5059375</v>
      </c>
      <c r="C5673" s="1" t="n">
        <v>45962</v>
      </c>
      <c r="D5673" t="inlineStr">
        <is>
          <t>JÖNKÖPINGS LÄN</t>
        </is>
      </c>
      <c r="E5673" t="inlineStr">
        <is>
          <t>JÖNKÖPING</t>
        </is>
      </c>
      <c r="G5673" t="n">
        <v>4</v>
      </c>
      <c r="H5673" t="n">
        <v>0</v>
      </c>
      <c r="I5673" t="n">
        <v>0</v>
      </c>
      <c r="J5673" t="n">
        <v>0</v>
      </c>
      <c r="K5673" t="n">
        <v>0</v>
      </c>
      <c r="L5673" t="n">
        <v>0</v>
      </c>
      <c r="M5673" t="n">
        <v>0</v>
      </c>
      <c r="N5673" t="n">
        <v>0</v>
      </c>
      <c r="O5673" t="n">
        <v>0</v>
      </c>
      <c r="P5673" t="n">
        <v>0</v>
      </c>
      <c r="Q5673" t="n">
        <v>0</v>
      </c>
      <c r="R5673" s="2" t="inlineStr"/>
    </row>
    <row r="5674" ht="15" customHeight="1">
      <c r="A5674" t="inlineStr">
        <is>
          <t>A 30314-2024</t>
        </is>
      </c>
      <c r="B5674" s="1" t="n">
        <v>45490</v>
      </c>
      <c r="C5674" s="1" t="n">
        <v>45962</v>
      </c>
      <c r="D5674" t="inlineStr">
        <is>
          <t>JÖNKÖPINGS LÄN</t>
        </is>
      </c>
      <c r="E5674" t="inlineStr">
        <is>
          <t>GNOSJÖ</t>
        </is>
      </c>
      <c r="G5674" t="n">
        <v>1</v>
      </c>
      <c r="H5674" t="n">
        <v>0</v>
      </c>
      <c r="I5674" t="n">
        <v>0</v>
      </c>
      <c r="J5674" t="n">
        <v>0</v>
      </c>
      <c r="K5674" t="n">
        <v>0</v>
      </c>
      <c r="L5674" t="n">
        <v>0</v>
      </c>
      <c r="M5674" t="n">
        <v>0</v>
      </c>
      <c r="N5674" t="n">
        <v>0</v>
      </c>
      <c r="O5674" t="n">
        <v>0</v>
      </c>
      <c r="P5674" t="n">
        <v>0</v>
      </c>
      <c r="Q5674" t="n">
        <v>0</v>
      </c>
      <c r="R5674" s="2" t="inlineStr"/>
    </row>
    <row r="5675" ht="15" customHeight="1">
      <c r="A5675" t="inlineStr">
        <is>
          <t>A 15826-2021</t>
        </is>
      </c>
      <c r="B5675" s="1" t="n">
        <v>44286.64314814815</v>
      </c>
      <c r="C5675" s="1" t="n">
        <v>45962</v>
      </c>
      <c r="D5675" t="inlineStr">
        <is>
          <t>JÖNKÖPINGS LÄN</t>
        </is>
      </c>
      <c r="E5675" t="inlineStr">
        <is>
          <t>VETLANDA</t>
        </is>
      </c>
      <c r="G5675" t="n">
        <v>1.2</v>
      </c>
      <c r="H5675" t="n">
        <v>0</v>
      </c>
      <c r="I5675" t="n">
        <v>0</v>
      </c>
      <c r="J5675" t="n">
        <v>0</v>
      </c>
      <c r="K5675" t="n">
        <v>0</v>
      </c>
      <c r="L5675" t="n">
        <v>0</v>
      </c>
      <c r="M5675" t="n">
        <v>0</v>
      </c>
      <c r="N5675" t="n">
        <v>0</v>
      </c>
      <c r="O5675" t="n">
        <v>0</v>
      </c>
      <c r="P5675" t="n">
        <v>0</v>
      </c>
      <c r="Q5675" t="n">
        <v>0</v>
      </c>
      <c r="R5675" s="2" t="inlineStr"/>
    </row>
    <row r="5676" ht="15" customHeight="1">
      <c r="A5676" t="inlineStr">
        <is>
          <t>A 61914-2021</t>
        </is>
      </c>
      <c r="B5676" s="1" t="n">
        <v>44501</v>
      </c>
      <c r="C5676" s="1" t="n">
        <v>45962</v>
      </c>
      <c r="D5676" t="inlineStr">
        <is>
          <t>JÖNKÖPINGS LÄN</t>
        </is>
      </c>
      <c r="E5676" t="inlineStr">
        <is>
          <t>GISLAVED</t>
        </is>
      </c>
      <c r="G5676" t="n">
        <v>1.5</v>
      </c>
      <c r="H5676" t="n">
        <v>0</v>
      </c>
      <c r="I5676" t="n">
        <v>0</v>
      </c>
      <c r="J5676" t="n">
        <v>0</v>
      </c>
      <c r="K5676" t="n">
        <v>0</v>
      </c>
      <c r="L5676" t="n">
        <v>0</v>
      </c>
      <c r="M5676" t="n">
        <v>0</v>
      </c>
      <c r="N5676" t="n">
        <v>0</v>
      </c>
      <c r="O5676" t="n">
        <v>0</v>
      </c>
      <c r="P5676" t="n">
        <v>0</v>
      </c>
      <c r="Q5676" t="n">
        <v>0</v>
      </c>
      <c r="R5676" s="2" t="inlineStr"/>
    </row>
    <row r="5677" ht="15" customHeight="1">
      <c r="A5677" t="inlineStr">
        <is>
          <t>A 55482-2023</t>
        </is>
      </c>
      <c r="B5677" s="1" t="n">
        <v>45238.51251157407</v>
      </c>
      <c r="C5677" s="1" t="n">
        <v>45962</v>
      </c>
      <c r="D5677" t="inlineStr">
        <is>
          <t>JÖNKÖPINGS LÄN</t>
        </is>
      </c>
      <c r="E5677" t="inlineStr">
        <is>
          <t>SÄVSJÖ</t>
        </is>
      </c>
      <c r="G5677" t="n">
        <v>1.7</v>
      </c>
      <c r="H5677" t="n">
        <v>0</v>
      </c>
      <c r="I5677" t="n">
        <v>0</v>
      </c>
      <c r="J5677" t="n">
        <v>0</v>
      </c>
      <c r="K5677" t="n">
        <v>0</v>
      </c>
      <c r="L5677" t="n">
        <v>0</v>
      </c>
      <c r="M5677" t="n">
        <v>0</v>
      </c>
      <c r="N5677" t="n">
        <v>0</v>
      </c>
      <c r="O5677" t="n">
        <v>0</v>
      </c>
      <c r="P5677" t="n">
        <v>0</v>
      </c>
      <c r="Q5677" t="n">
        <v>0</v>
      </c>
      <c r="R5677" s="2" t="inlineStr"/>
    </row>
    <row r="5678" ht="15" customHeight="1">
      <c r="A5678" t="inlineStr">
        <is>
          <t>A 33851-2025</t>
        </is>
      </c>
      <c r="B5678" s="1" t="n">
        <v>45842.50984953704</v>
      </c>
      <c r="C5678" s="1" t="n">
        <v>45962</v>
      </c>
      <c r="D5678" t="inlineStr">
        <is>
          <t>JÖNKÖPINGS LÄN</t>
        </is>
      </c>
      <c r="E5678" t="inlineStr">
        <is>
          <t>VETLANDA</t>
        </is>
      </c>
      <c r="G5678" t="n">
        <v>1.1</v>
      </c>
      <c r="H5678" t="n">
        <v>0</v>
      </c>
      <c r="I5678" t="n">
        <v>0</v>
      </c>
      <c r="J5678" t="n">
        <v>0</v>
      </c>
      <c r="K5678" t="n">
        <v>0</v>
      </c>
      <c r="L5678" t="n">
        <v>0</v>
      </c>
      <c r="M5678" t="n">
        <v>0</v>
      </c>
      <c r="N5678" t="n">
        <v>0</v>
      </c>
      <c r="O5678" t="n">
        <v>0</v>
      </c>
      <c r="P5678" t="n">
        <v>0</v>
      </c>
      <c r="Q5678" t="n">
        <v>0</v>
      </c>
      <c r="R5678" s="2" t="inlineStr"/>
    </row>
    <row r="5679" ht="15" customHeight="1">
      <c r="A5679" t="inlineStr">
        <is>
          <t>A 47401-2024</t>
        </is>
      </c>
      <c r="B5679" s="1" t="n">
        <v>45587.47273148148</v>
      </c>
      <c r="C5679" s="1" t="n">
        <v>45962</v>
      </c>
      <c r="D5679" t="inlineStr">
        <is>
          <t>JÖNKÖPINGS LÄN</t>
        </is>
      </c>
      <c r="E5679" t="inlineStr">
        <is>
          <t>JÖNKÖPING</t>
        </is>
      </c>
      <c r="G5679" t="n">
        <v>5.6</v>
      </c>
      <c r="H5679" t="n">
        <v>0</v>
      </c>
      <c r="I5679" t="n">
        <v>0</v>
      </c>
      <c r="J5679" t="n">
        <v>0</v>
      </c>
      <c r="K5679" t="n">
        <v>0</v>
      </c>
      <c r="L5679" t="n">
        <v>0</v>
      </c>
      <c r="M5679" t="n">
        <v>0</v>
      </c>
      <c r="N5679" t="n">
        <v>0</v>
      </c>
      <c r="O5679" t="n">
        <v>0</v>
      </c>
      <c r="P5679" t="n">
        <v>0</v>
      </c>
      <c r="Q5679" t="n">
        <v>0</v>
      </c>
      <c r="R5679" s="2" t="inlineStr"/>
    </row>
    <row r="5680" ht="15" customHeight="1">
      <c r="A5680" t="inlineStr">
        <is>
          <t>A 57928-2023</t>
        </is>
      </c>
      <c r="B5680" s="1" t="n">
        <v>45244</v>
      </c>
      <c r="C5680" s="1" t="n">
        <v>45962</v>
      </c>
      <c r="D5680" t="inlineStr">
        <is>
          <t>JÖNKÖPINGS LÄN</t>
        </is>
      </c>
      <c r="E5680" t="inlineStr">
        <is>
          <t>SÄVSJÖ</t>
        </is>
      </c>
      <c r="G5680" t="n">
        <v>0.7</v>
      </c>
      <c r="H5680" t="n">
        <v>0</v>
      </c>
      <c r="I5680" t="n">
        <v>0</v>
      </c>
      <c r="J5680" t="n">
        <v>0</v>
      </c>
      <c r="K5680" t="n">
        <v>0</v>
      </c>
      <c r="L5680" t="n">
        <v>0</v>
      </c>
      <c r="M5680" t="n">
        <v>0</v>
      </c>
      <c r="N5680" t="n">
        <v>0</v>
      </c>
      <c r="O5680" t="n">
        <v>0</v>
      </c>
      <c r="P5680" t="n">
        <v>0</v>
      </c>
      <c r="Q5680" t="n">
        <v>0</v>
      </c>
      <c r="R5680" s="2" t="inlineStr"/>
    </row>
    <row r="5681" ht="15" customHeight="1">
      <c r="A5681" t="inlineStr">
        <is>
          <t>A 7183-2023</t>
        </is>
      </c>
      <c r="B5681" s="1" t="n">
        <v>44965</v>
      </c>
      <c r="C5681" s="1" t="n">
        <v>45962</v>
      </c>
      <c r="D5681" t="inlineStr">
        <is>
          <t>JÖNKÖPINGS LÄN</t>
        </is>
      </c>
      <c r="E5681" t="inlineStr">
        <is>
          <t>VAGGERYD</t>
        </is>
      </c>
      <c r="G5681" t="n">
        <v>0.6</v>
      </c>
      <c r="H5681" t="n">
        <v>0</v>
      </c>
      <c r="I5681" t="n">
        <v>0</v>
      </c>
      <c r="J5681" t="n">
        <v>0</v>
      </c>
      <c r="K5681" t="n">
        <v>0</v>
      </c>
      <c r="L5681" t="n">
        <v>0</v>
      </c>
      <c r="M5681" t="n">
        <v>0</v>
      </c>
      <c r="N5681" t="n">
        <v>0</v>
      </c>
      <c r="O5681" t="n">
        <v>0</v>
      </c>
      <c r="P5681" t="n">
        <v>0</v>
      </c>
      <c r="Q5681" t="n">
        <v>0</v>
      </c>
      <c r="R5681" s="2" t="inlineStr"/>
    </row>
    <row r="5682" ht="15" customHeight="1">
      <c r="A5682" t="inlineStr">
        <is>
          <t>A 60178-2024</t>
        </is>
      </c>
      <c r="B5682" s="1" t="n">
        <v>45642.63851851852</v>
      </c>
      <c r="C5682" s="1" t="n">
        <v>45962</v>
      </c>
      <c r="D5682" t="inlineStr">
        <is>
          <t>JÖNKÖPINGS LÄN</t>
        </is>
      </c>
      <c r="E5682" t="inlineStr">
        <is>
          <t>VÄRNAMO</t>
        </is>
      </c>
      <c r="G5682" t="n">
        <v>0.7</v>
      </c>
      <c r="H5682" t="n">
        <v>0</v>
      </c>
      <c r="I5682" t="n">
        <v>0</v>
      </c>
      <c r="J5682" t="n">
        <v>0</v>
      </c>
      <c r="K5682" t="n">
        <v>0</v>
      </c>
      <c r="L5682" t="n">
        <v>0</v>
      </c>
      <c r="M5682" t="n">
        <v>0</v>
      </c>
      <c r="N5682" t="n">
        <v>0</v>
      </c>
      <c r="O5682" t="n">
        <v>0</v>
      </c>
      <c r="P5682" t="n">
        <v>0</v>
      </c>
      <c r="Q5682" t="n">
        <v>0</v>
      </c>
      <c r="R5682" s="2" t="inlineStr"/>
    </row>
    <row r="5683" ht="15" customHeight="1">
      <c r="A5683" t="inlineStr">
        <is>
          <t>A 54693-2023</t>
        </is>
      </c>
      <c r="B5683" s="1" t="n">
        <v>45236.28766203704</v>
      </c>
      <c r="C5683" s="1" t="n">
        <v>45962</v>
      </c>
      <c r="D5683" t="inlineStr">
        <is>
          <t>JÖNKÖPINGS LÄN</t>
        </is>
      </c>
      <c r="E5683" t="inlineStr">
        <is>
          <t>HABO</t>
        </is>
      </c>
      <c r="G5683" t="n">
        <v>5.3</v>
      </c>
      <c r="H5683" t="n">
        <v>0</v>
      </c>
      <c r="I5683" t="n">
        <v>0</v>
      </c>
      <c r="J5683" t="n">
        <v>0</v>
      </c>
      <c r="K5683" t="n">
        <v>0</v>
      </c>
      <c r="L5683" t="n">
        <v>0</v>
      </c>
      <c r="M5683" t="n">
        <v>0</v>
      </c>
      <c r="N5683" t="n">
        <v>0</v>
      </c>
      <c r="O5683" t="n">
        <v>0</v>
      </c>
      <c r="P5683" t="n">
        <v>0</v>
      </c>
      <c r="Q5683" t="n">
        <v>0</v>
      </c>
      <c r="R5683" s="2" t="inlineStr"/>
    </row>
    <row r="5684" ht="15" customHeight="1">
      <c r="A5684" t="inlineStr">
        <is>
          <t>A 46783-2023</t>
        </is>
      </c>
      <c r="B5684" s="1" t="n">
        <v>45198</v>
      </c>
      <c r="C5684" s="1" t="n">
        <v>45962</v>
      </c>
      <c r="D5684" t="inlineStr">
        <is>
          <t>JÖNKÖPINGS LÄN</t>
        </is>
      </c>
      <c r="E5684" t="inlineStr">
        <is>
          <t>ANEBY</t>
        </is>
      </c>
      <c r="F5684" t="inlineStr">
        <is>
          <t>Sveaskog</t>
        </is>
      </c>
      <c r="G5684" t="n">
        <v>1.6</v>
      </c>
      <c r="H5684" t="n">
        <v>0</v>
      </c>
      <c r="I5684" t="n">
        <v>0</v>
      </c>
      <c r="J5684" t="n">
        <v>0</v>
      </c>
      <c r="K5684" t="n">
        <v>0</v>
      </c>
      <c r="L5684" t="n">
        <v>0</v>
      </c>
      <c r="M5684" t="n">
        <v>0</v>
      </c>
      <c r="N5684" t="n">
        <v>0</v>
      </c>
      <c r="O5684" t="n">
        <v>0</v>
      </c>
      <c r="P5684" t="n">
        <v>0</v>
      </c>
      <c r="Q5684" t="n">
        <v>0</v>
      </c>
      <c r="R5684" s="2" t="inlineStr"/>
    </row>
    <row r="5685" ht="15" customHeight="1">
      <c r="A5685" t="inlineStr">
        <is>
          <t>A 43406-2022</t>
        </is>
      </c>
      <c r="B5685" s="1" t="n">
        <v>44834.77262731481</v>
      </c>
      <c r="C5685" s="1" t="n">
        <v>45962</v>
      </c>
      <c r="D5685" t="inlineStr">
        <is>
          <t>JÖNKÖPINGS LÄN</t>
        </is>
      </c>
      <c r="E5685" t="inlineStr">
        <is>
          <t>VETLANDA</t>
        </is>
      </c>
      <c r="G5685" t="n">
        <v>1.9</v>
      </c>
      <c r="H5685" t="n">
        <v>0</v>
      </c>
      <c r="I5685" t="n">
        <v>0</v>
      </c>
      <c r="J5685" t="n">
        <v>0</v>
      </c>
      <c r="K5685" t="n">
        <v>0</v>
      </c>
      <c r="L5685" t="n">
        <v>0</v>
      </c>
      <c r="M5685" t="n">
        <v>0</v>
      </c>
      <c r="N5685" t="n">
        <v>0</v>
      </c>
      <c r="O5685" t="n">
        <v>0</v>
      </c>
      <c r="P5685" t="n">
        <v>0</v>
      </c>
      <c r="Q5685" t="n">
        <v>0</v>
      </c>
      <c r="R5685" s="2" t="inlineStr"/>
    </row>
    <row r="5686" ht="15" customHeight="1">
      <c r="A5686" t="inlineStr">
        <is>
          <t>A 1953-2025</t>
        </is>
      </c>
      <c r="B5686" s="1" t="n">
        <v>45672.34994212963</v>
      </c>
      <c r="C5686" s="1" t="n">
        <v>45962</v>
      </c>
      <c r="D5686" t="inlineStr">
        <is>
          <t>JÖNKÖPINGS LÄN</t>
        </is>
      </c>
      <c r="E5686" t="inlineStr">
        <is>
          <t>VETLANDA</t>
        </is>
      </c>
      <c r="G5686" t="n">
        <v>2.2</v>
      </c>
      <c r="H5686" t="n">
        <v>0</v>
      </c>
      <c r="I5686" t="n">
        <v>0</v>
      </c>
      <c r="J5686" t="n">
        <v>0</v>
      </c>
      <c r="K5686" t="n">
        <v>0</v>
      </c>
      <c r="L5686" t="n">
        <v>0</v>
      </c>
      <c r="M5686" t="n">
        <v>0</v>
      </c>
      <c r="N5686" t="n">
        <v>0</v>
      </c>
      <c r="O5686" t="n">
        <v>0</v>
      </c>
      <c r="P5686" t="n">
        <v>0</v>
      </c>
      <c r="Q5686" t="n">
        <v>0</v>
      </c>
      <c r="R5686" s="2" t="inlineStr"/>
      <c r="U5686">
        <f>HYPERLINK("https://klasma.github.io/Logging_0685/knärot/A 1953-2025 karta knärot.png", "A 1953-2025")</f>
        <v/>
      </c>
      <c r="V5686">
        <f>HYPERLINK("https://klasma.github.io/Logging_0685/klagomål/A 1953-2025 FSC-klagomål.docx", "A 1953-2025")</f>
        <v/>
      </c>
      <c r="W5686">
        <f>HYPERLINK("https://klasma.github.io/Logging_0685/klagomålsmail/A 1953-2025 FSC-klagomål mail.docx", "A 1953-2025")</f>
        <v/>
      </c>
      <c r="X5686">
        <f>HYPERLINK("https://klasma.github.io/Logging_0685/tillsyn/A 1953-2025 tillsynsbegäran.docx", "A 1953-2025")</f>
        <v/>
      </c>
      <c r="Y5686">
        <f>HYPERLINK("https://klasma.github.io/Logging_0685/tillsynsmail/A 1953-2025 tillsynsbegäran mail.docx", "A 1953-2025")</f>
        <v/>
      </c>
    </row>
    <row r="5687" ht="15" customHeight="1">
      <c r="A5687" t="inlineStr">
        <is>
          <t>A 5433-2025</t>
        </is>
      </c>
      <c r="B5687" s="1" t="n">
        <v>45692.76652777778</v>
      </c>
      <c r="C5687" s="1" t="n">
        <v>45962</v>
      </c>
      <c r="D5687" t="inlineStr">
        <is>
          <t>JÖNKÖPINGS LÄN</t>
        </is>
      </c>
      <c r="E5687" t="inlineStr">
        <is>
          <t>NÄSSJÖ</t>
        </is>
      </c>
      <c r="G5687" t="n">
        <v>7.9</v>
      </c>
      <c r="H5687" t="n">
        <v>0</v>
      </c>
      <c r="I5687" t="n">
        <v>0</v>
      </c>
      <c r="J5687" t="n">
        <v>0</v>
      </c>
      <c r="K5687" t="n">
        <v>0</v>
      </c>
      <c r="L5687" t="n">
        <v>0</v>
      </c>
      <c r="M5687" t="n">
        <v>0</v>
      </c>
      <c r="N5687" t="n">
        <v>0</v>
      </c>
      <c r="O5687" t="n">
        <v>0</v>
      </c>
      <c r="P5687" t="n">
        <v>0</v>
      </c>
      <c r="Q5687" t="n">
        <v>0</v>
      </c>
      <c r="R5687" s="2" t="inlineStr"/>
    </row>
    <row r="5688" ht="15" customHeight="1">
      <c r="A5688" t="inlineStr">
        <is>
          <t>A 48893-2024</t>
        </is>
      </c>
      <c r="B5688" s="1" t="n">
        <v>45594.34168981481</v>
      </c>
      <c r="C5688" s="1" t="n">
        <v>45962</v>
      </c>
      <c r="D5688" t="inlineStr">
        <is>
          <t>JÖNKÖPINGS LÄN</t>
        </is>
      </c>
      <c r="E5688" t="inlineStr">
        <is>
          <t>HABO</t>
        </is>
      </c>
      <c r="G5688" t="n">
        <v>2.8</v>
      </c>
      <c r="H5688" t="n">
        <v>0</v>
      </c>
      <c r="I5688" t="n">
        <v>0</v>
      </c>
      <c r="J5688" t="n">
        <v>0</v>
      </c>
      <c r="K5688" t="n">
        <v>0</v>
      </c>
      <c r="L5688" t="n">
        <v>0</v>
      </c>
      <c r="M5688" t="n">
        <v>0</v>
      </c>
      <c r="N5688" t="n">
        <v>0</v>
      </c>
      <c r="O5688" t="n">
        <v>0</v>
      </c>
      <c r="P5688" t="n">
        <v>0</v>
      </c>
      <c r="Q5688" t="n">
        <v>0</v>
      </c>
      <c r="R5688" s="2" t="inlineStr"/>
    </row>
    <row r="5689" ht="15" customHeight="1">
      <c r="A5689" t="inlineStr">
        <is>
          <t>A 45806-2023</t>
        </is>
      </c>
      <c r="B5689" s="1" t="n">
        <v>45189</v>
      </c>
      <c r="C5689" s="1" t="n">
        <v>45962</v>
      </c>
      <c r="D5689" t="inlineStr">
        <is>
          <t>JÖNKÖPINGS LÄN</t>
        </is>
      </c>
      <c r="E5689" t="inlineStr">
        <is>
          <t>ANEBY</t>
        </is>
      </c>
      <c r="G5689" t="n">
        <v>1.5</v>
      </c>
      <c r="H5689" t="n">
        <v>0</v>
      </c>
      <c r="I5689" t="n">
        <v>0</v>
      </c>
      <c r="J5689" t="n">
        <v>0</v>
      </c>
      <c r="K5689" t="n">
        <v>0</v>
      </c>
      <c r="L5689" t="n">
        <v>0</v>
      </c>
      <c r="M5689" t="n">
        <v>0</v>
      </c>
      <c r="N5689" t="n">
        <v>0</v>
      </c>
      <c r="O5689" t="n">
        <v>0</v>
      </c>
      <c r="P5689" t="n">
        <v>0</v>
      </c>
      <c r="Q5689" t="n">
        <v>0</v>
      </c>
      <c r="R5689" s="2" t="inlineStr"/>
    </row>
    <row r="5690" ht="15" customHeight="1">
      <c r="A5690" t="inlineStr">
        <is>
          <t>A 34627-2025</t>
        </is>
      </c>
      <c r="B5690" s="1" t="n">
        <v>45847</v>
      </c>
      <c r="C5690" s="1" t="n">
        <v>45962</v>
      </c>
      <c r="D5690" t="inlineStr">
        <is>
          <t>JÖNKÖPINGS LÄN</t>
        </is>
      </c>
      <c r="E5690" t="inlineStr">
        <is>
          <t>SÄVSJÖ</t>
        </is>
      </c>
      <c r="G5690" t="n">
        <v>0.6</v>
      </c>
      <c r="H5690" t="n">
        <v>0</v>
      </c>
      <c r="I5690" t="n">
        <v>0</v>
      </c>
      <c r="J5690" t="n">
        <v>0</v>
      </c>
      <c r="K5690" t="n">
        <v>0</v>
      </c>
      <c r="L5690" t="n">
        <v>0</v>
      </c>
      <c r="M5690" t="n">
        <v>0</v>
      </c>
      <c r="N5690" t="n">
        <v>0</v>
      </c>
      <c r="O5690" t="n">
        <v>0</v>
      </c>
      <c r="P5690" t="n">
        <v>0</v>
      </c>
      <c r="Q5690" t="n">
        <v>0</v>
      </c>
      <c r="R5690" s="2" t="inlineStr"/>
    </row>
    <row r="5691" ht="15" customHeight="1">
      <c r="A5691" t="inlineStr">
        <is>
          <t>A 11801-2024</t>
        </is>
      </c>
      <c r="B5691" s="1" t="n">
        <v>45375</v>
      </c>
      <c r="C5691" s="1" t="n">
        <v>45962</v>
      </c>
      <c r="D5691" t="inlineStr">
        <is>
          <t>JÖNKÖPINGS LÄN</t>
        </is>
      </c>
      <c r="E5691" t="inlineStr">
        <is>
          <t>JÖNKÖPING</t>
        </is>
      </c>
      <c r="G5691" t="n">
        <v>0.9</v>
      </c>
      <c r="H5691" t="n">
        <v>0</v>
      </c>
      <c r="I5691" t="n">
        <v>0</v>
      </c>
      <c r="J5691" t="n">
        <v>0</v>
      </c>
      <c r="K5691" t="n">
        <v>0</v>
      </c>
      <c r="L5691" t="n">
        <v>0</v>
      </c>
      <c r="M5691" t="n">
        <v>0</v>
      </c>
      <c r="N5691" t="n">
        <v>0</v>
      </c>
      <c r="O5691" t="n">
        <v>0</v>
      </c>
      <c r="P5691" t="n">
        <v>0</v>
      </c>
      <c r="Q5691" t="n">
        <v>0</v>
      </c>
      <c r="R5691" s="2" t="inlineStr"/>
    </row>
    <row r="5692" ht="15" customHeight="1">
      <c r="A5692" t="inlineStr">
        <is>
          <t>A 6455-2024</t>
        </is>
      </c>
      <c r="B5692" s="1" t="n">
        <v>45338.68826388889</v>
      </c>
      <c r="C5692" s="1" t="n">
        <v>45962</v>
      </c>
      <c r="D5692" t="inlineStr">
        <is>
          <t>JÖNKÖPINGS LÄN</t>
        </is>
      </c>
      <c r="E5692" t="inlineStr">
        <is>
          <t>EKSJÖ</t>
        </is>
      </c>
      <c r="G5692" t="n">
        <v>2.8</v>
      </c>
      <c r="H5692" t="n">
        <v>0</v>
      </c>
      <c r="I5692" t="n">
        <v>0</v>
      </c>
      <c r="J5692" t="n">
        <v>0</v>
      </c>
      <c r="K5692" t="n">
        <v>0</v>
      </c>
      <c r="L5692" t="n">
        <v>0</v>
      </c>
      <c r="M5692" t="n">
        <v>0</v>
      </c>
      <c r="N5692" t="n">
        <v>0</v>
      </c>
      <c r="O5692" t="n">
        <v>0</v>
      </c>
      <c r="P5692" t="n">
        <v>0</v>
      </c>
      <c r="Q5692" t="n">
        <v>0</v>
      </c>
      <c r="R5692" s="2" t="inlineStr"/>
    </row>
    <row r="5693" ht="15" customHeight="1">
      <c r="A5693" t="inlineStr">
        <is>
          <t>A 6456-2024</t>
        </is>
      </c>
      <c r="B5693" s="1" t="n">
        <v>45338.69246527777</v>
      </c>
      <c r="C5693" s="1" t="n">
        <v>45962</v>
      </c>
      <c r="D5693" t="inlineStr">
        <is>
          <t>JÖNKÖPINGS LÄN</t>
        </is>
      </c>
      <c r="E5693" t="inlineStr">
        <is>
          <t>JÖNKÖPING</t>
        </is>
      </c>
      <c r="F5693" t="inlineStr">
        <is>
          <t>Kyrkan</t>
        </is>
      </c>
      <c r="G5693" t="n">
        <v>2</v>
      </c>
      <c r="H5693" t="n">
        <v>0</v>
      </c>
      <c r="I5693" t="n">
        <v>0</v>
      </c>
      <c r="J5693" t="n">
        <v>0</v>
      </c>
      <c r="K5693" t="n">
        <v>0</v>
      </c>
      <c r="L5693" t="n">
        <v>0</v>
      </c>
      <c r="M5693" t="n">
        <v>0</v>
      </c>
      <c r="N5693" t="n">
        <v>0</v>
      </c>
      <c r="O5693" t="n">
        <v>0</v>
      </c>
      <c r="P5693" t="n">
        <v>0</v>
      </c>
      <c r="Q5693" t="n">
        <v>0</v>
      </c>
      <c r="R5693" s="2" t="inlineStr"/>
    </row>
    <row r="5694" ht="15" customHeight="1">
      <c r="A5694" t="inlineStr">
        <is>
          <t>A 10938-2024</t>
        </is>
      </c>
      <c r="B5694" s="1" t="n">
        <v>45370</v>
      </c>
      <c r="C5694" s="1" t="n">
        <v>45962</v>
      </c>
      <c r="D5694" t="inlineStr">
        <is>
          <t>JÖNKÖPINGS LÄN</t>
        </is>
      </c>
      <c r="E5694" t="inlineStr">
        <is>
          <t>VETLANDA</t>
        </is>
      </c>
      <c r="G5694" t="n">
        <v>2.1</v>
      </c>
      <c r="H5694" t="n">
        <v>0</v>
      </c>
      <c r="I5694" t="n">
        <v>0</v>
      </c>
      <c r="J5694" t="n">
        <v>0</v>
      </c>
      <c r="K5694" t="n">
        <v>0</v>
      </c>
      <c r="L5694" t="n">
        <v>0</v>
      </c>
      <c r="M5694" t="n">
        <v>0</v>
      </c>
      <c r="N5694" t="n">
        <v>0</v>
      </c>
      <c r="O5694" t="n">
        <v>0</v>
      </c>
      <c r="P5694" t="n">
        <v>0</v>
      </c>
      <c r="Q5694" t="n">
        <v>0</v>
      </c>
      <c r="R5694" s="2" t="inlineStr"/>
    </row>
    <row r="5695" ht="15" customHeight="1">
      <c r="A5695" t="inlineStr">
        <is>
          <t>A 57413-2021</t>
        </is>
      </c>
      <c r="B5695" s="1" t="n">
        <v>44483.58045138889</v>
      </c>
      <c r="C5695" s="1" t="n">
        <v>45962</v>
      </c>
      <c r="D5695" t="inlineStr">
        <is>
          <t>JÖNKÖPINGS LÄN</t>
        </is>
      </c>
      <c r="E5695" t="inlineStr">
        <is>
          <t>JÖNKÖPING</t>
        </is>
      </c>
      <c r="G5695" t="n">
        <v>1.7</v>
      </c>
      <c r="H5695" t="n">
        <v>0</v>
      </c>
      <c r="I5695" t="n">
        <v>0</v>
      </c>
      <c r="J5695" t="n">
        <v>0</v>
      </c>
      <c r="K5695" t="n">
        <v>0</v>
      </c>
      <c r="L5695" t="n">
        <v>0</v>
      </c>
      <c r="M5695" t="n">
        <v>0</v>
      </c>
      <c r="N5695" t="n">
        <v>0</v>
      </c>
      <c r="O5695" t="n">
        <v>0</v>
      </c>
      <c r="P5695" t="n">
        <v>0</v>
      </c>
      <c r="Q5695" t="n">
        <v>0</v>
      </c>
      <c r="R5695" s="2" t="inlineStr"/>
    </row>
    <row r="5696" ht="15" customHeight="1">
      <c r="A5696" t="inlineStr">
        <is>
          <t>A 34450-2025</t>
        </is>
      </c>
      <c r="B5696" s="1" t="n">
        <v>45846.73861111111</v>
      </c>
      <c r="C5696" s="1" t="n">
        <v>45962</v>
      </c>
      <c r="D5696" t="inlineStr">
        <is>
          <t>JÖNKÖPINGS LÄN</t>
        </is>
      </c>
      <c r="E5696" t="inlineStr">
        <is>
          <t>JÖNKÖPING</t>
        </is>
      </c>
      <c r="G5696" t="n">
        <v>5.2</v>
      </c>
      <c r="H5696" t="n">
        <v>0</v>
      </c>
      <c r="I5696" t="n">
        <v>0</v>
      </c>
      <c r="J5696" t="n">
        <v>0</v>
      </c>
      <c r="K5696" t="n">
        <v>0</v>
      </c>
      <c r="L5696" t="n">
        <v>0</v>
      </c>
      <c r="M5696" t="n">
        <v>0</v>
      </c>
      <c r="N5696" t="n">
        <v>0</v>
      </c>
      <c r="O5696" t="n">
        <v>0</v>
      </c>
      <c r="P5696" t="n">
        <v>0</v>
      </c>
      <c r="Q5696" t="n">
        <v>0</v>
      </c>
      <c r="R5696" s="2" t="inlineStr"/>
    </row>
    <row r="5697" ht="15" customHeight="1">
      <c r="A5697" t="inlineStr">
        <is>
          <t>A 34452-2025</t>
        </is>
      </c>
      <c r="B5697" s="1" t="n">
        <v>45846.86206018519</v>
      </c>
      <c r="C5697" s="1" t="n">
        <v>45962</v>
      </c>
      <c r="D5697" t="inlineStr">
        <is>
          <t>JÖNKÖPINGS LÄN</t>
        </is>
      </c>
      <c r="E5697" t="inlineStr">
        <is>
          <t>HABO</t>
        </is>
      </c>
      <c r="G5697" t="n">
        <v>0.9</v>
      </c>
      <c r="H5697" t="n">
        <v>0</v>
      </c>
      <c r="I5697" t="n">
        <v>0</v>
      </c>
      <c r="J5697" t="n">
        <v>0</v>
      </c>
      <c r="K5697" t="n">
        <v>0</v>
      </c>
      <c r="L5697" t="n">
        <v>0</v>
      </c>
      <c r="M5697" t="n">
        <v>0</v>
      </c>
      <c r="N5697" t="n">
        <v>0</v>
      </c>
      <c r="O5697" t="n">
        <v>0</v>
      </c>
      <c r="P5697" t="n">
        <v>0</v>
      </c>
      <c r="Q5697" t="n">
        <v>0</v>
      </c>
      <c r="R5697" s="2" t="inlineStr"/>
    </row>
    <row r="5698" ht="15" customHeight="1">
      <c r="A5698" t="inlineStr">
        <is>
          <t>A 34456-2025</t>
        </is>
      </c>
      <c r="B5698" s="1" t="n">
        <v>45847.32769675926</v>
      </c>
      <c r="C5698" s="1" t="n">
        <v>45962</v>
      </c>
      <c r="D5698" t="inlineStr">
        <is>
          <t>JÖNKÖPINGS LÄN</t>
        </is>
      </c>
      <c r="E5698" t="inlineStr">
        <is>
          <t>NÄSSJÖ</t>
        </is>
      </c>
      <c r="G5698" t="n">
        <v>1.6</v>
      </c>
      <c r="H5698" t="n">
        <v>0</v>
      </c>
      <c r="I5698" t="n">
        <v>0</v>
      </c>
      <c r="J5698" t="n">
        <v>0</v>
      </c>
      <c r="K5698" t="n">
        <v>0</v>
      </c>
      <c r="L5698" t="n">
        <v>0</v>
      </c>
      <c r="M5698" t="n">
        <v>0</v>
      </c>
      <c r="N5698" t="n">
        <v>0</v>
      </c>
      <c r="O5698" t="n">
        <v>0</v>
      </c>
      <c r="P5698" t="n">
        <v>0</v>
      </c>
      <c r="Q5698" t="n">
        <v>0</v>
      </c>
      <c r="R5698" s="2" t="inlineStr"/>
    </row>
    <row r="5699" ht="15" customHeight="1">
      <c r="A5699" t="inlineStr">
        <is>
          <t>A 5230-2022</t>
        </is>
      </c>
      <c r="B5699" s="1" t="n">
        <v>44594</v>
      </c>
      <c r="C5699" s="1" t="n">
        <v>45962</v>
      </c>
      <c r="D5699" t="inlineStr">
        <is>
          <t>JÖNKÖPINGS LÄN</t>
        </is>
      </c>
      <c r="E5699" t="inlineStr">
        <is>
          <t>NÄSSJÖ</t>
        </is>
      </c>
      <c r="G5699" t="n">
        <v>1</v>
      </c>
      <c r="H5699" t="n">
        <v>0</v>
      </c>
      <c r="I5699" t="n">
        <v>0</v>
      </c>
      <c r="J5699" t="n">
        <v>0</v>
      </c>
      <c r="K5699" t="n">
        <v>0</v>
      </c>
      <c r="L5699" t="n">
        <v>0</v>
      </c>
      <c r="M5699" t="n">
        <v>0</v>
      </c>
      <c r="N5699" t="n">
        <v>0</v>
      </c>
      <c r="O5699" t="n">
        <v>0</v>
      </c>
      <c r="P5699" t="n">
        <v>0</v>
      </c>
      <c r="Q5699" t="n">
        <v>0</v>
      </c>
      <c r="R5699" s="2" t="inlineStr"/>
    </row>
    <row r="5700" ht="15" customHeight="1">
      <c r="A5700" t="inlineStr">
        <is>
          <t>A 34567-2025</t>
        </is>
      </c>
      <c r="B5700" s="1" t="n">
        <v>45847.58422453704</v>
      </c>
      <c r="C5700" s="1" t="n">
        <v>45962</v>
      </c>
      <c r="D5700" t="inlineStr">
        <is>
          <t>JÖNKÖPINGS LÄN</t>
        </is>
      </c>
      <c r="E5700" t="inlineStr">
        <is>
          <t>VETLANDA</t>
        </is>
      </c>
      <c r="G5700" t="n">
        <v>2</v>
      </c>
      <c r="H5700" t="n">
        <v>0</v>
      </c>
      <c r="I5700" t="n">
        <v>0</v>
      </c>
      <c r="J5700" t="n">
        <v>0</v>
      </c>
      <c r="K5700" t="n">
        <v>0</v>
      </c>
      <c r="L5700" t="n">
        <v>0</v>
      </c>
      <c r="M5700" t="n">
        <v>0</v>
      </c>
      <c r="N5700" t="n">
        <v>0</v>
      </c>
      <c r="O5700" t="n">
        <v>0</v>
      </c>
      <c r="P5700" t="n">
        <v>0</v>
      </c>
      <c r="Q5700" t="n">
        <v>0</v>
      </c>
      <c r="R5700" s="2" t="inlineStr"/>
    </row>
    <row r="5701" ht="15" customHeight="1">
      <c r="A5701" t="inlineStr">
        <is>
          <t>A 34571-2025</t>
        </is>
      </c>
      <c r="B5701" s="1" t="n">
        <v>45847.59070601852</v>
      </c>
      <c r="C5701" s="1" t="n">
        <v>45962</v>
      </c>
      <c r="D5701" t="inlineStr">
        <is>
          <t>JÖNKÖPINGS LÄN</t>
        </is>
      </c>
      <c r="E5701" t="inlineStr">
        <is>
          <t>VETLANDA</t>
        </is>
      </c>
      <c r="G5701" t="n">
        <v>0.8</v>
      </c>
      <c r="H5701" t="n">
        <v>0</v>
      </c>
      <c r="I5701" t="n">
        <v>0</v>
      </c>
      <c r="J5701" t="n">
        <v>0</v>
      </c>
      <c r="K5701" t="n">
        <v>0</v>
      </c>
      <c r="L5701" t="n">
        <v>0</v>
      </c>
      <c r="M5701" t="n">
        <v>0</v>
      </c>
      <c r="N5701" t="n">
        <v>0</v>
      </c>
      <c r="O5701" t="n">
        <v>0</v>
      </c>
      <c r="P5701" t="n">
        <v>0</v>
      </c>
      <c r="Q5701" t="n">
        <v>0</v>
      </c>
      <c r="R5701" s="2" t="inlineStr"/>
    </row>
    <row r="5702" ht="15" customHeight="1">
      <c r="A5702" t="inlineStr">
        <is>
          <t>A 40486-2022</t>
        </is>
      </c>
      <c r="B5702" s="1" t="n">
        <v>44823</v>
      </c>
      <c r="C5702" s="1" t="n">
        <v>45962</v>
      </c>
      <c r="D5702" t="inlineStr">
        <is>
          <t>JÖNKÖPINGS LÄN</t>
        </is>
      </c>
      <c r="E5702" t="inlineStr">
        <is>
          <t>VÄRNAMO</t>
        </is>
      </c>
      <c r="G5702" t="n">
        <v>2.6</v>
      </c>
      <c r="H5702" t="n">
        <v>0</v>
      </c>
      <c r="I5702" t="n">
        <v>0</v>
      </c>
      <c r="J5702" t="n">
        <v>0</v>
      </c>
      <c r="K5702" t="n">
        <v>0</v>
      </c>
      <c r="L5702" t="n">
        <v>0</v>
      </c>
      <c r="M5702" t="n">
        <v>0</v>
      </c>
      <c r="N5702" t="n">
        <v>0</v>
      </c>
      <c r="O5702" t="n">
        <v>0</v>
      </c>
      <c r="P5702" t="n">
        <v>0</v>
      </c>
      <c r="Q5702" t="n">
        <v>0</v>
      </c>
      <c r="R5702" s="2" t="inlineStr"/>
    </row>
    <row r="5703" ht="15" customHeight="1">
      <c r="A5703" t="inlineStr">
        <is>
          <t>A 32108-2024</t>
        </is>
      </c>
      <c r="B5703" s="1" t="n">
        <v>45511</v>
      </c>
      <c r="C5703" s="1" t="n">
        <v>45962</v>
      </c>
      <c r="D5703" t="inlineStr">
        <is>
          <t>JÖNKÖPINGS LÄN</t>
        </is>
      </c>
      <c r="E5703" t="inlineStr">
        <is>
          <t>GISLAVED</t>
        </is>
      </c>
      <c r="G5703" t="n">
        <v>3</v>
      </c>
      <c r="H5703" t="n">
        <v>0</v>
      </c>
      <c r="I5703" t="n">
        <v>0</v>
      </c>
      <c r="J5703" t="n">
        <v>0</v>
      </c>
      <c r="K5703" t="n">
        <v>0</v>
      </c>
      <c r="L5703" t="n">
        <v>0</v>
      </c>
      <c r="M5703" t="n">
        <v>0</v>
      </c>
      <c r="N5703" t="n">
        <v>0</v>
      </c>
      <c r="O5703" t="n">
        <v>0</v>
      </c>
      <c r="P5703" t="n">
        <v>0</v>
      </c>
      <c r="Q5703" t="n">
        <v>0</v>
      </c>
      <c r="R5703" s="2" t="inlineStr"/>
    </row>
    <row r="5704" ht="15" customHeight="1">
      <c r="A5704" t="inlineStr">
        <is>
          <t>A 49444-2023</t>
        </is>
      </c>
      <c r="B5704" s="1" t="n">
        <v>45211.4853125</v>
      </c>
      <c r="C5704" s="1" t="n">
        <v>45962</v>
      </c>
      <c r="D5704" t="inlineStr">
        <is>
          <t>JÖNKÖPINGS LÄN</t>
        </is>
      </c>
      <c r="E5704" t="inlineStr">
        <is>
          <t>VETLANDA</t>
        </is>
      </c>
      <c r="G5704" t="n">
        <v>1.3</v>
      </c>
      <c r="H5704" t="n">
        <v>0</v>
      </c>
      <c r="I5704" t="n">
        <v>0</v>
      </c>
      <c r="J5704" t="n">
        <v>0</v>
      </c>
      <c r="K5704" t="n">
        <v>0</v>
      </c>
      <c r="L5704" t="n">
        <v>0</v>
      </c>
      <c r="M5704" t="n">
        <v>0</v>
      </c>
      <c r="N5704" t="n">
        <v>0</v>
      </c>
      <c r="O5704" t="n">
        <v>0</v>
      </c>
      <c r="P5704" t="n">
        <v>0</v>
      </c>
      <c r="Q5704" t="n">
        <v>0</v>
      </c>
      <c r="R5704" s="2" t="inlineStr"/>
    </row>
    <row r="5705" ht="15" customHeight="1">
      <c r="A5705" t="inlineStr">
        <is>
          <t>A 49449-2023</t>
        </is>
      </c>
      <c r="B5705" s="1" t="n">
        <v>45211</v>
      </c>
      <c r="C5705" s="1" t="n">
        <v>45962</v>
      </c>
      <c r="D5705" t="inlineStr">
        <is>
          <t>JÖNKÖPINGS LÄN</t>
        </is>
      </c>
      <c r="E5705" t="inlineStr">
        <is>
          <t>SÄVSJÖ</t>
        </is>
      </c>
      <c r="G5705" t="n">
        <v>1.2</v>
      </c>
      <c r="H5705" t="n">
        <v>0</v>
      </c>
      <c r="I5705" t="n">
        <v>0</v>
      </c>
      <c r="J5705" t="n">
        <v>0</v>
      </c>
      <c r="K5705" t="n">
        <v>0</v>
      </c>
      <c r="L5705" t="n">
        <v>0</v>
      </c>
      <c r="M5705" t="n">
        <v>0</v>
      </c>
      <c r="N5705" t="n">
        <v>0</v>
      </c>
      <c r="O5705" t="n">
        <v>0</v>
      </c>
      <c r="P5705" t="n">
        <v>0</v>
      </c>
      <c r="Q5705" t="n">
        <v>0</v>
      </c>
      <c r="R5705" s="2" t="inlineStr"/>
    </row>
    <row r="5706" ht="15" customHeight="1">
      <c r="A5706" t="inlineStr">
        <is>
          <t>A 48664-2023</t>
        </is>
      </c>
      <c r="B5706" s="1" t="n">
        <v>45208.61528935185</v>
      </c>
      <c r="C5706" s="1" t="n">
        <v>45962</v>
      </c>
      <c r="D5706" t="inlineStr">
        <is>
          <t>JÖNKÖPINGS LÄN</t>
        </is>
      </c>
      <c r="E5706" t="inlineStr">
        <is>
          <t>VÄRNAMO</t>
        </is>
      </c>
      <c r="G5706" t="n">
        <v>2.1</v>
      </c>
      <c r="H5706" t="n">
        <v>0</v>
      </c>
      <c r="I5706" t="n">
        <v>0</v>
      </c>
      <c r="J5706" t="n">
        <v>0</v>
      </c>
      <c r="K5706" t="n">
        <v>0</v>
      </c>
      <c r="L5706" t="n">
        <v>0</v>
      </c>
      <c r="M5706" t="n">
        <v>0</v>
      </c>
      <c r="N5706" t="n">
        <v>0</v>
      </c>
      <c r="O5706" t="n">
        <v>0</v>
      </c>
      <c r="P5706" t="n">
        <v>0</v>
      </c>
      <c r="Q5706" t="n">
        <v>0</v>
      </c>
      <c r="R5706" s="2" t="inlineStr"/>
    </row>
    <row r="5707" ht="15" customHeight="1">
      <c r="A5707" t="inlineStr">
        <is>
          <t>A 40271-2023</t>
        </is>
      </c>
      <c r="B5707" s="1" t="n">
        <v>45169</v>
      </c>
      <c r="C5707" s="1" t="n">
        <v>45962</v>
      </c>
      <c r="D5707" t="inlineStr">
        <is>
          <t>JÖNKÖPINGS LÄN</t>
        </is>
      </c>
      <c r="E5707" t="inlineStr">
        <is>
          <t>JÖNKÖPING</t>
        </is>
      </c>
      <c r="G5707" t="n">
        <v>1.6</v>
      </c>
      <c r="H5707" t="n">
        <v>0</v>
      </c>
      <c r="I5707" t="n">
        <v>0</v>
      </c>
      <c r="J5707" t="n">
        <v>0</v>
      </c>
      <c r="K5707" t="n">
        <v>0</v>
      </c>
      <c r="L5707" t="n">
        <v>0</v>
      </c>
      <c r="M5707" t="n">
        <v>0</v>
      </c>
      <c r="N5707" t="n">
        <v>0</v>
      </c>
      <c r="O5707" t="n">
        <v>0</v>
      </c>
      <c r="P5707" t="n">
        <v>0</v>
      </c>
      <c r="Q5707" t="n">
        <v>0</v>
      </c>
      <c r="R5707" s="2" t="inlineStr"/>
    </row>
    <row r="5708" ht="15" customHeight="1">
      <c r="A5708" t="inlineStr">
        <is>
          <t>A 49478-2023</t>
        </is>
      </c>
      <c r="B5708" s="1" t="n">
        <v>45205</v>
      </c>
      <c r="C5708" s="1" t="n">
        <v>45962</v>
      </c>
      <c r="D5708" t="inlineStr">
        <is>
          <t>JÖNKÖPINGS LÄN</t>
        </is>
      </c>
      <c r="E5708" t="inlineStr">
        <is>
          <t>ANEBY</t>
        </is>
      </c>
      <c r="F5708" t="inlineStr">
        <is>
          <t>Övriga Aktiebolag</t>
        </is>
      </c>
      <c r="G5708" t="n">
        <v>1.5</v>
      </c>
      <c r="H5708" t="n">
        <v>0</v>
      </c>
      <c r="I5708" t="n">
        <v>0</v>
      </c>
      <c r="J5708" t="n">
        <v>0</v>
      </c>
      <c r="K5708" t="n">
        <v>0</v>
      </c>
      <c r="L5708" t="n">
        <v>0</v>
      </c>
      <c r="M5708" t="n">
        <v>0</v>
      </c>
      <c r="N5708" t="n">
        <v>0</v>
      </c>
      <c r="O5708" t="n">
        <v>0</v>
      </c>
      <c r="P5708" t="n">
        <v>0</v>
      </c>
      <c r="Q5708" t="n">
        <v>0</v>
      </c>
      <c r="R5708" s="2" t="inlineStr"/>
    </row>
    <row r="5709" ht="15" customHeight="1">
      <c r="A5709" t="inlineStr">
        <is>
          <t>A 45574-2024</t>
        </is>
      </c>
      <c r="B5709" s="1" t="n">
        <v>45579.38944444444</v>
      </c>
      <c r="C5709" s="1" t="n">
        <v>45962</v>
      </c>
      <c r="D5709" t="inlineStr">
        <is>
          <t>JÖNKÖPINGS LÄN</t>
        </is>
      </c>
      <c r="E5709" t="inlineStr">
        <is>
          <t>GISLAVED</t>
        </is>
      </c>
      <c r="G5709" t="n">
        <v>1</v>
      </c>
      <c r="H5709" t="n">
        <v>0</v>
      </c>
      <c r="I5709" t="n">
        <v>0</v>
      </c>
      <c r="J5709" t="n">
        <v>0</v>
      </c>
      <c r="K5709" t="n">
        <v>0</v>
      </c>
      <c r="L5709" t="n">
        <v>0</v>
      </c>
      <c r="M5709" t="n">
        <v>0</v>
      </c>
      <c r="N5709" t="n">
        <v>0</v>
      </c>
      <c r="O5709" t="n">
        <v>0</v>
      </c>
      <c r="P5709" t="n">
        <v>0</v>
      </c>
      <c r="Q5709" t="n">
        <v>0</v>
      </c>
      <c r="R5709" s="2" t="inlineStr"/>
    </row>
    <row r="5710" ht="15" customHeight="1">
      <c r="A5710" t="inlineStr">
        <is>
          <t>A 20897-2022</t>
        </is>
      </c>
      <c r="B5710" s="1" t="n">
        <v>44701</v>
      </c>
      <c r="C5710" s="1" t="n">
        <v>45962</v>
      </c>
      <c r="D5710" t="inlineStr">
        <is>
          <t>JÖNKÖPINGS LÄN</t>
        </is>
      </c>
      <c r="E5710" t="inlineStr">
        <is>
          <t>EKSJÖ</t>
        </is>
      </c>
      <c r="G5710" t="n">
        <v>3.5</v>
      </c>
      <c r="H5710" t="n">
        <v>0</v>
      </c>
      <c r="I5710" t="n">
        <v>0</v>
      </c>
      <c r="J5710" t="n">
        <v>0</v>
      </c>
      <c r="K5710" t="n">
        <v>0</v>
      </c>
      <c r="L5710" t="n">
        <v>0</v>
      </c>
      <c r="M5710" t="n">
        <v>0</v>
      </c>
      <c r="N5710" t="n">
        <v>0</v>
      </c>
      <c r="O5710" t="n">
        <v>0</v>
      </c>
      <c r="P5710" t="n">
        <v>0</v>
      </c>
      <c r="Q5710" t="n">
        <v>0</v>
      </c>
      <c r="R5710" s="2" t="inlineStr"/>
    </row>
    <row r="5711" ht="15" customHeight="1">
      <c r="A5711" t="inlineStr">
        <is>
          <t>A 49406-2023</t>
        </is>
      </c>
      <c r="B5711" s="1" t="n">
        <v>45211.4318287037</v>
      </c>
      <c r="C5711" s="1" t="n">
        <v>45962</v>
      </c>
      <c r="D5711" t="inlineStr">
        <is>
          <t>JÖNKÖPINGS LÄN</t>
        </is>
      </c>
      <c r="E5711" t="inlineStr">
        <is>
          <t>SÄVSJÖ</t>
        </is>
      </c>
      <c r="G5711" t="n">
        <v>2.4</v>
      </c>
      <c r="H5711" t="n">
        <v>0</v>
      </c>
      <c r="I5711" t="n">
        <v>0</v>
      </c>
      <c r="J5711" t="n">
        <v>0</v>
      </c>
      <c r="K5711" t="n">
        <v>0</v>
      </c>
      <c r="L5711" t="n">
        <v>0</v>
      </c>
      <c r="M5711" t="n">
        <v>0</v>
      </c>
      <c r="N5711" t="n">
        <v>0</v>
      </c>
      <c r="O5711" t="n">
        <v>0</v>
      </c>
      <c r="P5711" t="n">
        <v>0</v>
      </c>
      <c r="Q5711" t="n">
        <v>0</v>
      </c>
      <c r="R5711" s="2" t="inlineStr"/>
    </row>
    <row r="5712" ht="15" customHeight="1">
      <c r="A5712" t="inlineStr">
        <is>
          <t>A 27678-2025</t>
        </is>
      </c>
      <c r="B5712" s="1" t="n">
        <v>45813.63689814815</v>
      </c>
      <c r="C5712" s="1" t="n">
        <v>45962</v>
      </c>
      <c r="D5712" t="inlineStr">
        <is>
          <t>JÖNKÖPINGS LÄN</t>
        </is>
      </c>
      <c r="E5712" t="inlineStr">
        <is>
          <t>GNOSJÖ</t>
        </is>
      </c>
      <c r="G5712" t="n">
        <v>2.9</v>
      </c>
      <c r="H5712" t="n">
        <v>0</v>
      </c>
      <c r="I5712" t="n">
        <v>0</v>
      </c>
      <c r="J5712" t="n">
        <v>0</v>
      </c>
      <c r="K5712" t="n">
        <v>0</v>
      </c>
      <c r="L5712" t="n">
        <v>0</v>
      </c>
      <c r="M5712" t="n">
        <v>0</v>
      </c>
      <c r="N5712" t="n">
        <v>0</v>
      </c>
      <c r="O5712" t="n">
        <v>0</v>
      </c>
      <c r="P5712" t="n">
        <v>0</v>
      </c>
      <c r="Q5712" t="n">
        <v>0</v>
      </c>
      <c r="R5712" s="2" t="inlineStr"/>
    </row>
    <row r="5713" ht="15" customHeight="1">
      <c r="A5713" t="inlineStr">
        <is>
          <t>A 7268-2025</t>
        </is>
      </c>
      <c r="B5713" s="1" t="n">
        <v>45702.60103009259</v>
      </c>
      <c r="C5713" s="1" t="n">
        <v>45962</v>
      </c>
      <c r="D5713" t="inlineStr">
        <is>
          <t>JÖNKÖPINGS LÄN</t>
        </is>
      </c>
      <c r="E5713" t="inlineStr">
        <is>
          <t>MULLSJÖ</t>
        </is>
      </c>
      <c r="G5713" t="n">
        <v>1.2</v>
      </c>
      <c r="H5713" t="n">
        <v>0</v>
      </c>
      <c r="I5713" t="n">
        <v>0</v>
      </c>
      <c r="J5713" t="n">
        <v>0</v>
      </c>
      <c r="K5713" t="n">
        <v>0</v>
      </c>
      <c r="L5713" t="n">
        <v>0</v>
      </c>
      <c r="M5713" t="n">
        <v>0</v>
      </c>
      <c r="N5713" t="n">
        <v>0</v>
      </c>
      <c r="O5713" t="n">
        <v>0</v>
      </c>
      <c r="P5713" t="n">
        <v>0</v>
      </c>
      <c r="Q5713" t="n">
        <v>0</v>
      </c>
      <c r="R5713" s="2" t="inlineStr"/>
    </row>
    <row r="5714" ht="15" customHeight="1">
      <c r="A5714" t="inlineStr">
        <is>
          <t>A 51183-2024</t>
        </is>
      </c>
      <c r="B5714" s="1" t="n">
        <v>45603.60537037037</v>
      </c>
      <c r="C5714" s="1" t="n">
        <v>45962</v>
      </c>
      <c r="D5714" t="inlineStr">
        <is>
          <t>JÖNKÖPINGS LÄN</t>
        </is>
      </c>
      <c r="E5714" t="inlineStr">
        <is>
          <t>JÖNKÖPING</t>
        </is>
      </c>
      <c r="G5714" t="n">
        <v>5.9</v>
      </c>
      <c r="H5714" t="n">
        <v>0</v>
      </c>
      <c r="I5714" t="n">
        <v>0</v>
      </c>
      <c r="J5714" t="n">
        <v>0</v>
      </c>
      <c r="K5714" t="n">
        <v>0</v>
      </c>
      <c r="L5714" t="n">
        <v>0</v>
      </c>
      <c r="M5714" t="n">
        <v>0</v>
      </c>
      <c r="N5714" t="n">
        <v>0</v>
      </c>
      <c r="O5714" t="n">
        <v>0</v>
      </c>
      <c r="P5714" t="n">
        <v>0</v>
      </c>
      <c r="Q5714" t="n">
        <v>0</v>
      </c>
      <c r="R5714" s="2" t="inlineStr"/>
    </row>
    <row r="5715" ht="15" customHeight="1">
      <c r="A5715" t="inlineStr">
        <is>
          <t>A 4913-2025</t>
        </is>
      </c>
      <c r="B5715" s="1" t="n">
        <v>45688</v>
      </c>
      <c r="C5715" s="1" t="n">
        <v>45962</v>
      </c>
      <c r="D5715" t="inlineStr">
        <is>
          <t>JÖNKÖPINGS LÄN</t>
        </is>
      </c>
      <c r="E5715" t="inlineStr">
        <is>
          <t>ANEBY</t>
        </is>
      </c>
      <c r="G5715" t="n">
        <v>1.2</v>
      </c>
      <c r="H5715" t="n">
        <v>0</v>
      </c>
      <c r="I5715" t="n">
        <v>0</v>
      </c>
      <c r="J5715" t="n">
        <v>0</v>
      </c>
      <c r="K5715" t="n">
        <v>0</v>
      </c>
      <c r="L5715" t="n">
        <v>0</v>
      </c>
      <c r="M5715" t="n">
        <v>0</v>
      </c>
      <c r="N5715" t="n">
        <v>0</v>
      </c>
      <c r="O5715" t="n">
        <v>0</v>
      </c>
      <c r="P5715" t="n">
        <v>0</v>
      </c>
      <c r="Q5715" t="n">
        <v>0</v>
      </c>
      <c r="R5715" s="2" t="inlineStr"/>
    </row>
    <row r="5716" ht="15" customHeight="1">
      <c r="A5716" t="inlineStr">
        <is>
          <t>A 46955-2025</t>
        </is>
      </c>
      <c r="B5716" s="1" t="n">
        <v>45929.48050925926</v>
      </c>
      <c r="C5716" s="1" t="n">
        <v>45962</v>
      </c>
      <c r="D5716" t="inlineStr">
        <is>
          <t>JÖNKÖPINGS LÄN</t>
        </is>
      </c>
      <c r="E5716" t="inlineStr">
        <is>
          <t>JÖNKÖPING</t>
        </is>
      </c>
      <c r="G5716" t="n">
        <v>5.3</v>
      </c>
      <c r="H5716" t="n">
        <v>0</v>
      </c>
      <c r="I5716" t="n">
        <v>0</v>
      </c>
      <c r="J5716" t="n">
        <v>0</v>
      </c>
      <c r="K5716" t="n">
        <v>0</v>
      </c>
      <c r="L5716" t="n">
        <v>0</v>
      </c>
      <c r="M5716" t="n">
        <v>0</v>
      </c>
      <c r="N5716" t="n">
        <v>0</v>
      </c>
      <c r="O5716" t="n">
        <v>0</v>
      </c>
      <c r="P5716" t="n">
        <v>0</v>
      </c>
      <c r="Q5716" t="n">
        <v>0</v>
      </c>
      <c r="R5716" s="2" t="inlineStr"/>
    </row>
    <row r="5717" ht="15" customHeight="1">
      <c r="A5717" t="inlineStr">
        <is>
          <t>A 34356-2025</t>
        </is>
      </c>
      <c r="B5717" s="1" t="n">
        <v>45846.48190972222</v>
      </c>
      <c r="C5717" s="1" t="n">
        <v>45962</v>
      </c>
      <c r="D5717" t="inlineStr">
        <is>
          <t>JÖNKÖPINGS LÄN</t>
        </is>
      </c>
      <c r="E5717" t="inlineStr">
        <is>
          <t>JÖNKÖPING</t>
        </is>
      </c>
      <c r="G5717" t="n">
        <v>2.8</v>
      </c>
      <c r="H5717" t="n">
        <v>0</v>
      </c>
      <c r="I5717" t="n">
        <v>0</v>
      </c>
      <c r="J5717" t="n">
        <v>0</v>
      </c>
      <c r="K5717" t="n">
        <v>0</v>
      </c>
      <c r="L5717" t="n">
        <v>0</v>
      </c>
      <c r="M5717" t="n">
        <v>0</v>
      </c>
      <c r="N5717" t="n">
        <v>0</v>
      </c>
      <c r="O5717" t="n">
        <v>0</v>
      </c>
      <c r="P5717" t="n">
        <v>0</v>
      </c>
      <c r="Q5717" t="n">
        <v>0</v>
      </c>
      <c r="R5717" s="2" t="inlineStr"/>
    </row>
    <row r="5718" ht="15" customHeight="1">
      <c r="A5718" t="inlineStr">
        <is>
          <t>A 3906-2024</t>
        </is>
      </c>
      <c r="B5718" s="1" t="n">
        <v>45322.49210648148</v>
      </c>
      <c r="C5718" s="1" t="n">
        <v>45962</v>
      </c>
      <c r="D5718" t="inlineStr">
        <is>
          <t>JÖNKÖPINGS LÄN</t>
        </is>
      </c>
      <c r="E5718" t="inlineStr">
        <is>
          <t>VETLANDA</t>
        </is>
      </c>
      <c r="G5718" t="n">
        <v>0.7</v>
      </c>
      <c r="H5718" t="n">
        <v>0</v>
      </c>
      <c r="I5718" t="n">
        <v>0</v>
      </c>
      <c r="J5718" t="n">
        <v>0</v>
      </c>
      <c r="K5718" t="n">
        <v>0</v>
      </c>
      <c r="L5718" t="n">
        <v>0</v>
      </c>
      <c r="M5718" t="n">
        <v>0</v>
      </c>
      <c r="N5718" t="n">
        <v>0</v>
      </c>
      <c r="O5718" t="n">
        <v>0</v>
      </c>
      <c r="P5718" t="n">
        <v>0</v>
      </c>
      <c r="Q5718" t="n">
        <v>0</v>
      </c>
      <c r="R5718" s="2" t="inlineStr"/>
    </row>
    <row r="5719" ht="15" customHeight="1">
      <c r="A5719" t="inlineStr">
        <is>
          <t>A 34278-2025</t>
        </is>
      </c>
      <c r="B5719" s="1" t="n">
        <v>45845.99798611111</v>
      </c>
      <c r="C5719" s="1" t="n">
        <v>45962</v>
      </c>
      <c r="D5719" t="inlineStr">
        <is>
          <t>JÖNKÖPINGS LÄN</t>
        </is>
      </c>
      <c r="E5719" t="inlineStr">
        <is>
          <t>SÄVSJÖ</t>
        </is>
      </c>
      <c r="G5719" t="n">
        <v>3.2</v>
      </c>
      <c r="H5719" t="n">
        <v>0</v>
      </c>
      <c r="I5719" t="n">
        <v>0</v>
      </c>
      <c r="J5719" t="n">
        <v>0</v>
      </c>
      <c r="K5719" t="n">
        <v>0</v>
      </c>
      <c r="L5719" t="n">
        <v>0</v>
      </c>
      <c r="M5719" t="n">
        <v>0</v>
      </c>
      <c r="N5719" t="n">
        <v>0</v>
      </c>
      <c r="O5719" t="n">
        <v>0</v>
      </c>
      <c r="P5719" t="n">
        <v>0</v>
      </c>
      <c r="Q5719" t="n">
        <v>0</v>
      </c>
      <c r="R5719" s="2" t="inlineStr"/>
    </row>
    <row r="5720" ht="15" customHeight="1">
      <c r="A5720" t="inlineStr">
        <is>
          <t>A 8675-2024</t>
        </is>
      </c>
      <c r="B5720" s="1" t="n">
        <v>45352</v>
      </c>
      <c r="C5720" s="1" t="n">
        <v>45962</v>
      </c>
      <c r="D5720" t="inlineStr">
        <is>
          <t>JÖNKÖPINGS LÄN</t>
        </is>
      </c>
      <c r="E5720" t="inlineStr">
        <is>
          <t>VETLANDA</t>
        </is>
      </c>
      <c r="G5720" t="n">
        <v>0.9</v>
      </c>
      <c r="H5720" t="n">
        <v>0</v>
      </c>
      <c r="I5720" t="n">
        <v>0</v>
      </c>
      <c r="J5720" t="n">
        <v>0</v>
      </c>
      <c r="K5720" t="n">
        <v>0</v>
      </c>
      <c r="L5720" t="n">
        <v>0</v>
      </c>
      <c r="M5720" t="n">
        <v>0</v>
      </c>
      <c r="N5720" t="n">
        <v>0</v>
      </c>
      <c r="O5720" t="n">
        <v>0</v>
      </c>
      <c r="P5720" t="n">
        <v>0</v>
      </c>
      <c r="Q5720" t="n">
        <v>0</v>
      </c>
      <c r="R5720" s="2" t="inlineStr"/>
    </row>
    <row r="5721" ht="15" customHeight="1">
      <c r="A5721" t="inlineStr">
        <is>
          <t>A 36845-2024</t>
        </is>
      </c>
      <c r="B5721" s="1" t="n">
        <v>45538</v>
      </c>
      <c r="C5721" s="1" t="n">
        <v>45962</v>
      </c>
      <c r="D5721" t="inlineStr">
        <is>
          <t>JÖNKÖPINGS LÄN</t>
        </is>
      </c>
      <c r="E5721" t="inlineStr">
        <is>
          <t>VETLANDA</t>
        </is>
      </c>
      <c r="G5721" t="n">
        <v>1.9</v>
      </c>
      <c r="H5721" t="n">
        <v>0</v>
      </c>
      <c r="I5721" t="n">
        <v>0</v>
      </c>
      <c r="J5721" t="n">
        <v>0</v>
      </c>
      <c r="K5721" t="n">
        <v>0</v>
      </c>
      <c r="L5721" t="n">
        <v>0</v>
      </c>
      <c r="M5721" t="n">
        <v>0</v>
      </c>
      <c r="N5721" t="n">
        <v>0</v>
      </c>
      <c r="O5721" t="n">
        <v>0</v>
      </c>
      <c r="P5721" t="n">
        <v>0</v>
      </c>
      <c r="Q5721" t="n">
        <v>0</v>
      </c>
      <c r="R5721" s="2" t="inlineStr"/>
    </row>
    <row r="5722" ht="15" customHeight="1">
      <c r="A5722" t="inlineStr">
        <is>
          <t>A 46551-2025</t>
        </is>
      </c>
      <c r="B5722" s="1" t="n">
        <v>45926.34577546296</v>
      </c>
      <c r="C5722" s="1" t="n">
        <v>45962</v>
      </c>
      <c r="D5722" t="inlineStr">
        <is>
          <t>JÖNKÖPINGS LÄN</t>
        </is>
      </c>
      <c r="E5722" t="inlineStr">
        <is>
          <t>HABO</t>
        </is>
      </c>
      <c r="G5722" t="n">
        <v>2.2</v>
      </c>
      <c r="H5722" t="n">
        <v>0</v>
      </c>
      <c r="I5722" t="n">
        <v>0</v>
      </c>
      <c r="J5722" t="n">
        <v>0</v>
      </c>
      <c r="K5722" t="n">
        <v>0</v>
      </c>
      <c r="L5722" t="n">
        <v>0</v>
      </c>
      <c r="M5722" t="n">
        <v>0</v>
      </c>
      <c r="N5722" t="n">
        <v>0</v>
      </c>
      <c r="O5722" t="n">
        <v>0</v>
      </c>
      <c r="P5722" t="n">
        <v>0</v>
      </c>
      <c r="Q5722" t="n">
        <v>0</v>
      </c>
      <c r="R5722" s="2" t="inlineStr"/>
    </row>
    <row r="5723" ht="15" customHeight="1">
      <c r="A5723" t="inlineStr">
        <is>
          <t>A 36905-2024</t>
        </is>
      </c>
      <c r="B5723" s="1" t="n">
        <v>45538.6312962963</v>
      </c>
      <c r="C5723" s="1" t="n">
        <v>45962</v>
      </c>
      <c r="D5723" t="inlineStr">
        <is>
          <t>JÖNKÖPINGS LÄN</t>
        </is>
      </c>
      <c r="E5723" t="inlineStr">
        <is>
          <t>GNOSJÖ</t>
        </is>
      </c>
      <c r="G5723" t="n">
        <v>2.9</v>
      </c>
      <c r="H5723" t="n">
        <v>0</v>
      </c>
      <c r="I5723" t="n">
        <v>0</v>
      </c>
      <c r="J5723" t="n">
        <v>0</v>
      </c>
      <c r="K5723" t="n">
        <v>0</v>
      </c>
      <c r="L5723" t="n">
        <v>0</v>
      </c>
      <c r="M5723" t="n">
        <v>0</v>
      </c>
      <c r="N5723" t="n">
        <v>0</v>
      </c>
      <c r="O5723" t="n">
        <v>0</v>
      </c>
      <c r="P5723" t="n">
        <v>0</v>
      </c>
      <c r="Q5723" t="n">
        <v>0</v>
      </c>
      <c r="R5723" s="2" t="inlineStr"/>
    </row>
    <row r="5724" ht="15" customHeight="1">
      <c r="A5724" t="inlineStr">
        <is>
          <t>A 4968-2024</t>
        </is>
      </c>
      <c r="B5724" s="1" t="n">
        <v>45329</v>
      </c>
      <c r="C5724" s="1" t="n">
        <v>45962</v>
      </c>
      <c r="D5724" t="inlineStr">
        <is>
          <t>JÖNKÖPINGS LÄN</t>
        </is>
      </c>
      <c r="E5724" t="inlineStr">
        <is>
          <t>VETLANDA</t>
        </is>
      </c>
      <c r="F5724" t="inlineStr">
        <is>
          <t>Kyrkan</t>
        </is>
      </c>
      <c r="G5724" t="n">
        <v>0.6</v>
      </c>
      <c r="H5724" t="n">
        <v>0</v>
      </c>
      <c r="I5724" t="n">
        <v>0</v>
      </c>
      <c r="J5724" t="n">
        <v>0</v>
      </c>
      <c r="K5724" t="n">
        <v>0</v>
      </c>
      <c r="L5724" t="n">
        <v>0</v>
      </c>
      <c r="M5724" t="n">
        <v>0</v>
      </c>
      <c r="N5724" t="n">
        <v>0</v>
      </c>
      <c r="O5724" t="n">
        <v>0</v>
      </c>
      <c r="P5724" t="n">
        <v>0</v>
      </c>
      <c r="Q5724" t="n">
        <v>0</v>
      </c>
      <c r="R5724" s="2" t="inlineStr"/>
    </row>
    <row r="5725" ht="15" customHeight="1">
      <c r="A5725" t="inlineStr">
        <is>
          <t>A 3364-2025</t>
        </is>
      </c>
      <c r="B5725" s="1" t="n">
        <v>45679.99299768519</v>
      </c>
      <c r="C5725" s="1" t="n">
        <v>45962</v>
      </c>
      <c r="D5725" t="inlineStr">
        <is>
          <t>JÖNKÖPINGS LÄN</t>
        </is>
      </c>
      <c r="E5725" t="inlineStr">
        <is>
          <t>JÖNKÖPING</t>
        </is>
      </c>
      <c r="G5725" t="n">
        <v>0.6</v>
      </c>
      <c r="H5725" t="n">
        <v>0</v>
      </c>
      <c r="I5725" t="n">
        <v>0</v>
      </c>
      <c r="J5725" t="n">
        <v>0</v>
      </c>
      <c r="K5725" t="n">
        <v>0</v>
      </c>
      <c r="L5725" t="n">
        <v>0</v>
      </c>
      <c r="M5725" t="n">
        <v>0</v>
      </c>
      <c r="N5725" t="n">
        <v>0</v>
      </c>
      <c r="O5725" t="n">
        <v>0</v>
      </c>
      <c r="P5725" t="n">
        <v>0</v>
      </c>
      <c r="Q5725" t="n">
        <v>0</v>
      </c>
      <c r="R5725" s="2" t="inlineStr"/>
    </row>
    <row r="5726" ht="15" customHeight="1">
      <c r="A5726" t="inlineStr">
        <is>
          <t>A 38340-2023</t>
        </is>
      </c>
      <c r="B5726" s="1" t="n">
        <v>45161.88435185186</v>
      </c>
      <c r="C5726" s="1" t="n">
        <v>45962</v>
      </c>
      <c r="D5726" t="inlineStr">
        <is>
          <t>JÖNKÖPINGS LÄN</t>
        </is>
      </c>
      <c r="E5726" t="inlineStr">
        <is>
          <t>EKSJÖ</t>
        </is>
      </c>
      <c r="G5726" t="n">
        <v>1.1</v>
      </c>
      <c r="H5726" t="n">
        <v>0</v>
      </c>
      <c r="I5726" t="n">
        <v>0</v>
      </c>
      <c r="J5726" t="n">
        <v>0</v>
      </c>
      <c r="K5726" t="n">
        <v>0</v>
      </c>
      <c r="L5726" t="n">
        <v>0</v>
      </c>
      <c r="M5726" t="n">
        <v>0</v>
      </c>
      <c r="N5726" t="n">
        <v>0</v>
      </c>
      <c r="O5726" t="n">
        <v>0</v>
      </c>
      <c r="P5726" t="n">
        <v>0</v>
      </c>
      <c r="Q5726" t="n">
        <v>0</v>
      </c>
      <c r="R5726" s="2" t="inlineStr"/>
    </row>
    <row r="5727" ht="15" customHeight="1">
      <c r="A5727" t="inlineStr">
        <is>
          <t>A 11554-2021</t>
        </is>
      </c>
      <c r="B5727" s="1" t="n">
        <v>44264</v>
      </c>
      <c r="C5727" s="1" t="n">
        <v>45962</v>
      </c>
      <c r="D5727" t="inlineStr">
        <is>
          <t>JÖNKÖPINGS LÄN</t>
        </is>
      </c>
      <c r="E5727" t="inlineStr">
        <is>
          <t>NÄSSJÖ</t>
        </is>
      </c>
      <c r="G5727" t="n">
        <v>2.4</v>
      </c>
      <c r="H5727" t="n">
        <v>0</v>
      </c>
      <c r="I5727" t="n">
        <v>0</v>
      </c>
      <c r="J5727" t="n">
        <v>0</v>
      </c>
      <c r="K5727" t="n">
        <v>0</v>
      </c>
      <c r="L5727" t="n">
        <v>0</v>
      </c>
      <c r="M5727" t="n">
        <v>0</v>
      </c>
      <c r="N5727" t="n">
        <v>0</v>
      </c>
      <c r="O5727" t="n">
        <v>0</v>
      </c>
      <c r="P5727" t="n">
        <v>0</v>
      </c>
      <c r="Q5727" t="n">
        <v>0</v>
      </c>
      <c r="R5727" s="2" t="inlineStr"/>
    </row>
    <row r="5728" ht="15" customHeight="1">
      <c r="A5728" t="inlineStr">
        <is>
          <t>A 16031-2023</t>
        </is>
      </c>
      <c r="B5728" s="1" t="n">
        <v>45027</v>
      </c>
      <c r="C5728" s="1" t="n">
        <v>45962</v>
      </c>
      <c r="D5728" t="inlineStr">
        <is>
          <t>JÖNKÖPINGS LÄN</t>
        </is>
      </c>
      <c r="E5728" t="inlineStr">
        <is>
          <t>GISLAVED</t>
        </is>
      </c>
      <c r="G5728" t="n">
        <v>1</v>
      </c>
      <c r="H5728" t="n">
        <v>0</v>
      </c>
      <c r="I5728" t="n">
        <v>0</v>
      </c>
      <c r="J5728" t="n">
        <v>0</v>
      </c>
      <c r="K5728" t="n">
        <v>0</v>
      </c>
      <c r="L5728" t="n">
        <v>0</v>
      </c>
      <c r="M5728" t="n">
        <v>0</v>
      </c>
      <c r="N5728" t="n">
        <v>0</v>
      </c>
      <c r="O5728" t="n">
        <v>0</v>
      </c>
      <c r="P5728" t="n">
        <v>0</v>
      </c>
      <c r="Q5728" t="n">
        <v>0</v>
      </c>
      <c r="R5728" s="2" t="inlineStr"/>
    </row>
    <row r="5729" ht="15" customHeight="1">
      <c r="A5729" t="inlineStr">
        <is>
          <t>A 60366-2021</t>
        </is>
      </c>
      <c r="B5729" s="1" t="n">
        <v>44496</v>
      </c>
      <c r="C5729" s="1" t="n">
        <v>45962</v>
      </c>
      <c r="D5729" t="inlineStr">
        <is>
          <t>JÖNKÖPINGS LÄN</t>
        </is>
      </c>
      <c r="E5729" t="inlineStr">
        <is>
          <t>VAGGERYD</t>
        </is>
      </c>
      <c r="G5729" t="n">
        <v>1.1</v>
      </c>
      <c r="H5729" t="n">
        <v>0</v>
      </c>
      <c r="I5729" t="n">
        <v>0</v>
      </c>
      <c r="J5729" t="n">
        <v>0</v>
      </c>
      <c r="K5729" t="n">
        <v>0</v>
      </c>
      <c r="L5729" t="n">
        <v>0</v>
      </c>
      <c r="M5729" t="n">
        <v>0</v>
      </c>
      <c r="N5729" t="n">
        <v>0</v>
      </c>
      <c r="O5729" t="n">
        <v>0</v>
      </c>
      <c r="P5729" t="n">
        <v>0</v>
      </c>
      <c r="Q5729" t="n">
        <v>0</v>
      </c>
      <c r="R5729" s="2" t="inlineStr"/>
    </row>
    <row r="5730" ht="15" customHeight="1">
      <c r="A5730" t="inlineStr">
        <is>
          <t>A 34566-2025</t>
        </is>
      </c>
      <c r="B5730" s="1" t="n">
        <v>45847.58358796296</v>
      </c>
      <c r="C5730" s="1" t="n">
        <v>45962</v>
      </c>
      <c r="D5730" t="inlineStr">
        <is>
          <t>JÖNKÖPINGS LÄN</t>
        </is>
      </c>
      <c r="E5730" t="inlineStr">
        <is>
          <t>VETLANDA</t>
        </is>
      </c>
      <c r="G5730" t="n">
        <v>2.4</v>
      </c>
      <c r="H5730" t="n">
        <v>0</v>
      </c>
      <c r="I5730" t="n">
        <v>0</v>
      </c>
      <c r="J5730" t="n">
        <v>0</v>
      </c>
      <c r="K5730" t="n">
        <v>0</v>
      </c>
      <c r="L5730" t="n">
        <v>0</v>
      </c>
      <c r="M5730" t="n">
        <v>0</v>
      </c>
      <c r="N5730" t="n">
        <v>0</v>
      </c>
      <c r="O5730" t="n">
        <v>0</v>
      </c>
      <c r="P5730" t="n">
        <v>0</v>
      </c>
      <c r="Q5730" t="n">
        <v>0</v>
      </c>
      <c r="R5730" s="2" t="inlineStr"/>
    </row>
    <row r="5731" ht="15" customHeight="1">
      <c r="A5731" t="inlineStr">
        <is>
          <t>A 64481-2023</t>
        </is>
      </c>
      <c r="B5731" s="1" t="n">
        <v>45280</v>
      </c>
      <c r="C5731" s="1" t="n">
        <v>45962</v>
      </c>
      <c r="D5731" t="inlineStr">
        <is>
          <t>JÖNKÖPINGS LÄN</t>
        </is>
      </c>
      <c r="E5731" t="inlineStr">
        <is>
          <t>GNOSJÖ</t>
        </is>
      </c>
      <c r="G5731" t="n">
        <v>5.5</v>
      </c>
      <c r="H5731" t="n">
        <v>0</v>
      </c>
      <c r="I5731" t="n">
        <v>0</v>
      </c>
      <c r="J5731" t="n">
        <v>0</v>
      </c>
      <c r="K5731" t="n">
        <v>0</v>
      </c>
      <c r="L5731" t="n">
        <v>0</v>
      </c>
      <c r="M5731" t="n">
        <v>0</v>
      </c>
      <c r="N5731" t="n">
        <v>0</v>
      </c>
      <c r="O5731" t="n">
        <v>0</v>
      </c>
      <c r="P5731" t="n">
        <v>0</v>
      </c>
      <c r="Q5731" t="n">
        <v>0</v>
      </c>
      <c r="R5731" s="2" t="inlineStr"/>
    </row>
    <row r="5732" ht="15" customHeight="1">
      <c r="A5732" t="inlineStr">
        <is>
          <t>A 34600-2025</t>
        </is>
      </c>
      <c r="B5732" s="1" t="n">
        <v>45846</v>
      </c>
      <c r="C5732" s="1" t="n">
        <v>45962</v>
      </c>
      <c r="D5732" t="inlineStr">
        <is>
          <t>JÖNKÖPINGS LÄN</t>
        </is>
      </c>
      <c r="E5732" t="inlineStr">
        <is>
          <t>JÖNKÖPING</t>
        </is>
      </c>
      <c r="F5732" t="inlineStr">
        <is>
          <t>Kyrkan</t>
        </is>
      </c>
      <c r="G5732" t="n">
        <v>4.4</v>
      </c>
      <c r="H5732" t="n">
        <v>0</v>
      </c>
      <c r="I5732" t="n">
        <v>0</v>
      </c>
      <c r="J5732" t="n">
        <v>0</v>
      </c>
      <c r="K5732" t="n">
        <v>0</v>
      </c>
      <c r="L5732" t="n">
        <v>0</v>
      </c>
      <c r="M5732" t="n">
        <v>0</v>
      </c>
      <c r="N5732" t="n">
        <v>0</v>
      </c>
      <c r="O5732" t="n">
        <v>0</v>
      </c>
      <c r="P5732" t="n">
        <v>0</v>
      </c>
      <c r="Q5732" t="n">
        <v>0</v>
      </c>
      <c r="R5732" s="2" t="inlineStr"/>
    </row>
    <row r="5733" ht="15" customHeight="1">
      <c r="A5733" t="inlineStr">
        <is>
          <t>A 17387-2025</t>
        </is>
      </c>
      <c r="B5733" s="1" t="n">
        <v>45757.31737268518</v>
      </c>
      <c r="C5733" s="1" t="n">
        <v>45962</v>
      </c>
      <c r="D5733" t="inlineStr">
        <is>
          <t>JÖNKÖPINGS LÄN</t>
        </is>
      </c>
      <c r="E5733" t="inlineStr">
        <is>
          <t>EKSJÖ</t>
        </is>
      </c>
      <c r="G5733" t="n">
        <v>0.2</v>
      </c>
      <c r="H5733" t="n">
        <v>0</v>
      </c>
      <c r="I5733" t="n">
        <v>0</v>
      </c>
      <c r="J5733" t="n">
        <v>0</v>
      </c>
      <c r="K5733" t="n">
        <v>0</v>
      </c>
      <c r="L5733" t="n">
        <v>0</v>
      </c>
      <c r="M5733" t="n">
        <v>0</v>
      </c>
      <c r="N5733" t="n">
        <v>0</v>
      </c>
      <c r="O5733" t="n">
        <v>0</v>
      </c>
      <c r="P5733" t="n">
        <v>0</v>
      </c>
      <c r="Q5733" t="n">
        <v>0</v>
      </c>
      <c r="R5733" s="2" t="inlineStr"/>
    </row>
    <row r="5734" ht="15" customHeight="1">
      <c r="A5734" t="inlineStr">
        <is>
          <t>A 17391-2025</t>
        </is>
      </c>
      <c r="B5734" s="1" t="n">
        <v>45757</v>
      </c>
      <c r="C5734" s="1" t="n">
        <v>45962</v>
      </c>
      <c r="D5734" t="inlineStr">
        <is>
          <t>JÖNKÖPINGS LÄN</t>
        </is>
      </c>
      <c r="E5734" t="inlineStr">
        <is>
          <t>NÄSSJÖ</t>
        </is>
      </c>
      <c r="G5734" t="n">
        <v>3.5</v>
      </c>
      <c r="H5734" t="n">
        <v>0</v>
      </c>
      <c r="I5734" t="n">
        <v>0</v>
      </c>
      <c r="J5734" t="n">
        <v>0</v>
      </c>
      <c r="K5734" t="n">
        <v>0</v>
      </c>
      <c r="L5734" t="n">
        <v>0</v>
      </c>
      <c r="M5734" t="n">
        <v>0</v>
      </c>
      <c r="N5734" t="n">
        <v>0</v>
      </c>
      <c r="O5734" t="n">
        <v>0</v>
      </c>
      <c r="P5734" t="n">
        <v>0</v>
      </c>
      <c r="Q5734" t="n">
        <v>0</v>
      </c>
      <c r="R5734" s="2" t="inlineStr"/>
    </row>
    <row r="5735" ht="15" customHeight="1">
      <c r="A5735" t="inlineStr">
        <is>
          <t>A 11516-2025</t>
        </is>
      </c>
      <c r="B5735" s="1" t="n">
        <v>45726.88983796296</v>
      </c>
      <c r="C5735" s="1" t="n">
        <v>45962</v>
      </c>
      <c r="D5735" t="inlineStr">
        <is>
          <t>JÖNKÖPINGS LÄN</t>
        </is>
      </c>
      <c r="E5735" t="inlineStr">
        <is>
          <t>GISLAVED</t>
        </is>
      </c>
      <c r="G5735" t="n">
        <v>2.5</v>
      </c>
      <c r="H5735" t="n">
        <v>0</v>
      </c>
      <c r="I5735" t="n">
        <v>0</v>
      </c>
      <c r="J5735" t="n">
        <v>0</v>
      </c>
      <c r="K5735" t="n">
        <v>0</v>
      </c>
      <c r="L5735" t="n">
        <v>0</v>
      </c>
      <c r="M5735" t="n">
        <v>0</v>
      </c>
      <c r="N5735" t="n">
        <v>0</v>
      </c>
      <c r="O5735" t="n">
        <v>0</v>
      </c>
      <c r="P5735" t="n">
        <v>0</v>
      </c>
      <c r="Q5735" t="n">
        <v>0</v>
      </c>
      <c r="R5735" s="2" t="inlineStr"/>
    </row>
    <row r="5736" ht="15" customHeight="1">
      <c r="A5736" t="inlineStr">
        <is>
          <t>A 2786-2024</t>
        </is>
      </c>
      <c r="B5736" s="1" t="n">
        <v>45314</v>
      </c>
      <c r="C5736" s="1" t="n">
        <v>45962</v>
      </c>
      <c r="D5736" t="inlineStr">
        <is>
          <t>JÖNKÖPINGS LÄN</t>
        </is>
      </c>
      <c r="E5736" t="inlineStr">
        <is>
          <t>VETLANDA</t>
        </is>
      </c>
      <c r="G5736" t="n">
        <v>2.5</v>
      </c>
      <c r="H5736" t="n">
        <v>0</v>
      </c>
      <c r="I5736" t="n">
        <v>0</v>
      </c>
      <c r="J5736" t="n">
        <v>0</v>
      </c>
      <c r="K5736" t="n">
        <v>0</v>
      </c>
      <c r="L5736" t="n">
        <v>0</v>
      </c>
      <c r="M5736" t="n">
        <v>0</v>
      </c>
      <c r="N5736" t="n">
        <v>0</v>
      </c>
      <c r="O5736" t="n">
        <v>0</v>
      </c>
      <c r="P5736" t="n">
        <v>0</v>
      </c>
      <c r="Q5736" t="n">
        <v>0</v>
      </c>
      <c r="R5736" s="2" t="inlineStr"/>
    </row>
    <row r="5737" ht="15" customHeight="1">
      <c r="A5737" t="inlineStr">
        <is>
          <t>A 18324-2025</t>
        </is>
      </c>
      <c r="B5737" s="1" t="n">
        <v>45762.47472222222</v>
      </c>
      <c r="C5737" s="1" t="n">
        <v>45962</v>
      </c>
      <c r="D5737" t="inlineStr">
        <is>
          <t>JÖNKÖPINGS LÄN</t>
        </is>
      </c>
      <c r="E5737" t="inlineStr">
        <is>
          <t>SÄVSJÖ</t>
        </is>
      </c>
      <c r="G5737" t="n">
        <v>2.2</v>
      </c>
      <c r="H5737" t="n">
        <v>0</v>
      </c>
      <c r="I5737" t="n">
        <v>0</v>
      </c>
      <c r="J5737" t="n">
        <v>0</v>
      </c>
      <c r="K5737" t="n">
        <v>0</v>
      </c>
      <c r="L5737" t="n">
        <v>0</v>
      </c>
      <c r="M5737" t="n">
        <v>0</v>
      </c>
      <c r="N5737" t="n">
        <v>0</v>
      </c>
      <c r="O5737" t="n">
        <v>0</v>
      </c>
      <c r="P5737" t="n">
        <v>0</v>
      </c>
      <c r="Q5737" t="n">
        <v>0</v>
      </c>
      <c r="R5737" s="2" t="inlineStr"/>
    </row>
    <row r="5738" ht="15" customHeight="1">
      <c r="A5738" t="inlineStr">
        <is>
          <t>A 36508-2022</t>
        </is>
      </c>
      <c r="B5738" s="1" t="n">
        <v>44804.49277777778</v>
      </c>
      <c r="C5738" s="1" t="n">
        <v>45962</v>
      </c>
      <c r="D5738" t="inlineStr">
        <is>
          <t>JÖNKÖPINGS LÄN</t>
        </is>
      </c>
      <c r="E5738" t="inlineStr">
        <is>
          <t>GNOSJÖ</t>
        </is>
      </c>
      <c r="G5738" t="n">
        <v>2.7</v>
      </c>
      <c r="H5738" t="n">
        <v>0</v>
      </c>
      <c r="I5738" t="n">
        <v>0</v>
      </c>
      <c r="J5738" t="n">
        <v>0</v>
      </c>
      <c r="K5738" t="n">
        <v>0</v>
      </c>
      <c r="L5738" t="n">
        <v>0</v>
      </c>
      <c r="M5738" t="n">
        <v>0</v>
      </c>
      <c r="N5738" t="n">
        <v>0</v>
      </c>
      <c r="O5738" t="n">
        <v>0</v>
      </c>
      <c r="P5738" t="n">
        <v>0</v>
      </c>
      <c r="Q5738" t="n">
        <v>0</v>
      </c>
      <c r="R5738" s="2" t="inlineStr"/>
    </row>
    <row r="5739" ht="15" customHeight="1">
      <c r="A5739" t="inlineStr">
        <is>
          <t>A 15723-2025</t>
        </is>
      </c>
      <c r="B5739" s="1" t="n">
        <v>45747</v>
      </c>
      <c r="C5739" s="1" t="n">
        <v>45962</v>
      </c>
      <c r="D5739" t="inlineStr">
        <is>
          <t>JÖNKÖPINGS LÄN</t>
        </is>
      </c>
      <c r="E5739" t="inlineStr">
        <is>
          <t>NÄSSJÖ</t>
        </is>
      </c>
      <c r="G5739" t="n">
        <v>1.2</v>
      </c>
      <c r="H5739" t="n">
        <v>0</v>
      </c>
      <c r="I5739" t="n">
        <v>0</v>
      </c>
      <c r="J5739" t="n">
        <v>0</v>
      </c>
      <c r="K5739" t="n">
        <v>0</v>
      </c>
      <c r="L5739" t="n">
        <v>0</v>
      </c>
      <c r="M5739" t="n">
        <v>0</v>
      </c>
      <c r="N5739" t="n">
        <v>0</v>
      </c>
      <c r="O5739" t="n">
        <v>0</v>
      </c>
      <c r="P5739" t="n">
        <v>0</v>
      </c>
      <c r="Q5739" t="n">
        <v>0</v>
      </c>
      <c r="R5739" s="2" t="inlineStr"/>
    </row>
    <row r="5740" ht="15" customHeight="1">
      <c r="A5740" t="inlineStr">
        <is>
          <t>A 46996-2025</t>
        </is>
      </c>
      <c r="B5740" s="1" t="n">
        <v>45929.54796296296</v>
      </c>
      <c r="C5740" s="1" t="n">
        <v>45962</v>
      </c>
      <c r="D5740" t="inlineStr">
        <is>
          <t>JÖNKÖPINGS LÄN</t>
        </is>
      </c>
      <c r="E5740" t="inlineStr">
        <is>
          <t>EKSJÖ</t>
        </is>
      </c>
      <c r="G5740" t="n">
        <v>1.5</v>
      </c>
      <c r="H5740" t="n">
        <v>0</v>
      </c>
      <c r="I5740" t="n">
        <v>0</v>
      </c>
      <c r="J5740" t="n">
        <v>0</v>
      </c>
      <c r="K5740" t="n">
        <v>0</v>
      </c>
      <c r="L5740" t="n">
        <v>0</v>
      </c>
      <c r="M5740" t="n">
        <v>0</v>
      </c>
      <c r="N5740" t="n">
        <v>0</v>
      </c>
      <c r="O5740" t="n">
        <v>0</v>
      </c>
      <c r="P5740" t="n">
        <v>0</v>
      </c>
      <c r="Q5740" t="n">
        <v>0</v>
      </c>
      <c r="R5740" s="2" t="inlineStr"/>
    </row>
    <row r="5741" ht="15" customHeight="1">
      <c r="A5741" t="inlineStr">
        <is>
          <t>A 23385-2025</t>
        </is>
      </c>
      <c r="B5741" s="1" t="n">
        <v>45791.82400462963</v>
      </c>
      <c r="C5741" s="1" t="n">
        <v>45962</v>
      </c>
      <c r="D5741" t="inlineStr">
        <is>
          <t>JÖNKÖPINGS LÄN</t>
        </is>
      </c>
      <c r="E5741" t="inlineStr">
        <is>
          <t>NÄSSJÖ</t>
        </is>
      </c>
      <c r="G5741" t="n">
        <v>1.4</v>
      </c>
      <c r="H5741" t="n">
        <v>0</v>
      </c>
      <c r="I5741" t="n">
        <v>0</v>
      </c>
      <c r="J5741" t="n">
        <v>0</v>
      </c>
      <c r="K5741" t="n">
        <v>0</v>
      </c>
      <c r="L5741" t="n">
        <v>0</v>
      </c>
      <c r="M5741" t="n">
        <v>0</v>
      </c>
      <c r="N5741" t="n">
        <v>0</v>
      </c>
      <c r="O5741" t="n">
        <v>0</v>
      </c>
      <c r="P5741" t="n">
        <v>0</v>
      </c>
      <c r="Q5741" t="n">
        <v>0</v>
      </c>
      <c r="R5741" s="2" t="inlineStr"/>
    </row>
    <row r="5742" ht="15" customHeight="1">
      <c r="A5742" t="inlineStr">
        <is>
          <t>A 61503-2021</t>
        </is>
      </c>
      <c r="B5742" s="1" t="n">
        <v>44501.34291666667</v>
      </c>
      <c r="C5742" s="1" t="n">
        <v>45962</v>
      </c>
      <c r="D5742" t="inlineStr">
        <is>
          <t>JÖNKÖPINGS LÄN</t>
        </is>
      </c>
      <c r="E5742" t="inlineStr">
        <is>
          <t>VÄRNAMO</t>
        </is>
      </c>
      <c r="G5742" t="n">
        <v>1.8</v>
      </c>
      <c r="H5742" t="n">
        <v>0</v>
      </c>
      <c r="I5742" t="n">
        <v>0</v>
      </c>
      <c r="J5742" t="n">
        <v>0</v>
      </c>
      <c r="K5742" t="n">
        <v>0</v>
      </c>
      <c r="L5742" t="n">
        <v>0</v>
      </c>
      <c r="M5742" t="n">
        <v>0</v>
      </c>
      <c r="N5742" t="n">
        <v>0</v>
      </c>
      <c r="O5742" t="n">
        <v>0</v>
      </c>
      <c r="P5742" t="n">
        <v>0</v>
      </c>
      <c r="Q5742" t="n">
        <v>0</v>
      </c>
      <c r="R5742" s="2" t="inlineStr"/>
    </row>
    <row r="5743" ht="15" customHeight="1">
      <c r="A5743" t="inlineStr">
        <is>
          <t>A 24574-2023</t>
        </is>
      </c>
      <c r="B5743" s="1" t="n">
        <v>45083</v>
      </c>
      <c r="C5743" s="1" t="n">
        <v>45962</v>
      </c>
      <c r="D5743" t="inlineStr">
        <is>
          <t>JÖNKÖPINGS LÄN</t>
        </is>
      </c>
      <c r="E5743" t="inlineStr">
        <is>
          <t>NÄSSJÖ</t>
        </is>
      </c>
      <c r="G5743" t="n">
        <v>2.9</v>
      </c>
      <c r="H5743" t="n">
        <v>0</v>
      </c>
      <c r="I5743" t="n">
        <v>0</v>
      </c>
      <c r="J5743" t="n">
        <v>0</v>
      </c>
      <c r="K5743" t="n">
        <v>0</v>
      </c>
      <c r="L5743" t="n">
        <v>0</v>
      </c>
      <c r="M5743" t="n">
        <v>0</v>
      </c>
      <c r="N5743" t="n">
        <v>0</v>
      </c>
      <c r="O5743" t="n">
        <v>0</v>
      </c>
      <c r="P5743" t="n">
        <v>0</v>
      </c>
      <c r="Q5743" t="n">
        <v>0</v>
      </c>
      <c r="R5743" s="2" t="inlineStr"/>
    </row>
    <row r="5744" ht="15" customHeight="1">
      <c r="A5744" t="inlineStr">
        <is>
          <t>A 53749-2022</t>
        </is>
      </c>
      <c r="B5744" s="1" t="n">
        <v>44880.44614583333</v>
      </c>
      <c r="C5744" s="1" t="n">
        <v>45962</v>
      </c>
      <c r="D5744" t="inlineStr">
        <is>
          <t>JÖNKÖPINGS LÄN</t>
        </is>
      </c>
      <c r="E5744" t="inlineStr">
        <is>
          <t>GISLAVED</t>
        </is>
      </c>
      <c r="G5744" t="n">
        <v>8</v>
      </c>
      <c r="H5744" t="n">
        <v>0</v>
      </c>
      <c r="I5744" t="n">
        <v>0</v>
      </c>
      <c r="J5744" t="n">
        <v>0</v>
      </c>
      <c r="K5744" t="n">
        <v>0</v>
      </c>
      <c r="L5744" t="n">
        <v>0</v>
      </c>
      <c r="M5744" t="n">
        <v>0</v>
      </c>
      <c r="N5744" t="n">
        <v>0</v>
      </c>
      <c r="O5744" t="n">
        <v>0</v>
      </c>
      <c r="P5744" t="n">
        <v>0</v>
      </c>
      <c r="Q5744" t="n">
        <v>0</v>
      </c>
      <c r="R5744" s="2" t="inlineStr"/>
    </row>
    <row r="5745" ht="15" customHeight="1">
      <c r="A5745" t="inlineStr">
        <is>
          <t>A 34605-2025</t>
        </is>
      </c>
      <c r="B5745" s="1" t="n">
        <v>45846</v>
      </c>
      <c r="C5745" s="1" t="n">
        <v>45962</v>
      </c>
      <c r="D5745" t="inlineStr">
        <is>
          <t>JÖNKÖPINGS LÄN</t>
        </is>
      </c>
      <c r="E5745" t="inlineStr">
        <is>
          <t>JÖNKÖPING</t>
        </is>
      </c>
      <c r="F5745" t="inlineStr">
        <is>
          <t>Kyrkan</t>
        </is>
      </c>
      <c r="G5745" t="n">
        <v>1.8</v>
      </c>
      <c r="H5745" t="n">
        <v>0</v>
      </c>
      <c r="I5745" t="n">
        <v>0</v>
      </c>
      <c r="J5745" t="n">
        <v>0</v>
      </c>
      <c r="K5745" t="n">
        <v>0</v>
      </c>
      <c r="L5745" t="n">
        <v>0</v>
      </c>
      <c r="M5745" t="n">
        <v>0</v>
      </c>
      <c r="N5745" t="n">
        <v>0</v>
      </c>
      <c r="O5745" t="n">
        <v>0</v>
      </c>
      <c r="P5745" t="n">
        <v>0</v>
      </c>
      <c r="Q5745" t="n">
        <v>0</v>
      </c>
      <c r="R5745" s="2" t="inlineStr"/>
    </row>
    <row r="5746" ht="15" customHeight="1">
      <c r="A5746" t="inlineStr">
        <is>
          <t>A 9058-2021</t>
        </is>
      </c>
      <c r="B5746" s="1" t="n">
        <v>44249</v>
      </c>
      <c r="C5746" s="1" t="n">
        <v>45962</v>
      </c>
      <c r="D5746" t="inlineStr">
        <is>
          <t>JÖNKÖPINGS LÄN</t>
        </is>
      </c>
      <c r="E5746" t="inlineStr">
        <is>
          <t>TRANÅS</t>
        </is>
      </c>
      <c r="F5746" t="inlineStr">
        <is>
          <t>Allmännings- och besparingsskogar</t>
        </is>
      </c>
      <c r="G5746" t="n">
        <v>1.5</v>
      </c>
      <c r="H5746" t="n">
        <v>0</v>
      </c>
      <c r="I5746" t="n">
        <v>0</v>
      </c>
      <c r="J5746" t="n">
        <v>0</v>
      </c>
      <c r="K5746" t="n">
        <v>0</v>
      </c>
      <c r="L5746" t="n">
        <v>0</v>
      </c>
      <c r="M5746" t="n">
        <v>0</v>
      </c>
      <c r="N5746" t="n">
        <v>0</v>
      </c>
      <c r="O5746" t="n">
        <v>0</v>
      </c>
      <c r="P5746" t="n">
        <v>0</v>
      </c>
      <c r="Q5746" t="n">
        <v>0</v>
      </c>
      <c r="R5746" s="2" t="inlineStr"/>
    </row>
    <row r="5747" ht="15" customHeight="1">
      <c r="A5747" t="inlineStr">
        <is>
          <t>A 61286-2024</t>
        </is>
      </c>
      <c r="B5747" s="1" t="n">
        <v>45645.80515046296</v>
      </c>
      <c r="C5747" s="1" t="n">
        <v>45962</v>
      </c>
      <c r="D5747" t="inlineStr">
        <is>
          <t>JÖNKÖPINGS LÄN</t>
        </is>
      </c>
      <c r="E5747" t="inlineStr">
        <is>
          <t>VETLANDA</t>
        </is>
      </c>
      <c r="F5747" t="inlineStr">
        <is>
          <t>Sveaskog</t>
        </is>
      </c>
      <c r="G5747" t="n">
        <v>8.5</v>
      </c>
      <c r="H5747" t="n">
        <v>0</v>
      </c>
      <c r="I5747" t="n">
        <v>0</v>
      </c>
      <c r="J5747" t="n">
        <v>0</v>
      </c>
      <c r="K5747" t="n">
        <v>0</v>
      </c>
      <c r="L5747" t="n">
        <v>0</v>
      </c>
      <c r="M5747" t="n">
        <v>0</v>
      </c>
      <c r="N5747" t="n">
        <v>0</v>
      </c>
      <c r="O5747" t="n">
        <v>0</v>
      </c>
      <c r="P5747" t="n">
        <v>0</v>
      </c>
      <c r="Q5747" t="n">
        <v>0</v>
      </c>
      <c r="R5747" s="2" t="inlineStr"/>
    </row>
    <row r="5748" ht="15" customHeight="1">
      <c r="A5748" t="inlineStr">
        <is>
          <t>A 34568-2025</t>
        </is>
      </c>
      <c r="B5748" s="1" t="n">
        <v>45847.58478009259</v>
      </c>
      <c r="C5748" s="1" t="n">
        <v>45962</v>
      </c>
      <c r="D5748" t="inlineStr">
        <is>
          <t>JÖNKÖPINGS LÄN</t>
        </is>
      </c>
      <c r="E5748" t="inlineStr">
        <is>
          <t>VETLANDA</t>
        </is>
      </c>
      <c r="G5748" t="n">
        <v>2.4</v>
      </c>
      <c r="H5748" t="n">
        <v>0</v>
      </c>
      <c r="I5748" t="n">
        <v>0</v>
      </c>
      <c r="J5748" t="n">
        <v>0</v>
      </c>
      <c r="K5748" t="n">
        <v>0</v>
      </c>
      <c r="L5748" t="n">
        <v>0</v>
      </c>
      <c r="M5748" t="n">
        <v>0</v>
      </c>
      <c r="N5748" t="n">
        <v>0</v>
      </c>
      <c r="O5748" t="n">
        <v>0</v>
      </c>
      <c r="P5748" t="n">
        <v>0</v>
      </c>
      <c r="Q5748" t="n">
        <v>0</v>
      </c>
      <c r="R5748" s="2" t="inlineStr"/>
    </row>
    <row r="5749" ht="15" customHeight="1">
      <c r="A5749" t="inlineStr">
        <is>
          <t>A 61289-2024</t>
        </is>
      </c>
      <c r="B5749" s="1" t="n">
        <v>45645.81355324074</v>
      </c>
      <c r="C5749" s="1" t="n">
        <v>45962</v>
      </c>
      <c r="D5749" t="inlineStr">
        <is>
          <t>JÖNKÖPINGS LÄN</t>
        </is>
      </c>
      <c r="E5749" t="inlineStr">
        <is>
          <t>VETLANDA</t>
        </is>
      </c>
      <c r="F5749" t="inlineStr">
        <is>
          <t>Sveaskog</t>
        </is>
      </c>
      <c r="G5749" t="n">
        <v>0.9</v>
      </c>
      <c r="H5749" t="n">
        <v>0</v>
      </c>
      <c r="I5749" t="n">
        <v>0</v>
      </c>
      <c r="J5749" t="n">
        <v>0</v>
      </c>
      <c r="K5749" t="n">
        <v>0</v>
      </c>
      <c r="L5749" t="n">
        <v>0</v>
      </c>
      <c r="M5749" t="n">
        <v>0</v>
      </c>
      <c r="N5749" t="n">
        <v>0</v>
      </c>
      <c r="O5749" t="n">
        <v>0</v>
      </c>
      <c r="P5749" t="n">
        <v>0</v>
      </c>
      <c r="Q5749" t="n">
        <v>0</v>
      </c>
      <c r="R5749" s="2" t="inlineStr"/>
    </row>
    <row r="5750" ht="15" customHeight="1">
      <c r="A5750" t="inlineStr">
        <is>
          <t>A 57200-2020</t>
        </is>
      </c>
      <c r="B5750" s="1" t="n">
        <v>44139</v>
      </c>
      <c r="C5750" s="1" t="n">
        <v>45962</v>
      </c>
      <c r="D5750" t="inlineStr">
        <is>
          <t>JÖNKÖPINGS LÄN</t>
        </is>
      </c>
      <c r="E5750" t="inlineStr">
        <is>
          <t>EKSJÖ</t>
        </is>
      </c>
      <c r="F5750" t="inlineStr">
        <is>
          <t>Övriga Aktiebolag</t>
        </is>
      </c>
      <c r="G5750" t="n">
        <v>2.9</v>
      </c>
      <c r="H5750" t="n">
        <v>0</v>
      </c>
      <c r="I5750" t="n">
        <v>0</v>
      </c>
      <c r="J5750" t="n">
        <v>0</v>
      </c>
      <c r="K5750" t="n">
        <v>0</v>
      </c>
      <c r="L5750" t="n">
        <v>0</v>
      </c>
      <c r="M5750" t="n">
        <v>0</v>
      </c>
      <c r="N5750" t="n">
        <v>0</v>
      </c>
      <c r="O5750" t="n">
        <v>0</v>
      </c>
      <c r="P5750" t="n">
        <v>0</v>
      </c>
      <c r="Q5750" t="n">
        <v>0</v>
      </c>
      <c r="R5750" s="2" t="inlineStr"/>
    </row>
    <row r="5751" ht="15" customHeight="1">
      <c r="A5751" t="inlineStr">
        <is>
          <t>A 47054-2024</t>
        </is>
      </c>
      <c r="B5751" s="1" t="n">
        <v>45586.46261574074</v>
      </c>
      <c r="C5751" s="1" t="n">
        <v>45962</v>
      </c>
      <c r="D5751" t="inlineStr">
        <is>
          <t>JÖNKÖPINGS LÄN</t>
        </is>
      </c>
      <c r="E5751" t="inlineStr">
        <is>
          <t>VÄRNAMO</t>
        </is>
      </c>
      <c r="G5751" t="n">
        <v>1.6</v>
      </c>
      <c r="H5751" t="n">
        <v>0</v>
      </c>
      <c r="I5751" t="n">
        <v>0</v>
      </c>
      <c r="J5751" t="n">
        <v>0</v>
      </c>
      <c r="K5751" t="n">
        <v>0</v>
      </c>
      <c r="L5751" t="n">
        <v>0</v>
      </c>
      <c r="M5751" t="n">
        <v>0</v>
      </c>
      <c r="N5751" t="n">
        <v>0</v>
      </c>
      <c r="O5751" t="n">
        <v>0</v>
      </c>
      <c r="P5751" t="n">
        <v>0</v>
      </c>
      <c r="Q5751" t="n">
        <v>0</v>
      </c>
      <c r="R5751" s="2" t="inlineStr"/>
    </row>
    <row r="5752" ht="15" customHeight="1">
      <c r="A5752" t="inlineStr">
        <is>
          <t>A 33828-2025</t>
        </is>
      </c>
      <c r="B5752" s="1" t="n">
        <v>45842</v>
      </c>
      <c r="C5752" s="1" t="n">
        <v>45962</v>
      </c>
      <c r="D5752" t="inlineStr">
        <is>
          <t>JÖNKÖPINGS LÄN</t>
        </is>
      </c>
      <c r="E5752" t="inlineStr">
        <is>
          <t>VETLANDA</t>
        </is>
      </c>
      <c r="G5752" t="n">
        <v>0.6</v>
      </c>
      <c r="H5752" t="n">
        <v>0</v>
      </c>
      <c r="I5752" t="n">
        <v>0</v>
      </c>
      <c r="J5752" t="n">
        <v>0</v>
      </c>
      <c r="K5752" t="n">
        <v>0</v>
      </c>
      <c r="L5752" t="n">
        <v>0</v>
      </c>
      <c r="M5752" t="n">
        <v>0</v>
      </c>
      <c r="N5752" t="n">
        <v>0</v>
      </c>
      <c r="O5752" t="n">
        <v>0</v>
      </c>
      <c r="P5752" t="n">
        <v>0</v>
      </c>
      <c r="Q5752" t="n">
        <v>0</v>
      </c>
      <c r="R5752" s="2" t="inlineStr"/>
    </row>
    <row r="5753" ht="15" customHeight="1">
      <c r="A5753" t="inlineStr">
        <is>
          <t>A 51527-2023</t>
        </is>
      </c>
      <c r="B5753" s="1" t="n">
        <v>45222</v>
      </c>
      <c r="C5753" s="1" t="n">
        <v>45962</v>
      </c>
      <c r="D5753" t="inlineStr">
        <is>
          <t>JÖNKÖPINGS LÄN</t>
        </is>
      </c>
      <c r="E5753" t="inlineStr">
        <is>
          <t>EKSJÖ</t>
        </is>
      </c>
      <c r="G5753" t="n">
        <v>1.7</v>
      </c>
      <c r="H5753" t="n">
        <v>0</v>
      </c>
      <c r="I5753" t="n">
        <v>0</v>
      </c>
      <c r="J5753" t="n">
        <v>0</v>
      </c>
      <c r="K5753" t="n">
        <v>0</v>
      </c>
      <c r="L5753" t="n">
        <v>0</v>
      </c>
      <c r="M5753" t="n">
        <v>0</v>
      </c>
      <c r="N5753" t="n">
        <v>0</v>
      </c>
      <c r="O5753" t="n">
        <v>0</v>
      </c>
      <c r="P5753" t="n">
        <v>0</v>
      </c>
      <c r="Q5753" t="n">
        <v>0</v>
      </c>
      <c r="R5753" s="2" t="inlineStr"/>
    </row>
    <row r="5754" ht="15" customHeight="1">
      <c r="A5754" t="inlineStr">
        <is>
          <t>A 51541-2023</t>
        </is>
      </c>
      <c r="B5754" s="1" t="n">
        <v>45222</v>
      </c>
      <c r="C5754" s="1" t="n">
        <v>45962</v>
      </c>
      <c r="D5754" t="inlineStr">
        <is>
          <t>JÖNKÖPINGS LÄN</t>
        </is>
      </c>
      <c r="E5754" t="inlineStr">
        <is>
          <t>EKSJÖ</t>
        </is>
      </c>
      <c r="G5754" t="n">
        <v>1</v>
      </c>
      <c r="H5754" t="n">
        <v>0</v>
      </c>
      <c r="I5754" t="n">
        <v>0</v>
      </c>
      <c r="J5754" t="n">
        <v>0</v>
      </c>
      <c r="K5754" t="n">
        <v>0</v>
      </c>
      <c r="L5754" t="n">
        <v>0</v>
      </c>
      <c r="M5754" t="n">
        <v>0</v>
      </c>
      <c r="N5754" t="n">
        <v>0</v>
      </c>
      <c r="O5754" t="n">
        <v>0</v>
      </c>
      <c r="P5754" t="n">
        <v>0</v>
      </c>
      <c r="Q5754" t="n">
        <v>0</v>
      </c>
      <c r="R5754" s="2" t="inlineStr"/>
    </row>
    <row r="5755" ht="15" customHeight="1">
      <c r="A5755" t="inlineStr">
        <is>
          <t>A 9451-2024</t>
        </is>
      </c>
      <c r="B5755" s="1" t="n">
        <v>45358</v>
      </c>
      <c r="C5755" s="1" t="n">
        <v>45962</v>
      </c>
      <c r="D5755" t="inlineStr">
        <is>
          <t>JÖNKÖPINGS LÄN</t>
        </is>
      </c>
      <c r="E5755" t="inlineStr">
        <is>
          <t>NÄSSJÖ</t>
        </is>
      </c>
      <c r="G5755" t="n">
        <v>0.5</v>
      </c>
      <c r="H5755" t="n">
        <v>0</v>
      </c>
      <c r="I5755" t="n">
        <v>0</v>
      </c>
      <c r="J5755" t="n">
        <v>0</v>
      </c>
      <c r="K5755" t="n">
        <v>0</v>
      </c>
      <c r="L5755" t="n">
        <v>0</v>
      </c>
      <c r="M5755" t="n">
        <v>0</v>
      </c>
      <c r="N5755" t="n">
        <v>0</v>
      </c>
      <c r="O5755" t="n">
        <v>0</v>
      </c>
      <c r="P5755" t="n">
        <v>0</v>
      </c>
      <c r="Q5755" t="n">
        <v>0</v>
      </c>
      <c r="R5755" s="2" t="inlineStr"/>
    </row>
    <row r="5756" ht="15" customHeight="1">
      <c r="A5756" t="inlineStr">
        <is>
          <t>A 57307-2020</t>
        </is>
      </c>
      <c r="B5756" s="1" t="n">
        <v>44139.66149305556</v>
      </c>
      <c r="C5756" s="1" t="n">
        <v>45962</v>
      </c>
      <c r="D5756" t="inlineStr">
        <is>
          <t>JÖNKÖPINGS LÄN</t>
        </is>
      </c>
      <c r="E5756" t="inlineStr">
        <is>
          <t>NÄSSJÖ</t>
        </is>
      </c>
      <c r="G5756" t="n">
        <v>1</v>
      </c>
      <c r="H5756" t="n">
        <v>0</v>
      </c>
      <c r="I5756" t="n">
        <v>0</v>
      </c>
      <c r="J5756" t="n">
        <v>0</v>
      </c>
      <c r="K5756" t="n">
        <v>0</v>
      </c>
      <c r="L5756" t="n">
        <v>0</v>
      </c>
      <c r="M5756" t="n">
        <v>0</v>
      </c>
      <c r="N5756" t="n">
        <v>0</v>
      </c>
      <c r="O5756" t="n">
        <v>0</v>
      </c>
      <c r="P5756" t="n">
        <v>0</v>
      </c>
      <c r="Q5756" t="n">
        <v>0</v>
      </c>
      <c r="R5756" s="2" t="inlineStr"/>
    </row>
    <row r="5757" ht="15" customHeight="1">
      <c r="A5757" t="inlineStr">
        <is>
          <t>A 34513-2025</t>
        </is>
      </c>
      <c r="B5757" s="1" t="n">
        <v>45846</v>
      </c>
      <c r="C5757" s="1" t="n">
        <v>45962</v>
      </c>
      <c r="D5757" t="inlineStr">
        <is>
          <t>JÖNKÖPINGS LÄN</t>
        </is>
      </c>
      <c r="E5757" t="inlineStr">
        <is>
          <t>JÖNKÖPING</t>
        </is>
      </c>
      <c r="F5757" t="inlineStr">
        <is>
          <t>Kyrkan</t>
        </is>
      </c>
      <c r="G5757" t="n">
        <v>10.2</v>
      </c>
      <c r="H5757" t="n">
        <v>0</v>
      </c>
      <c r="I5757" t="n">
        <v>0</v>
      </c>
      <c r="J5757" t="n">
        <v>0</v>
      </c>
      <c r="K5757" t="n">
        <v>0</v>
      </c>
      <c r="L5757" t="n">
        <v>0</v>
      </c>
      <c r="M5757" t="n">
        <v>0</v>
      </c>
      <c r="N5757" t="n">
        <v>0</v>
      </c>
      <c r="O5757" t="n">
        <v>0</v>
      </c>
      <c r="P5757" t="n">
        <v>0</v>
      </c>
      <c r="Q5757" t="n">
        <v>0</v>
      </c>
      <c r="R5757" s="2" t="inlineStr"/>
    </row>
    <row r="5758" ht="15" customHeight="1">
      <c r="A5758" t="inlineStr">
        <is>
          <t>A 48315-2023</t>
        </is>
      </c>
      <c r="B5758" s="1" t="n">
        <v>45201</v>
      </c>
      <c r="C5758" s="1" t="n">
        <v>45962</v>
      </c>
      <c r="D5758" t="inlineStr">
        <is>
          <t>JÖNKÖPINGS LÄN</t>
        </is>
      </c>
      <c r="E5758" t="inlineStr">
        <is>
          <t>TRANÅS</t>
        </is>
      </c>
      <c r="G5758" t="n">
        <v>2.3</v>
      </c>
      <c r="H5758" t="n">
        <v>0</v>
      </c>
      <c r="I5758" t="n">
        <v>0</v>
      </c>
      <c r="J5758" t="n">
        <v>0</v>
      </c>
      <c r="K5758" t="n">
        <v>0</v>
      </c>
      <c r="L5758" t="n">
        <v>0</v>
      </c>
      <c r="M5758" t="n">
        <v>0</v>
      </c>
      <c r="N5758" t="n">
        <v>0</v>
      </c>
      <c r="O5758" t="n">
        <v>0</v>
      </c>
      <c r="P5758" t="n">
        <v>0</v>
      </c>
      <c r="Q5758" t="n">
        <v>0</v>
      </c>
      <c r="R5758" s="2" t="inlineStr"/>
    </row>
    <row r="5759" ht="15" customHeight="1">
      <c r="A5759" t="inlineStr">
        <is>
          <t>A 51351-2024</t>
        </is>
      </c>
      <c r="B5759" s="1" t="n">
        <v>45604.35873842592</v>
      </c>
      <c r="C5759" s="1" t="n">
        <v>45962</v>
      </c>
      <c r="D5759" t="inlineStr">
        <is>
          <t>JÖNKÖPINGS LÄN</t>
        </is>
      </c>
      <c r="E5759" t="inlineStr">
        <is>
          <t>VÄRNAMO</t>
        </is>
      </c>
      <c r="G5759" t="n">
        <v>0.7</v>
      </c>
      <c r="H5759" t="n">
        <v>0</v>
      </c>
      <c r="I5759" t="n">
        <v>0</v>
      </c>
      <c r="J5759" t="n">
        <v>0</v>
      </c>
      <c r="K5759" t="n">
        <v>0</v>
      </c>
      <c r="L5759" t="n">
        <v>0</v>
      </c>
      <c r="M5759" t="n">
        <v>0</v>
      </c>
      <c r="N5759" t="n">
        <v>0</v>
      </c>
      <c r="O5759" t="n">
        <v>0</v>
      </c>
      <c r="P5759" t="n">
        <v>0</v>
      </c>
      <c r="Q5759" t="n">
        <v>0</v>
      </c>
      <c r="R5759" s="2" t="inlineStr"/>
    </row>
    <row r="5760" ht="15" customHeight="1">
      <c r="A5760" t="inlineStr">
        <is>
          <t>A 21012-2022</t>
        </is>
      </c>
      <c r="B5760" s="1" t="n">
        <v>44701</v>
      </c>
      <c r="C5760" s="1" t="n">
        <v>45962</v>
      </c>
      <c r="D5760" t="inlineStr">
        <is>
          <t>JÖNKÖPINGS LÄN</t>
        </is>
      </c>
      <c r="E5760" t="inlineStr">
        <is>
          <t>TRANÅS</t>
        </is>
      </c>
      <c r="G5760" t="n">
        <v>7.1</v>
      </c>
      <c r="H5760" t="n">
        <v>0</v>
      </c>
      <c r="I5760" t="n">
        <v>0</v>
      </c>
      <c r="J5760" t="n">
        <v>0</v>
      </c>
      <c r="K5760" t="n">
        <v>0</v>
      </c>
      <c r="L5760" t="n">
        <v>0</v>
      </c>
      <c r="M5760" t="n">
        <v>0</v>
      </c>
      <c r="N5760" t="n">
        <v>0</v>
      </c>
      <c r="O5760" t="n">
        <v>0</v>
      </c>
      <c r="P5760" t="n">
        <v>0</v>
      </c>
      <c r="Q5760" t="n">
        <v>0</v>
      </c>
      <c r="R5760" s="2" t="inlineStr"/>
    </row>
    <row r="5761" ht="15" customHeight="1">
      <c r="A5761" t="inlineStr">
        <is>
          <t>A 17374-2023</t>
        </is>
      </c>
      <c r="B5761" s="1" t="n">
        <v>45035</v>
      </c>
      <c r="C5761" s="1" t="n">
        <v>45962</v>
      </c>
      <c r="D5761" t="inlineStr">
        <is>
          <t>JÖNKÖPINGS LÄN</t>
        </is>
      </c>
      <c r="E5761" t="inlineStr">
        <is>
          <t>VETLANDA</t>
        </is>
      </c>
      <c r="G5761" t="n">
        <v>1</v>
      </c>
      <c r="H5761" t="n">
        <v>0</v>
      </c>
      <c r="I5761" t="n">
        <v>0</v>
      </c>
      <c r="J5761" t="n">
        <v>0</v>
      </c>
      <c r="K5761" t="n">
        <v>0</v>
      </c>
      <c r="L5761" t="n">
        <v>0</v>
      </c>
      <c r="M5761" t="n">
        <v>0</v>
      </c>
      <c r="N5761" t="n">
        <v>0</v>
      </c>
      <c r="O5761" t="n">
        <v>0</v>
      </c>
      <c r="P5761" t="n">
        <v>0</v>
      </c>
      <c r="Q5761" t="n">
        <v>0</v>
      </c>
      <c r="R5761" s="2" t="inlineStr"/>
    </row>
    <row r="5762" ht="15" customHeight="1">
      <c r="A5762" t="inlineStr">
        <is>
          <t>A 58400-2024</t>
        </is>
      </c>
      <c r="B5762" s="1" t="n">
        <v>45634.49747685185</v>
      </c>
      <c r="C5762" s="1" t="n">
        <v>45962</v>
      </c>
      <c r="D5762" t="inlineStr">
        <is>
          <t>JÖNKÖPINGS LÄN</t>
        </is>
      </c>
      <c r="E5762" t="inlineStr">
        <is>
          <t>SÄVSJÖ</t>
        </is>
      </c>
      <c r="G5762" t="n">
        <v>0.6</v>
      </c>
      <c r="H5762" t="n">
        <v>0</v>
      </c>
      <c r="I5762" t="n">
        <v>0</v>
      </c>
      <c r="J5762" t="n">
        <v>0</v>
      </c>
      <c r="K5762" t="n">
        <v>0</v>
      </c>
      <c r="L5762" t="n">
        <v>0</v>
      </c>
      <c r="M5762" t="n">
        <v>0</v>
      </c>
      <c r="N5762" t="n">
        <v>0</v>
      </c>
      <c r="O5762" t="n">
        <v>0</v>
      </c>
      <c r="P5762" t="n">
        <v>0</v>
      </c>
      <c r="Q5762" t="n">
        <v>0</v>
      </c>
      <c r="R5762" s="2" t="inlineStr"/>
    </row>
    <row r="5763" ht="15" customHeight="1">
      <c r="A5763" t="inlineStr">
        <is>
          <t>A 19347-2025</t>
        </is>
      </c>
      <c r="B5763" s="1" t="n">
        <v>45769.60440972223</v>
      </c>
      <c r="C5763" s="1" t="n">
        <v>45962</v>
      </c>
      <c r="D5763" t="inlineStr">
        <is>
          <t>JÖNKÖPINGS LÄN</t>
        </is>
      </c>
      <c r="E5763" t="inlineStr">
        <is>
          <t>JÖNKÖPING</t>
        </is>
      </c>
      <c r="G5763" t="n">
        <v>0.7</v>
      </c>
      <c r="H5763" t="n">
        <v>0</v>
      </c>
      <c r="I5763" t="n">
        <v>0</v>
      </c>
      <c r="J5763" t="n">
        <v>0</v>
      </c>
      <c r="K5763" t="n">
        <v>0</v>
      </c>
      <c r="L5763" t="n">
        <v>0</v>
      </c>
      <c r="M5763" t="n">
        <v>0</v>
      </c>
      <c r="N5763" t="n">
        <v>0</v>
      </c>
      <c r="O5763" t="n">
        <v>0</v>
      </c>
      <c r="P5763" t="n">
        <v>0</v>
      </c>
      <c r="Q5763" t="n">
        <v>0</v>
      </c>
      <c r="R5763" s="2" t="inlineStr"/>
    </row>
    <row r="5764" ht="15" customHeight="1">
      <c r="A5764" t="inlineStr">
        <is>
          <t>A 24556-2023</t>
        </is>
      </c>
      <c r="B5764" s="1" t="n">
        <v>45082.95840277777</v>
      </c>
      <c r="C5764" s="1" t="n">
        <v>45962</v>
      </c>
      <c r="D5764" t="inlineStr">
        <is>
          <t>JÖNKÖPINGS LÄN</t>
        </is>
      </c>
      <c r="E5764" t="inlineStr">
        <is>
          <t>EKSJÖ</t>
        </is>
      </c>
      <c r="G5764" t="n">
        <v>0.7</v>
      </c>
      <c r="H5764" t="n">
        <v>0</v>
      </c>
      <c r="I5764" t="n">
        <v>0</v>
      </c>
      <c r="J5764" t="n">
        <v>0</v>
      </c>
      <c r="K5764" t="n">
        <v>0</v>
      </c>
      <c r="L5764" t="n">
        <v>0</v>
      </c>
      <c r="M5764" t="n">
        <v>0</v>
      </c>
      <c r="N5764" t="n">
        <v>0</v>
      </c>
      <c r="O5764" t="n">
        <v>0</v>
      </c>
      <c r="P5764" t="n">
        <v>0</v>
      </c>
      <c r="Q5764" t="n">
        <v>0</v>
      </c>
      <c r="R5764" s="2" t="inlineStr"/>
    </row>
    <row r="5765" ht="15" customHeight="1">
      <c r="A5765" t="inlineStr">
        <is>
          <t>A 34626-2025</t>
        </is>
      </c>
      <c r="B5765" s="1" t="n">
        <v>45847.87125</v>
      </c>
      <c r="C5765" s="1" t="n">
        <v>45962</v>
      </c>
      <c r="D5765" t="inlineStr">
        <is>
          <t>JÖNKÖPINGS LÄN</t>
        </is>
      </c>
      <c r="E5765" t="inlineStr">
        <is>
          <t>SÄVSJÖ</t>
        </is>
      </c>
      <c r="G5765" t="n">
        <v>1</v>
      </c>
      <c r="H5765" t="n">
        <v>0</v>
      </c>
      <c r="I5765" t="n">
        <v>0</v>
      </c>
      <c r="J5765" t="n">
        <v>0</v>
      </c>
      <c r="K5765" t="n">
        <v>0</v>
      </c>
      <c r="L5765" t="n">
        <v>0</v>
      </c>
      <c r="M5765" t="n">
        <v>0</v>
      </c>
      <c r="N5765" t="n">
        <v>0</v>
      </c>
      <c r="O5765" t="n">
        <v>0</v>
      </c>
      <c r="P5765" t="n">
        <v>0</v>
      </c>
      <c r="Q5765" t="n">
        <v>0</v>
      </c>
      <c r="R5765" s="2" t="inlineStr"/>
    </row>
    <row r="5766" ht="15" customHeight="1">
      <c r="A5766" t="inlineStr">
        <is>
          <t>A 34665-2025</t>
        </is>
      </c>
      <c r="B5766" s="1" t="n">
        <v>45848.38053240741</v>
      </c>
      <c r="C5766" s="1" t="n">
        <v>45962</v>
      </c>
      <c r="D5766" t="inlineStr">
        <is>
          <t>JÖNKÖPINGS LÄN</t>
        </is>
      </c>
      <c r="E5766" t="inlineStr">
        <is>
          <t>ANEBY</t>
        </is>
      </c>
      <c r="G5766" t="n">
        <v>4.5</v>
      </c>
      <c r="H5766" t="n">
        <v>0</v>
      </c>
      <c r="I5766" t="n">
        <v>0</v>
      </c>
      <c r="J5766" t="n">
        <v>0</v>
      </c>
      <c r="K5766" t="n">
        <v>0</v>
      </c>
      <c r="L5766" t="n">
        <v>0</v>
      </c>
      <c r="M5766" t="n">
        <v>0</v>
      </c>
      <c r="N5766" t="n">
        <v>0</v>
      </c>
      <c r="O5766" t="n">
        <v>0</v>
      </c>
      <c r="P5766" t="n">
        <v>0</v>
      </c>
      <c r="Q5766" t="n">
        <v>0</v>
      </c>
      <c r="R5766" s="2" t="inlineStr"/>
    </row>
    <row r="5767" ht="15" customHeight="1">
      <c r="A5767" t="inlineStr">
        <is>
          <t>A 24568-2023</t>
        </is>
      </c>
      <c r="B5767" s="1" t="n">
        <v>45083.5209837963</v>
      </c>
      <c r="C5767" s="1" t="n">
        <v>45962</v>
      </c>
      <c r="D5767" t="inlineStr">
        <is>
          <t>JÖNKÖPINGS LÄN</t>
        </is>
      </c>
      <c r="E5767" t="inlineStr">
        <is>
          <t>MULLSJÖ</t>
        </is>
      </c>
      <c r="G5767" t="n">
        <v>1.1</v>
      </c>
      <c r="H5767" t="n">
        <v>0</v>
      </c>
      <c r="I5767" t="n">
        <v>0</v>
      </c>
      <c r="J5767" t="n">
        <v>0</v>
      </c>
      <c r="K5767" t="n">
        <v>0</v>
      </c>
      <c r="L5767" t="n">
        <v>0</v>
      </c>
      <c r="M5767" t="n">
        <v>0</v>
      </c>
      <c r="N5767" t="n">
        <v>0</v>
      </c>
      <c r="O5767" t="n">
        <v>0</v>
      </c>
      <c r="P5767" t="n">
        <v>0</v>
      </c>
      <c r="Q5767" t="n">
        <v>0</v>
      </c>
      <c r="R5767" s="2" t="inlineStr"/>
    </row>
    <row r="5768" ht="15" customHeight="1">
      <c r="A5768" t="inlineStr">
        <is>
          <t>A 910-2024</t>
        </is>
      </c>
      <c r="B5768" s="1" t="n">
        <v>45301</v>
      </c>
      <c r="C5768" s="1" t="n">
        <v>45962</v>
      </c>
      <c r="D5768" t="inlineStr">
        <is>
          <t>JÖNKÖPINGS LÄN</t>
        </is>
      </c>
      <c r="E5768" t="inlineStr">
        <is>
          <t>SÄVSJÖ</t>
        </is>
      </c>
      <c r="G5768" t="n">
        <v>2.5</v>
      </c>
      <c r="H5768" t="n">
        <v>0</v>
      </c>
      <c r="I5768" t="n">
        <v>0</v>
      </c>
      <c r="J5768" t="n">
        <v>0</v>
      </c>
      <c r="K5768" t="n">
        <v>0</v>
      </c>
      <c r="L5768" t="n">
        <v>0</v>
      </c>
      <c r="M5768" t="n">
        <v>0</v>
      </c>
      <c r="N5768" t="n">
        <v>0</v>
      </c>
      <c r="O5768" t="n">
        <v>0</v>
      </c>
      <c r="P5768" t="n">
        <v>0</v>
      </c>
      <c r="Q5768" t="n">
        <v>0</v>
      </c>
      <c r="R5768" s="2" t="inlineStr"/>
    </row>
    <row r="5769" ht="15" customHeight="1">
      <c r="A5769" t="inlineStr">
        <is>
          <t>A 58593-2024</t>
        </is>
      </c>
      <c r="B5769" s="1" t="n">
        <v>45635.52116898148</v>
      </c>
      <c r="C5769" s="1" t="n">
        <v>45962</v>
      </c>
      <c r="D5769" t="inlineStr">
        <is>
          <t>JÖNKÖPINGS LÄN</t>
        </is>
      </c>
      <c r="E5769" t="inlineStr">
        <is>
          <t>VAGGERYD</t>
        </is>
      </c>
      <c r="F5769" t="inlineStr">
        <is>
          <t>Sveaskog</t>
        </is>
      </c>
      <c r="G5769" t="n">
        <v>5.5</v>
      </c>
      <c r="H5769" t="n">
        <v>0</v>
      </c>
      <c r="I5769" t="n">
        <v>0</v>
      </c>
      <c r="J5769" t="n">
        <v>0</v>
      </c>
      <c r="K5769" t="n">
        <v>0</v>
      </c>
      <c r="L5769" t="n">
        <v>0</v>
      </c>
      <c r="M5769" t="n">
        <v>0</v>
      </c>
      <c r="N5769" t="n">
        <v>0</v>
      </c>
      <c r="O5769" t="n">
        <v>0</v>
      </c>
      <c r="P5769" t="n">
        <v>0</v>
      </c>
      <c r="Q5769" t="n">
        <v>0</v>
      </c>
      <c r="R5769" s="2" t="inlineStr"/>
    </row>
    <row r="5770" ht="15" customHeight="1">
      <c r="A5770" t="inlineStr">
        <is>
          <t>A 34692-2025</t>
        </is>
      </c>
      <c r="B5770" s="1" t="n">
        <v>45848.45236111111</v>
      </c>
      <c r="C5770" s="1" t="n">
        <v>45962</v>
      </c>
      <c r="D5770" t="inlineStr">
        <is>
          <t>JÖNKÖPINGS LÄN</t>
        </is>
      </c>
      <c r="E5770" t="inlineStr">
        <is>
          <t>GISLAVED</t>
        </is>
      </c>
      <c r="G5770" t="n">
        <v>1.9</v>
      </c>
      <c r="H5770" t="n">
        <v>0</v>
      </c>
      <c r="I5770" t="n">
        <v>0</v>
      </c>
      <c r="J5770" t="n">
        <v>0</v>
      </c>
      <c r="K5770" t="n">
        <v>0</v>
      </c>
      <c r="L5770" t="n">
        <v>0</v>
      </c>
      <c r="M5770" t="n">
        <v>0</v>
      </c>
      <c r="N5770" t="n">
        <v>0</v>
      </c>
      <c r="O5770" t="n">
        <v>0</v>
      </c>
      <c r="P5770" t="n">
        <v>0</v>
      </c>
      <c r="Q5770" t="n">
        <v>0</v>
      </c>
      <c r="R5770" s="2" t="inlineStr"/>
    </row>
    <row r="5771" ht="15" customHeight="1">
      <c r="A5771" t="inlineStr">
        <is>
          <t>A 52669-2023</t>
        </is>
      </c>
      <c r="B5771" s="1" t="n">
        <v>45219</v>
      </c>
      <c r="C5771" s="1" t="n">
        <v>45962</v>
      </c>
      <c r="D5771" t="inlineStr">
        <is>
          <t>JÖNKÖPINGS LÄN</t>
        </is>
      </c>
      <c r="E5771" t="inlineStr">
        <is>
          <t>NÄSSJÖ</t>
        </is>
      </c>
      <c r="G5771" t="n">
        <v>1.1</v>
      </c>
      <c r="H5771" t="n">
        <v>0</v>
      </c>
      <c r="I5771" t="n">
        <v>0</v>
      </c>
      <c r="J5771" t="n">
        <v>0</v>
      </c>
      <c r="K5771" t="n">
        <v>0</v>
      </c>
      <c r="L5771" t="n">
        <v>0</v>
      </c>
      <c r="M5771" t="n">
        <v>0</v>
      </c>
      <c r="N5771" t="n">
        <v>0</v>
      </c>
      <c r="O5771" t="n">
        <v>0</v>
      </c>
      <c r="P5771" t="n">
        <v>0</v>
      </c>
      <c r="Q5771" t="n">
        <v>0</v>
      </c>
      <c r="R5771" s="2" t="inlineStr"/>
    </row>
    <row r="5772" ht="15" customHeight="1">
      <c r="A5772" t="inlineStr">
        <is>
          <t>A 39598-2023</t>
        </is>
      </c>
      <c r="B5772" s="1" t="n">
        <v>45167.46049768518</v>
      </c>
      <c r="C5772" s="1" t="n">
        <v>45962</v>
      </c>
      <c r="D5772" t="inlineStr">
        <is>
          <t>JÖNKÖPINGS LÄN</t>
        </is>
      </c>
      <c r="E5772" t="inlineStr">
        <is>
          <t>GISLAVED</t>
        </is>
      </c>
      <c r="G5772" t="n">
        <v>1.7</v>
      </c>
      <c r="H5772" t="n">
        <v>0</v>
      </c>
      <c r="I5772" t="n">
        <v>0</v>
      </c>
      <c r="J5772" t="n">
        <v>0</v>
      </c>
      <c r="K5772" t="n">
        <v>0</v>
      </c>
      <c r="L5772" t="n">
        <v>0</v>
      </c>
      <c r="M5772" t="n">
        <v>0</v>
      </c>
      <c r="N5772" t="n">
        <v>0</v>
      </c>
      <c r="O5772" t="n">
        <v>0</v>
      </c>
      <c r="P5772" t="n">
        <v>0</v>
      </c>
      <c r="Q5772" t="n">
        <v>0</v>
      </c>
      <c r="R5772" s="2" t="inlineStr"/>
    </row>
    <row r="5773" ht="15" customHeight="1">
      <c r="A5773" t="inlineStr">
        <is>
          <t>A 50195-2023</t>
        </is>
      </c>
      <c r="B5773" s="1" t="n">
        <v>45215.84091435185</v>
      </c>
      <c r="C5773" s="1" t="n">
        <v>45962</v>
      </c>
      <c r="D5773" t="inlineStr">
        <is>
          <t>JÖNKÖPINGS LÄN</t>
        </is>
      </c>
      <c r="E5773" t="inlineStr">
        <is>
          <t>NÄSSJÖ</t>
        </is>
      </c>
      <c r="G5773" t="n">
        <v>1.1</v>
      </c>
      <c r="H5773" t="n">
        <v>0</v>
      </c>
      <c r="I5773" t="n">
        <v>0</v>
      </c>
      <c r="J5773" t="n">
        <v>0</v>
      </c>
      <c r="K5773" t="n">
        <v>0</v>
      </c>
      <c r="L5773" t="n">
        <v>0</v>
      </c>
      <c r="M5773" t="n">
        <v>0</v>
      </c>
      <c r="N5773" t="n">
        <v>0</v>
      </c>
      <c r="O5773" t="n">
        <v>0</v>
      </c>
      <c r="P5773" t="n">
        <v>0</v>
      </c>
      <c r="Q5773" t="n">
        <v>0</v>
      </c>
      <c r="R5773" s="2" t="inlineStr"/>
    </row>
    <row r="5774" ht="15" customHeight="1">
      <c r="A5774" t="inlineStr">
        <is>
          <t>A 37498-2024</t>
        </is>
      </c>
      <c r="B5774" s="1" t="n">
        <v>45541.36828703704</v>
      </c>
      <c r="C5774" s="1" t="n">
        <v>45962</v>
      </c>
      <c r="D5774" t="inlineStr">
        <is>
          <t>JÖNKÖPINGS LÄN</t>
        </is>
      </c>
      <c r="E5774" t="inlineStr">
        <is>
          <t>JÖNKÖPING</t>
        </is>
      </c>
      <c r="G5774" t="n">
        <v>2.2</v>
      </c>
      <c r="H5774" t="n">
        <v>0</v>
      </c>
      <c r="I5774" t="n">
        <v>0</v>
      </c>
      <c r="J5774" t="n">
        <v>0</v>
      </c>
      <c r="K5774" t="n">
        <v>0</v>
      </c>
      <c r="L5774" t="n">
        <v>0</v>
      </c>
      <c r="M5774" t="n">
        <v>0</v>
      </c>
      <c r="N5774" t="n">
        <v>0</v>
      </c>
      <c r="O5774" t="n">
        <v>0</v>
      </c>
      <c r="P5774" t="n">
        <v>0</v>
      </c>
      <c r="Q5774" t="n">
        <v>0</v>
      </c>
      <c r="R5774" s="2" t="inlineStr"/>
    </row>
    <row r="5775" ht="15" customHeight="1">
      <c r="A5775" t="inlineStr">
        <is>
          <t>A 10358-2024</t>
        </is>
      </c>
      <c r="B5775" s="1" t="n">
        <v>45365.6053125</v>
      </c>
      <c r="C5775" s="1" t="n">
        <v>45962</v>
      </c>
      <c r="D5775" t="inlineStr">
        <is>
          <t>JÖNKÖPINGS LÄN</t>
        </is>
      </c>
      <c r="E5775" t="inlineStr">
        <is>
          <t>ANEBY</t>
        </is>
      </c>
      <c r="F5775" t="inlineStr">
        <is>
          <t>Sveaskog</t>
        </is>
      </c>
      <c r="G5775" t="n">
        <v>3.8</v>
      </c>
      <c r="H5775" t="n">
        <v>0</v>
      </c>
      <c r="I5775" t="n">
        <v>0</v>
      </c>
      <c r="J5775" t="n">
        <v>0</v>
      </c>
      <c r="K5775" t="n">
        <v>0</v>
      </c>
      <c r="L5775" t="n">
        <v>0</v>
      </c>
      <c r="M5775" t="n">
        <v>0</v>
      </c>
      <c r="N5775" t="n">
        <v>0</v>
      </c>
      <c r="O5775" t="n">
        <v>0</v>
      </c>
      <c r="P5775" t="n">
        <v>0</v>
      </c>
      <c r="Q5775" t="n">
        <v>0</v>
      </c>
      <c r="R5775" s="2" t="inlineStr"/>
    </row>
    <row r="5776" ht="15" customHeight="1">
      <c r="A5776" t="inlineStr">
        <is>
          <t>A 10366-2024</t>
        </is>
      </c>
      <c r="B5776" s="1" t="n">
        <v>45365</v>
      </c>
      <c r="C5776" s="1" t="n">
        <v>45962</v>
      </c>
      <c r="D5776" t="inlineStr">
        <is>
          <t>JÖNKÖPINGS LÄN</t>
        </is>
      </c>
      <c r="E5776" t="inlineStr">
        <is>
          <t>GISLAVED</t>
        </is>
      </c>
      <c r="F5776" t="inlineStr">
        <is>
          <t>Kyrkan</t>
        </is>
      </c>
      <c r="G5776" t="n">
        <v>2.5</v>
      </c>
      <c r="H5776" t="n">
        <v>0</v>
      </c>
      <c r="I5776" t="n">
        <v>0</v>
      </c>
      <c r="J5776" t="n">
        <v>0</v>
      </c>
      <c r="K5776" t="n">
        <v>0</v>
      </c>
      <c r="L5776" t="n">
        <v>0</v>
      </c>
      <c r="M5776" t="n">
        <v>0</v>
      </c>
      <c r="N5776" t="n">
        <v>0</v>
      </c>
      <c r="O5776" t="n">
        <v>0</v>
      </c>
      <c r="P5776" t="n">
        <v>0</v>
      </c>
      <c r="Q5776" t="n">
        <v>0</v>
      </c>
      <c r="R5776" s="2" t="inlineStr"/>
    </row>
    <row r="5777" ht="15" customHeight="1">
      <c r="A5777" t="inlineStr">
        <is>
          <t>A 34679-2025</t>
        </is>
      </c>
      <c r="B5777" s="1" t="n">
        <v>45848</v>
      </c>
      <c r="C5777" s="1" t="n">
        <v>45962</v>
      </c>
      <c r="D5777" t="inlineStr">
        <is>
          <t>JÖNKÖPINGS LÄN</t>
        </is>
      </c>
      <c r="E5777" t="inlineStr">
        <is>
          <t>NÄSSJÖ</t>
        </is>
      </c>
      <c r="G5777" t="n">
        <v>11.8</v>
      </c>
      <c r="H5777" t="n">
        <v>0</v>
      </c>
      <c r="I5777" t="n">
        <v>0</v>
      </c>
      <c r="J5777" t="n">
        <v>0</v>
      </c>
      <c r="K5777" t="n">
        <v>0</v>
      </c>
      <c r="L5777" t="n">
        <v>0</v>
      </c>
      <c r="M5777" t="n">
        <v>0</v>
      </c>
      <c r="N5777" t="n">
        <v>0</v>
      </c>
      <c r="O5777" t="n">
        <v>0</v>
      </c>
      <c r="P5777" t="n">
        <v>0</v>
      </c>
      <c r="Q5777" t="n">
        <v>0</v>
      </c>
      <c r="R5777" s="2" t="inlineStr"/>
    </row>
    <row r="5778" ht="15" customHeight="1">
      <c r="A5778" t="inlineStr">
        <is>
          <t>A 26882-2025</t>
        </is>
      </c>
      <c r="B5778" s="1" t="n">
        <v>45810.84284722222</v>
      </c>
      <c r="C5778" s="1" t="n">
        <v>45962</v>
      </c>
      <c r="D5778" t="inlineStr">
        <is>
          <t>JÖNKÖPINGS LÄN</t>
        </is>
      </c>
      <c r="E5778" t="inlineStr">
        <is>
          <t>HABO</t>
        </is>
      </c>
      <c r="G5778" t="n">
        <v>4.2</v>
      </c>
      <c r="H5778" t="n">
        <v>0</v>
      </c>
      <c r="I5778" t="n">
        <v>0</v>
      </c>
      <c r="J5778" t="n">
        <v>0</v>
      </c>
      <c r="K5778" t="n">
        <v>0</v>
      </c>
      <c r="L5778" t="n">
        <v>0</v>
      </c>
      <c r="M5778" t="n">
        <v>0</v>
      </c>
      <c r="N5778" t="n">
        <v>0</v>
      </c>
      <c r="O5778" t="n">
        <v>0</v>
      </c>
      <c r="P5778" t="n">
        <v>0</v>
      </c>
      <c r="Q5778" t="n">
        <v>0</v>
      </c>
      <c r="R5778" s="2" t="inlineStr"/>
    </row>
    <row r="5779" ht="15" customHeight="1">
      <c r="A5779" t="inlineStr">
        <is>
          <t>A 10387-2024</t>
        </is>
      </c>
      <c r="B5779" s="1" t="n">
        <v>45365.65668981482</v>
      </c>
      <c r="C5779" s="1" t="n">
        <v>45962</v>
      </c>
      <c r="D5779" t="inlineStr">
        <is>
          <t>JÖNKÖPINGS LÄN</t>
        </is>
      </c>
      <c r="E5779" t="inlineStr">
        <is>
          <t>NÄSSJÖ</t>
        </is>
      </c>
      <c r="G5779" t="n">
        <v>3.4</v>
      </c>
      <c r="H5779" t="n">
        <v>0</v>
      </c>
      <c r="I5779" t="n">
        <v>0</v>
      </c>
      <c r="J5779" t="n">
        <v>0</v>
      </c>
      <c r="K5779" t="n">
        <v>0</v>
      </c>
      <c r="L5779" t="n">
        <v>0</v>
      </c>
      <c r="M5779" t="n">
        <v>0</v>
      </c>
      <c r="N5779" t="n">
        <v>0</v>
      </c>
      <c r="O5779" t="n">
        <v>0</v>
      </c>
      <c r="P5779" t="n">
        <v>0</v>
      </c>
      <c r="Q5779" t="n">
        <v>0</v>
      </c>
      <c r="R5779" s="2" t="inlineStr"/>
    </row>
    <row r="5780" ht="15" customHeight="1">
      <c r="A5780" t="inlineStr">
        <is>
          <t>A 10408-2024</t>
        </is>
      </c>
      <c r="B5780" s="1" t="n">
        <v>45365.69532407408</v>
      </c>
      <c r="C5780" s="1" t="n">
        <v>45962</v>
      </c>
      <c r="D5780" t="inlineStr">
        <is>
          <t>JÖNKÖPINGS LÄN</t>
        </is>
      </c>
      <c r="E5780" t="inlineStr">
        <is>
          <t>NÄSSJÖ</t>
        </is>
      </c>
      <c r="G5780" t="n">
        <v>1</v>
      </c>
      <c r="H5780" t="n">
        <v>0</v>
      </c>
      <c r="I5780" t="n">
        <v>0</v>
      </c>
      <c r="J5780" t="n">
        <v>0</v>
      </c>
      <c r="K5780" t="n">
        <v>0</v>
      </c>
      <c r="L5780" t="n">
        <v>0</v>
      </c>
      <c r="M5780" t="n">
        <v>0</v>
      </c>
      <c r="N5780" t="n">
        <v>0</v>
      </c>
      <c r="O5780" t="n">
        <v>0</v>
      </c>
      <c r="P5780" t="n">
        <v>0</v>
      </c>
      <c r="Q5780" t="n">
        <v>0</v>
      </c>
      <c r="R5780" s="2" t="inlineStr"/>
    </row>
    <row r="5781" ht="15" customHeight="1">
      <c r="A5781" t="inlineStr">
        <is>
          <t>A 37221-2024</t>
        </is>
      </c>
      <c r="B5781" s="1" t="n">
        <v>45539.85185185185</v>
      </c>
      <c r="C5781" s="1" t="n">
        <v>45962</v>
      </c>
      <c r="D5781" t="inlineStr">
        <is>
          <t>JÖNKÖPINGS LÄN</t>
        </is>
      </c>
      <c r="E5781" t="inlineStr">
        <is>
          <t>TRANÅS</t>
        </is>
      </c>
      <c r="G5781" t="n">
        <v>1.4</v>
      </c>
      <c r="H5781" t="n">
        <v>0</v>
      </c>
      <c r="I5781" t="n">
        <v>0</v>
      </c>
      <c r="J5781" t="n">
        <v>0</v>
      </c>
      <c r="K5781" t="n">
        <v>0</v>
      </c>
      <c r="L5781" t="n">
        <v>0</v>
      </c>
      <c r="M5781" t="n">
        <v>0</v>
      </c>
      <c r="N5781" t="n">
        <v>0</v>
      </c>
      <c r="O5781" t="n">
        <v>0</v>
      </c>
      <c r="P5781" t="n">
        <v>0</v>
      </c>
      <c r="Q5781" t="n">
        <v>0</v>
      </c>
      <c r="R5781" s="2" t="inlineStr"/>
    </row>
    <row r="5782" ht="15" customHeight="1">
      <c r="A5782" t="inlineStr">
        <is>
          <t>A 61285-2024</t>
        </is>
      </c>
      <c r="B5782" s="1" t="n">
        <v>45645.80195601852</v>
      </c>
      <c r="C5782" s="1" t="n">
        <v>45962</v>
      </c>
      <c r="D5782" t="inlineStr">
        <is>
          <t>JÖNKÖPINGS LÄN</t>
        </is>
      </c>
      <c r="E5782" t="inlineStr">
        <is>
          <t>VETLANDA</t>
        </is>
      </c>
      <c r="F5782" t="inlineStr">
        <is>
          <t>Sveaskog</t>
        </is>
      </c>
      <c r="G5782" t="n">
        <v>3.5</v>
      </c>
      <c r="H5782" t="n">
        <v>0</v>
      </c>
      <c r="I5782" t="n">
        <v>0</v>
      </c>
      <c r="J5782" t="n">
        <v>0</v>
      </c>
      <c r="K5782" t="n">
        <v>0</v>
      </c>
      <c r="L5782" t="n">
        <v>0</v>
      </c>
      <c r="M5782" t="n">
        <v>0</v>
      </c>
      <c r="N5782" t="n">
        <v>0</v>
      </c>
      <c r="O5782" t="n">
        <v>0</v>
      </c>
      <c r="P5782" t="n">
        <v>0</v>
      </c>
      <c r="Q5782" t="n">
        <v>0</v>
      </c>
      <c r="R5782" s="2" t="inlineStr"/>
    </row>
    <row r="5783" ht="15" customHeight="1">
      <c r="A5783" t="inlineStr">
        <is>
          <t>A 61293-2024</t>
        </is>
      </c>
      <c r="B5783" s="1" t="n">
        <v>45645.82511574074</v>
      </c>
      <c r="C5783" s="1" t="n">
        <v>45962</v>
      </c>
      <c r="D5783" t="inlineStr">
        <is>
          <t>JÖNKÖPINGS LÄN</t>
        </is>
      </c>
      <c r="E5783" t="inlineStr">
        <is>
          <t>VETLANDA</t>
        </is>
      </c>
      <c r="F5783" t="inlineStr">
        <is>
          <t>Sveaskog</t>
        </is>
      </c>
      <c r="G5783" t="n">
        <v>2</v>
      </c>
      <c r="H5783" t="n">
        <v>0</v>
      </c>
      <c r="I5783" t="n">
        <v>0</v>
      </c>
      <c r="J5783" t="n">
        <v>0</v>
      </c>
      <c r="K5783" t="n">
        <v>0</v>
      </c>
      <c r="L5783" t="n">
        <v>0</v>
      </c>
      <c r="M5783" t="n">
        <v>0</v>
      </c>
      <c r="N5783" t="n">
        <v>0</v>
      </c>
      <c r="O5783" t="n">
        <v>0</v>
      </c>
      <c r="P5783" t="n">
        <v>0</v>
      </c>
      <c r="Q5783" t="n">
        <v>0</v>
      </c>
      <c r="R5783" s="2" t="inlineStr"/>
    </row>
    <row r="5784" ht="15" customHeight="1">
      <c r="A5784" t="inlineStr">
        <is>
          <t>A 61297-2024</t>
        </is>
      </c>
      <c r="B5784" s="1" t="n">
        <v>45645.88440972222</v>
      </c>
      <c r="C5784" s="1" t="n">
        <v>45962</v>
      </c>
      <c r="D5784" t="inlineStr">
        <is>
          <t>JÖNKÖPINGS LÄN</t>
        </is>
      </c>
      <c r="E5784" t="inlineStr">
        <is>
          <t>JÖNKÖPING</t>
        </is>
      </c>
      <c r="G5784" t="n">
        <v>0.7</v>
      </c>
      <c r="H5784" t="n">
        <v>0</v>
      </c>
      <c r="I5784" t="n">
        <v>0</v>
      </c>
      <c r="J5784" t="n">
        <v>0</v>
      </c>
      <c r="K5784" t="n">
        <v>0</v>
      </c>
      <c r="L5784" t="n">
        <v>0</v>
      </c>
      <c r="M5784" t="n">
        <v>0</v>
      </c>
      <c r="N5784" t="n">
        <v>0</v>
      </c>
      <c r="O5784" t="n">
        <v>0</v>
      </c>
      <c r="P5784" t="n">
        <v>0</v>
      </c>
      <c r="Q5784" t="n">
        <v>0</v>
      </c>
      <c r="R5784" s="2" t="inlineStr"/>
    </row>
    <row r="5785" ht="15" customHeight="1">
      <c r="A5785" t="inlineStr">
        <is>
          <t>A 34756-2025</t>
        </is>
      </c>
      <c r="B5785" s="1" t="n">
        <v>45848.62712962963</v>
      </c>
      <c r="C5785" s="1" t="n">
        <v>45962</v>
      </c>
      <c r="D5785" t="inlineStr">
        <is>
          <t>JÖNKÖPINGS LÄN</t>
        </is>
      </c>
      <c r="E5785" t="inlineStr">
        <is>
          <t>VETLANDA</t>
        </is>
      </c>
      <c r="G5785" t="n">
        <v>1.3</v>
      </c>
      <c r="H5785" t="n">
        <v>0</v>
      </c>
      <c r="I5785" t="n">
        <v>0</v>
      </c>
      <c r="J5785" t="n">
        <v>0</v>
      </c>
      <c r="K5785" t="n">
        <v>0</v>
      </c>
      <c r="L5785" t="n">
        <v>0</v>
      </c>
      <c r="M5785" t="n">
        <v>0</v>
      </c>
      <c r="N5785" t="n">
        <v>0</v>
      </c>
      <c r="O5785" t="n">
        <v>0</v>
      </c>
      <c r="P5785" t="n">
        <v>0</v>
      </c>
      <c r="Q5785" t="n">
        <v>0</v>
      </c>
      <c r="R5785" s="2" t="inlineStr"/>
    </row>
    <row r="5786" ht="15" customHeight="1">
      <c r="A5786" t="inlineStr">
        <is>
          <t>A 38724-2022</t>
        </is>
      </c>
      <c r="B5786" s="1" t="n">
        <v>44815.86887731482</v>
      </c>
      <c r="C5786" s="1" t="n">
        <v>45962</v>
      </c>
      <c r="D5786" t="inlineStr">
        <is>
          <t>JÖNKÖPINGS LÄN</t>
        </is>
      </c>
      <c r="E5786" t="inlineStr">
        <is>
          <t>VETLANDA</t>
        </is>
      </c>
      <c r="G5786" t="n">
        <v>0.7</v>
      </c>
      <c r="H5786" t="n">
        <v>0</v>
      </c>
      <c r="I5786" t="n">
        <v>0</v>
      </c>
      <c r="J5786" t="n">
        <v>0</v>
      </c>
      <c r="K5786" t="n">
        <v>0</v>
      </c>
      <c r="L5786" t="n">
        <v>0</v>
      </c>
      <c r="M5786" t="n">
        <v>0</v>
      </c>
      <c r="N5786" t="n">
        <v>0</v>
      </c>
      <c r="O5786" t="n">
        <v>0</v>
      </c>
      <c r="P5786" t="n">
        <v>0</v>
      </c>
      <c r="Q5786" t="n">
        <v>0</v>
      </c>
      <c r="R5786" s="2" t="inlineStr"/>
    </row>
    <row r="5787" ht="15" customHeight="1">
      <c r="A5787" t="inlineStr">
        <is>
          <t>A 44051-2024</t>
        </is>
      </c>
      <c r="B5787" s="1" t="n">
        <v>45572.59581018519</v>
      </c>
      <c r="C5787" s="1" t="n">
        <v>45962</v>
      </c>
      <c r="D5787" t="inlineStr">
        <is>
          <t>JÖNKÖPINGS LÄN</t>
        </is>
      </c>
      <c r="E5787" t="inlineStr">
        <is>
          <t>ANEBY</t>
        </is>
      </c>
      <c r="G5787" t="n">
        <v>3.1</v>
      </c>
      <c r="H5787" t="n">
        <v>0</v>
      </c>
      <c r="I5787" t="n">
        <v>0</v>
      </c>
      <c r="J5787" t="n">
        <v>0</v>
      </c>
      <c r="K5787" t="n">
        <v>0</v>
      </c>
      <c r="L5787" t="n">
        <v>0</v>
      </c>
      <c r="M5787" t="n">
        <v>0</v>
      </c>
      <c r="N5787" t="n">
        <v>0</v>
      </c>
      <c r="O5787" t="n">
        <v>0</v>
      </c>
      <c r="P5787" t="n">
        <v>0</v>
      </c>
      <c r="Q5787" t="n">
        <v>0</v>
      </c>
      <c r="R5787" s="2" t="inlineStr"/>
    </row>
    <row r="5788" ht="15" customHeight="1">
      <c r="A5788" t="inlineStr">
        <is>
          <t>A 34752-2025</t>
        </is>
      </c>
      <c r="B5788" s="1" t="n">
        <v>45848.61853009259</v>
      </c>
      <c r="C5788" s="1" t="n">
        <v>45962</v>
      </c>
      <c r="D5788" t="inlineStr">
        <is>
          <t>JÖNKÖPINGS LÄN</t>
        </is>
      </c>
      <c r="E5788" t="inlineStr">
        <is>
          <t>VETLANDA</t>
        </is>
      </c>
      <c r="G5788" t="n">
        <v>3.5</v>
      </c>
      <c r="H5788" t="n">
        <v>0</v>
      </c>
      <c r="I5788" t="n">
        <v>0</v>
      </c>
      <c r="J5788" t="n">
        <v>0</v>
      </c>
      <c r="K5788" t="n">
        <v>0</v>
      </c>
      <c r="L5788" t="n">
        <v>0</v>
      </c>
      <c r="M5788" t="n">
        <v>0</v>
      </c>
      <c r="N5788" t="n">
        <v>0</v>
      </c>
      <c r="O5788" t="n">
        <v>0</v>
      </c>
      <c r="P5788" t="n">
        <v>0</v>
      </c>
      <c r="Q5788" t="n">
        <v>0</v>
      </c>
      <c r="R5788" s="2" t="inlineStr"/>
    </row>
    <row r="5789" ht="15" customHeight="1">
      <c r="A5789" t="inlineStr">
        <is>
          <t>A 32177-2024</t>
        </is>
      </c>
      <c r="B5789" s="1" t="n">
        <v>45511.61868055556</v>
      </c>
      <c r="C5789" s="1" t="n">
        <v>45962</v>
      </c>
      <c r="D5789" t="inlineStr">
        <is>
          <t>JÖNKÖPINGS LÄN</t>
        </is>
      </c>
      <c r="E5789" t="inlineStr">
        <is>
          <t>GNOSJÖ</t>
        </is>
      </c>
      <c r="G5789" t="n">
        <v>0.9</v>
      </c>
      <c r="H5789" t="n">
        <v>0</v>
      </c>
      <c r="I5789" t="n">
        <v>0</v>
      </c>
      <c r="J5789" t="n">
        <v>0</v>
      </c>
      <c r="K5789" t="n">
        <v>0</v>
      </c>
      <c r="L5789" t="n">
        <v>0</v>
      </c>
      <c r="M5789" t="n">
        <v>0</v>
      </c>
      <c r="N5789" t="n">
        <v>0</v>
      </c>
      <c r="O5789" t="n">
        <v>0</v>
      </c>
      <c r="P5789" t="n">
        <v>0</v>
      </c>
      <c r="Q5789" t="n">
        <v>0</v>
      </c>
      <c r="R5789" s="2" t="inlineStr"/>
    </row>
    <row r="5790" ht="15" customHeight="1">
      <c r="A5790" t="inlineStr">
        <is>
          <t>A 32179-2024</t>
        </is>
      </c>
      <c r="B5790" s="1" t="n">
        <v>45511.62046296296</v>
      </c>
      <c r="C5790" s="1" t="n">
        <v>45962</v>
      </c>
      <c r="D5790" t="inlineStr">
        <is>
          <t>JÖNKÖPINGS LÄN</t>
        </is>
      </c>
      <c r="E5790" t="inlineStr">
        <is>
          <t>GNOSJÖ</t>
        </is>
      </c>
      <c r="G5790" t="n">
        <v>7.6</v>
      </c>
      <c r="H5790" t="n">
        <v>0</v>
      </c>
      <c r="I5790" t="n">
        <v>0</v>
      </c>
      <c r="J5790" t="n">
        <v>0</v>
      </c>
      <c r="K5790" t="n">
        <v>0</v>
      </c>
      <c r="L5790" t="n">
        <v>0</v>
      </c>
      <c r="M5790" t="n">
        <v>0</v>
      </c>
      <c r="N5790" t="n">
        <v>0</v>
      </c>
      <c r="O5790" t="n">
        <v>0</v>
      </c>
      <c r="P5790" t="n">
        <v>0</v>
      </c>
      <c r="Q5790" t="n">
        <v>0</v>
      </c>
      <c r="R5790" s="2" t="inlineStr"/>
    </row>
    <row r="5791" ht="15" customHeight="1">
      <c r="A5791" t="inlineStr">
        <is>
          <t>A 61310-2023</t>
        </is>
      </c>
      <c r="B5791" s="1" t="n">
        <v>45264.56972222222</v>
      </c>
      <c r="C5791" s="1" t="n">
        <v>45962</v>
      </c>
      <c r="D5791" t="inlineStr">
        <is>
          <t>JÖNKÖPINGS LÄN</t>
        </is>
      </c>
      <c r="E5791" t="inlineStr">
        <is>
          <t>GISLAVED</t>
        </is>
      </c>
      <c r="G5791" t="n">
        <v>0.8</v>
      </c>
      <c r="H5791" t="n">
        <v>0</v>
      </c>
      <c r="I5791" t="n">
        <v>0</v>
      </c>
      <c r="J5791" t="n">
        <v>0</v>
      </c>
      <c r="K5791" t="n">
        <v>0</v>
      </c>
      <c r="L5791" t="n">
        <v>0</v>
      </c>
      <c r="M5791" t="n">
        <v>0</v>
      </c>
      <c r="N5791" t="n">
        <v>0</v>
      </c>
      <c r="O5791" t="n">
        <v>0</v>
      </c>
      <c r="P5791" t="n">
        <v>0</v>
      </c>
      <c r="Q5791" t="n">
        <v>0</v>
      </c>
      <c r="R5791" s="2" t="inlineStr"/>
    </row>
    <row r="5792" ht="15" customHeight="1">
      <c r="A5792" t="inlineStr">
        <is>
          <t>A 34763-2025</t>
        </is>
      </c>
      <c r="B5792" s="1" t="n">
        <v>45848.64332175926</v>
      </c>
      <c r="C5792" s="1" t="n">
        <v>45962</v>
      </c>
      <c r="D5792" t="inlineStr">
        <is>
          <t>JÖNKÖPINGS LÄN</t>
        </is>
      </c>
      <c r="E5792" t="inlineStr">
        <is>
          <t>VETLANDA</t>
        </is>
      </c>
      <c r="G5792" t="n">
        <v>1.1</v>
      </c>
      <c r="H5792" t="n">
        <v>0</v>
      </c>
      <c r="I5792" t="n">
        <v>0</v>
      </c>
      <c r="J5792" t="n">
        <v>0</v>
      </c>
      <c r="K5792" t="n">
        <v>0</v>
      </c>
      <c r="L5792" t="n">
        <v>0</v>
      </c>
      <c r="M5792" t="n">
        <v>0</v>
      </c>
      <c r="N5792" t="n">
        <v>0</v>
      </c>
      <c r="O5792" t="n">
        <v>0</v>
      </c>
      <c r="P5792" t="n">
        <v>0</v>
      </c>
      <c r="Q5792" t="n">
        <v>0</v>
      </c>
      <c r="R5792" s="2" t="inlineStr"/>
    </row>
    <row r="5793" ht="15" customHeight="1">
      <c r="A5793" t="inlineStr">
        <is>
          <t>A 34718-2025</t>
        </is>
      </c>
      <c r="B5793" s="1" t="n">
        <v>45848.53037037037</v>
      </c>
      <c r="C5793" s="1" t="n">
        <v>45962</v>
      </c>
      <c r="D5793" t="inlineStr">
        <is>
          <t>JÖNKÖPINGS LÄN</t>
        </is>
      </c>
      <c r="E5793" t="inlineStr">
        <is>
          <t>VETLANDA</t>
        </is>
      </c>
      <c r="G5793" t="n">
        <v>1.1</v>
      </c>
      <c r="H5793" t="n">
        <v>0</v>
      </c>
      <c r="I5793" t="n">
        <v>0</v>
      </c>
      <c r="J5793" t="n">
        <v>0</v>
      </c>
      <c r="K5793" t="n">
        <v>0</v>
      </c>
      <c r="L5793" t="n">
        <v>0</v>
      </c>
      <c r="M5793" t="n">
        <v>0</v>
      </c>
      <c r="N5793" t="n">
        <v>0</v>
      </c>
      <c r="O5793" t="n">
        <v>0</v>
      </c>
      <c r="P5793" t="n">
        <v>0</v>
      </c>
      <c r="Q5793" t="n">
        <v>0</v>
      </c>
      <c r="R5793" s="2" t="inlineStr"/>
    </row>
    <row r="5794" ht="15" customHeight="1">
      <c r="A5794" t="inlineStr">
        <is>
          <t>A 16506-2022</t>
        </is>
      </c>
      <c r="B5794" s="1" t="n">
        <v>44671</v>
      </c>
      <c r="C5794" s="1" t="n">
        <v>45962</v>
      </c>
      <c r="D5794" t="inlineStr">
        <is>
          <t>JÖNKÖPINGS LÄN</t>
        </is>
      </c>
      <c r="E5794" t="inlineStr">
        <is>
          <t>ANEBY</t>
        </is>
      </c>
      <c r="F5794" t="inlineStr">
        <is>
          <t>Kyrkan</t>
        </is>
      </c>
      <c r="G5794" t="n">
        <v>1.4</v>
      </c>
      <c r="H5794" t="n">
        <v>0</v>
      </c>
      <c r="I5794" t="n">
        <v>0</v>
      </c>
      <c r="J5794" t="n">
        <v>0</v>
      </c>
      <c r="K5794" t="n">
        <v>0</v>
      </c>
      <c r="L5794" t="n">
        <v>0</v>
      </c>
      <c r="M5794" t="n">
        <v>0</v>
      </c>
      <c r="N5794" t="n">
        <v>0</v>
      </c>
      <c r="O5794" t="n">
        <v>0</v>
      </c>
      <c r="P5794" t="n">
        <v>0</v>
      </c>
      <c r="Q5794" t="n">
        <v>0</v>
      </c>
      <c r="R5794" s="2" t="inlineStr"/>
    </row>
    <row r="5795" ht="15" customHeight="1">
      <c r="A5795" t="inlineStr">
        <is>
          <t>A 16394-2021</t>
        </is>
      </c>
      <c r="B5795" s="1" t="n">
        <v>44293.39583333334</v>
      </c>
      <c r="C5795" s="1" t="n">
        <v>45962</v>
      </c>
      <c r="D5795" t="inlineStr">
        <is>
          <t>JÖNKÖPINGS LÄN</t>
        </is>
      </c>
      <c r="E5795" t="inlineStr">
        <is>
          <t>VETLANDA</t>
        </is>
      </c>
      <c r="G5795" t="n">
        <v>4.2</v>
      </c>
      <c r="H5795" t="n">
        <v>0</v>
      </c>
      <c r="I5795" t="n">
        <v>0</v>
      </c>
      <c r="J5795" t="n">
        <v>0</v>
      </c>
      <c r="K5795" t="n">
        <v>0</v>
      </c>
      <c r="L5795" t="n">
        <v>0</v>
      </c>
      <c r="M5795" t="n">
        <v>0</v>
      </c>
      <c r="N5795" t="n">
        <v>0</v>
      </c>
      <c r="O5795" t="n">
        <v>0</v>
      </c>
      <c r="P5795" t="n">
        <v>0</v>
      </c>
      <c r="Q5795" t="n">
        <v>0</v>
      </c>
      <c r="R5795" s="2" t="inlineStr"/>
    </row>
    <row r="5796" ht="15" customHeight="1">
      <c r="A5796" t="inlineStr">
        <is>
          <t>A 63308-2023</t>
        </is>
      </c>
      <c r="B5796" s="1" t="n">
        <v>45274.33671296296</v>
      </c>
      <c r="C5796" s="1" t="n">
        <v>45962</v>
      </c>
      <c r="D5796" t="inlineStr">
        <is>
          <t>JÖNKÖPINGS LÄN</t>
        </is>
      </c>
      <c r="E5796" t="inlineStr">
        <is>
          <t>SÄVSJÖ</t>
        </is>
      </c>
      <c r="G5796" t="n">
        <v>2.1</v>
      </c>
      <c r="H5796" t="n">
        <v>0</v>
      </c>
      <c r="I5796" t="n">
        <v>0</v>
      </c>
      <c r="J5796" t="n">
        <v>0</v>
      </c>
      <c r="K5796" t="n">
        <v>0</v>
      </c>
      <c r="L5796" t="n">
        <v>0</v>
      </c>
      <c r="M5796" t="n">
        <v>0</v>
      </c>
      <c r="N5796" t="n">
        <v>0</v>
      </c>
      <c r="O5796" t="n">
        <v>0</v>
      </c>
      <c r="P5796" t="n">
        <v>0</v>
      </c>
      <c r="Q5796" t="n">
        <v>0</v>
      </c>
      <c r="R5796" s="2" t="inlineStr"/>
    </row>
    <row r="5797" ht="15" customHeight="1">
      <c r="A5797" t="inlineStr">
        <is>
          <t>A 48305-2022</t>
        </is>
      </c>
      <c r="B5797" s="1" t="n">
        <v>44853</v>
      </c>
      <c r="C5797" s="1" t="n">
        <v>45962</v>
      </c>
      <c r="D5797" t="inlineStr">
        <is>
          <t>JÖNKÖPINGS LÄN</t>
        </is>
      </c>
      <c r="E5797" t="inlineStr">
        <is>
          <t>JÖNKÖPING</t>
        </is>
      </c>
      <c r="G5797" t="n">
        <v>2.3</v>
      </c>
      <c r="H5797" t="n">
        <v>0</v>
      </c>
      <c r="I5797" t="n">
        <v>0</v>
      </c>
      <c r="J5797" t="n">
        <v>0</v>
      </c>
      <c r="K5797" t="n">
        <v>0</v>
      </c>
      <c r="L5797" t="n">
        <v>0</v>
      </c>
      <c r="M5797" t="n">
        <v>0</v>
      </c>
      <c r="N5797" t="n">
        <v>0</v>
      </c>
      <c r="O5797" t="n">
        <v>0</v>
      </c>
      <c r="P5797" t="n">
        <v>0</v>
      </c>
      <c r="Q5797" t="n">
        <v>0</v>
      </c>
      <c r="R5797" s="2" t="inlineStr"/>
    </row>
    <row r="5798" ht="15" customHeight="1">
      <c r="A5798" t="inlineStr">
        <is>
          <t>A 37160-2023</t>
        </is>
      </c>
      <c r="B5798" s="1" t="n">
        <v>45154</v>
      </c>
      <c r="C5798" s="1" t="n">
        <v>45962</v>
      </c>
      <c r="D5798" t="inlineStr">
        <is>
          <t>JÖNKÖPINGS LÄN</t>
        </is>
      </c>
      <c r="E5798" t="inlineStr">
        <is>
          <t>TRANÅS</t>
        </is>
      </c>
      <c r="G5798" t="n">
        <v>2.5</v>
      </c>
      <c r="H5798" t="n">
        <v>0</v>
      </c>
      <c r="I5798" t="n">
        <v>0</v>
      </c>
      <c r="J5798" t="n">
        <v>0</v>
      </c>
      <c r="K5798" t="n">
        <v>0</v>
      </c>
      <c r="L5798" t="n">
        <v>0</v>
      </c>
      <c r="M5798" t="n">
        <v>0</v>
      </c>
      <c r="N5798" t="n">
        <v>0</v>
      </c>
      <c r="O5798" t="n">
        <v>0</v>
      </c>
      <c r="P5798" t="n">
        <v>0</v>
      </c>
      <c r="Q5798" t="n">
        <v>0</v>
      </c>
      <c r="R5798" s="2" t="inlineStr"/>
    </row>
    <row r="5799" ht="15" customHeight="1">
      <c r="A5799" t="inlineStr">
        <is>
          <t>A 37178-2023</t>
        </is>
      </c>
      <c r="B5799" s="1" t="n">
        <v>45155.64881944445</v>
      </c>
      <c r="C5799" s="1" t="n">
        <v>45962</v>
      </c>
      <c r="D5799" t="inlineStr">
        <is>
          <t>JÖNKÖPINGS LÄN</t>
        </is>
      </c>
      <c r="E5799" t="inlineStr">
        <is>
          <t>GISLAVED</t>
        </is>
      </c>
      <c r="G5799" t="n">
        <v>2.9</v>
      </c>
      <c r="H5799" t="n">
        <v>0</v>
      </c>
      <c r="I5799" t="n">
        <v>0</v>
      </c>
      <c r="J5799" t="n">
        <v>0</v>
      </c>
      <c r="K5799" t="n">
        <v>0</v>
      </c>
      <c r="L5799" t="n">
        <v>0</v>
      </c>
      <c r="M5799" t="n">
        <v>0</v>
      </c>
      <c r="N5799" t="n">
        <v>0</v>
      </c>
      <c r="O5799" t="n">
        <v>0</v>
      </c>
      <c r="P5799" t="n">
        <v>0</v>
      </c>
      <c r="Q5799" t="n">
        <v>0</v>
      </c>
      <c r="R5799" s="2" t="inlineStr"/>
    </row>
    <row r="5800" ht="15" customHeight="1">
      <c r="A5800" t="inlineStr">
        <is>
          <t>A 3169-2023</t>
        </is>
      </c>
      <c r="B5800" s="1" t="n">
        <v>44946</v>
      </c>
      <c r="C5800" s="1" t="n">
        <v>45962</v>
      </c>
      <c r="D5800" t="inlineStr">
        <is>
          <t>JÖNKÖPINGS LÄN</t>
        </is>
      </c>
      <c r="E5800" t="inlineStr">
        <is>
          <t>NÄSSJÖ</t>
        </is>
      </c>
      <c r="G5800" t="n">
        <v>9</v>
      </c>
      <c r="H5800" t="n">
        <v>0</v>
      </c>
      <c r="I5800" t="n">
        <v>0</v>
      </c>
      <c r="J5800" t="n">
        <v>0</v>
      </c>
      <c r="K5800" t="n">
        <v>0</v>
      </c>
      <c r="L5800" t="n">
        <v>0</v>
      </c>
      <c r="M5800" t="n">
        <v>0</v>
      </c>
      <c r="N5800" t="n">
        <v>0</v>
      </c>
      <c r="O5800" t="n">
        <v>0</v>
      </c>
      <c r="P5800" t="n">
        <v>0</v>
      </c>
      <c r="Q5800" t="n">
        <v>0</v>
      </c>
      <c r="R5800" s="2" t="inlineStr"/>
    </row>
    <row r="5801" ht="15" customHeight="1">
      <c r="A5801" t="inlineStr">
        <is>
          <t>A 19856-2024</t>
        </is>
      </c>
      <c r="B5801" s="1" t="n">
        <v>45433.40761574074</v>
      </c>
      <c r="C5801" s="1" t="n">
        <v>45962</v>
      </c>
      <c r="D5801" t="inlineStr">
        <is>
          <t>JÖNKÖPINGS LÄN</t>
        </is>
      </c>
      <c r="E5801" t="inlineStr">
        <is>
          <t>SÄVSJÖ</t>
        </is>
      </c>
      <c r="G5801" t="n">
        <v>3.7</v>
      </c>
      <c r="H5801" t="n">
        <v>0</v>
      </c>
      <c r="I5801" t="n">
        <v>0</v>
      </c>
      <c r="J5801" t="n">
        <v>0</v>
      </c>
      <c r="K5801" t="n">
        <v>0</v>
      </c>
      <c r="L5801" t="n">
        <v>0</v>
      </c>
      <c r="M5801" t="n">
        <v>0</v>
      </c>
      <c r="N5801" t="n">
        <v>0</v>
      </c>
      <c r="O5801" t="n">
        <v>0</v>
      </c>
      <c r="P5801" t="n">
        <v>0</v>
      </c>
      <c r="Q5801" t="n">
        <v>0</v>
      </c>
      <c r="R5801" s="2" t="inlineStr"/>
    </row>
    <row r="5802" ht="15" customHeight="1">
      <c r="A5802" t="inlineStr">
        <is>
          <t>A 22176-2025</t>
        </is>
      </c>
      <c r="B5802" s="1" t="n">
        <v>45785.60978009259</v>
      </c>
      <c r="C5802" s="1" t="n">
        <v>45962</v>
      </c>
      <c r="D5802" t="inlineStr">
        <is>
          <t>JÖNKÖPINGS LÄN</t>
        </is>
      </c>
      <c r="E5802" t="inlineStr">
        <is>
          <t>EKSJÖ</t>
        </is>
      </c>
      <c r="G5802" t="n">
        <v>1</v>
      </c>
      <c r="H5802" t="n">
        <v>0</v>
      </c>
      <c r="I5802" t="n">
        <v>0</v>
      </c>
      <c r="J5802" t="n">
        <v>0</v>
      </c>
      <c r="K5802" t="n">
        <v>0</v>
      </c>
      <c r="L5802" t="n">
        <v>0</v>
      </c>
      <c r="M5802" t="n">
        <v>0</v>
      </c>
      <c r="N5802" t="n">
        <v>0</v>
      </c>
      <c r="O5802" t="n">
        <v>0</v>
      </c>
      <c r="P5802" t="n">
        <v>0</v>
      </c>
      <c r="Q5802" t="n">
        <v>0</v>
      </c>
      <c r="R5802" s="2" t="inlineStr"/>
    </row>
    <row r="5803" ht="15" customHeight="1">
      <c r="A5803" t="inlineStr">
        <is>
          <t>A 8461-2025</t>
        </is>
      </c>
      <c r="B5803" s="1" t="n">
        <v>45709.46761574074</v>
      </c>
      <c r="C5803" s="1" t="n">
        <v>45962</v>
      </c>
      <c r="D5803" t="inlineStr">
        <is>
          <t>JÖNKÖPINGS LÄN</t>
        </is>
      </c>
      <c r="E5803" t="inlineStr">
        <is>
          <t>GISLAVED</t>
        </is>
      </c>
      <c r="F5803" t="inlineStr">
        <is>
          <t>Sveaskog</t>
        </is>
      </c>
      <c r="G5803" t="n">
        <v>1.7</v>
      </c>
      <c r="H5803" t="n">
        <v>0</v>
      </c>
      <c r="I5803" t="n">
        <v>0</v>
      </c>
      <c r="J5803" t="n">
        <v>0</v>
      </c>
      <c r="K5803" t="n">
        <v>0</v>
      </c>
      <c r="L5803" t="n">
        <v>0</v>
      </c>
      <c r="M5803" t="n">
        <v>0</v>
      </c>
      <c r="N5803" t="n">
        <v>0</v>
      </c>
      <c r="O5803" t="n">
        <v>0</v>
      </c>
      <c r="P5803" t="n">
        <v>0</v>
      </c>
      <c r="Q5803" t="n">
        <v>0</v>
      </c>
      <c r="R5803" s="2" t="inlineStr"/>
    </row>
    <row r="5804" ht="15" customHeight="1">
      <c r="A5804" t="inlineStr">
        <is>
          <t>A 10696-2025</t>
        </is>
      </c>
      <c r="B5804" s="1" t="n">
        <v>45722.30974537037</v>
      </c>
      <c r="C5804" s="1" t="n">
        <v>45962</v>
      </c>
      <c r="D5804" t="inlineStr">
        <is>
          <t>JÖNKÖPINGS LÄN</t>
        </is>
      </c>
      <c r="E5804" t="inlineStr">
        <is>
          <t>VETLANDA</t>
        </is>
      </c>
      <c r="G5804" t="n">
        <v>0.9</v>
      </c>
      <c r="H5804" t="n">
        <v>0</v>
      </c>
      <c r="I5804" t="n">
        <v>0</v>
      </c>
      <c r="J5804" t="n">
        <v>0</v>
      </c>
      <c r="K5804" t="n">
        <v>0</v>
      </c>
      <c r="L5804" t="n">
        <v>0</v>
      </c>
      <c r="M5804" t="n">
        <v>0</v>
      </c>
      <c r="N5804" t="n">
        <v>0</v>
      </c>
      <c r="O5804" t="n">
        <v>0</v>
      </c>
      <c r="P5804" t="n">
        <v>0</v>
      </c>
      <c r="Q5804" t="n">
        <v>0</v>
      </c>
      <c r="R5804" s="2" t="inlineStr"/>
    </row>
    <row r="5805" ht="15" customHeight="1">
      <c r="A5805" t="inlineStr">
        <is>
          <t>A 56020-2021</t>
        </is>
      </c>
      <c r="B5805" s="1" t="n">
        <v>44477.45230324074</v>
      </c>
      <c r="C5805" s="1" t="n">
        <v>45962</v>
      </c>
      <c r="D5805" t="inlineStr">
        <is>
          <t>JÖNKÖPINGS LÄN</t>
        </is>
      </c>
      <c r="E5805" t="inlineStr">
        <is>
          <t>ANEBY</t>
        </is>
      </c>
      <c r="G5805" t="n">
        <v>3.5</v>
      </c>
      <c r="H5805" t="n">
        <v>0</v>
      </c>
      <c r="I5805" t="n">
        <v>0</v>
      </c>
      <c r="J5805" t="n">
        <v>0</v>
      </c>
      <c r="K5805" t="n">
        <v>0</v>
      </c>
      <c r="L5805" t="n">
        <v>0</v>
      </c>
      <c r="M5805" t="n">
        <v>0</v>
      </c>
      <c r="N5805" t="n">
        <v>0</v>
      </c>
      <c r="O5805" t="n">
        <v>0</v>
      </c>
      <c r="P5805" t="n">
        <v>0</v>
      </c>
      <c r="Q5805" t="n">
        <v>0</v>
      </c>
      <c r="R5805" s="2" t="inlineStr"/>
    </row>
    <row r="5806" ht="15" customHeight="1">
      <c r="A5806" t="inlineStr">
        <is>
          <t>A 30547-2024</t>
        </is>
      </c>
      <c r="B5806" s="1" t="n">
        <v>45492.70833333334</v>
      </c>
      <c r="C5806" s="1" t="n">
        <v>45962</v>
      </c>
      <c r="D5806" t="inlineStr">
        <is>
          <t>JÖNKÖPINGS LÄN</t>
        </is>
      </c>
      <c r="E5806" t="inlineStr">
        <is>
          <t>JÖNKÖPING</t>
        </is>
      </c>
      <c r="G5806" t="n">
        <v>4.1</v>
      </c>
      <c r="H5806" t="n">
        <v>0</v>
      </c>
      <c r="I5806" t="n">
        <v>0</v>
      </c>
      <c r="J5806" t="n">
        <v>0</v>
      </c>
      <c r="K5806" t="n">
        <v>0</v>
      </c>
      <c r="L5806" t="n">
        <v>0</v>
      </c>
      <c r="M5806" t="n">
        <v>0</v>
      </c>
      <c r="N5806" t="n">
        <v>0</v>
      </c>
      <c r="O5806" t="n">
        <v>0</v>
      </c>
      <c r="P5806" t="n">
        <v>0</v>
      </c>
      <c r="Q5806" t="n">
        <v>0</v>
      </c>
      <c r="R5806" s="2" t="inlineStr"/>
    </row>
    <row r="5807" ht="15" customHeight="1">
      <c r="A5807" t="inlineStr">
        <is>
          <t>A 37949-2023</t>
        </is>
      </c>
      <c r="B5807" s="1" t="n">
        <v>45159</v>
      </c>
      <c r="C5807" s="1" t="n">
        <v>45962</v>
      </c>
      <c r="D5807" t="inlineStr">
        <is>
          <t>JÖNKÖPINGS LÄN</t>
        </is>
      </c>
      <c r="E5807" t="inlineStr">
        <is>
          <t>TRANÅS</t>
        </is>
      </c>
      <c r="G5807" t="n">
        <v>1.8</v>
      </c>
      <c r="H5807" t="n">
        <v>0</v>
      </c>
      <c r="I5807" t="n">
        <v>0</v>
      </c>
      <c r="J5807" t="n">
        <v>0</v>
      </c>
      <c r="K5807" t="n">
        <v>0</v>
      </c>
      <c r="L5807" t="n">
        <v>0</v>
      </c>
      <c r="M5807" t="n">
        <v>0</v>
      </c>
      <c r="N5807" t="n">
        <v>0</v>
      </c>
      <c r="O5807" t="n">
        <v>0</v>
      </c>
      <c r="P5807" t="n">
        <v>0</v>
      </c>
      <c r="Q5807" t="n">
        <v>0</v>
      </c>
      <c r="R5807" s="2" t="inlineStr"/>
    </row>
    <row r="5808" ht="15" customHeight="1">
      <c r="A5808" t="inlineStr">
        <is>
          <t>A 13892-2024</t>
        </is>
      </c>
      <c r="B5808" s="1" t="n">
        <v>45391.63104166667</v>
      </c>
      <c r="C5808" s="1" t="n">
        <v>45962</v>
      </c>
      <c r="D5808" t="inlineStr">
        <is>
          <t>JÖNKÖPINGS LÄN</t>
        </is>
      </c>
      <c r="E5808" t="inlineStr">
        <is>
          <t>EKSJÖ</t>
        </is>
      </c>
      <c r="G5808" t="n">
        <v>1.7</v>
      </c>
      <c r="H5808" t="n">
        <v>0</v>
      </c>
      <c r="I5808" t="n">
        <v>0</v>
      </c>
      <c r="J5808" t="n">
        <v>0</v>
      </c>
      <c r="K5808" t="n">
        <v>0</v>
      </c>
      <c r="L5808" t="n">
        <v>0</v>
      </c>
      <c r="M5808" t="n">
        <v>0</v>
      </c>
      <c r="N5808" t="n">
        <v>0</v>
      </c>
      <c r="O5808" t="n">
        <v>0</v>
      </c>
      <c r="P5808" t="n">
        <v>0</v>
      </c>
      <c r="Q5808" t="n">
        <v>0</v>
      </c>
      <c r="R5808" s="2" t="inlineStr"/>
    </row>
    <row r="5809" ht="15" customHeight="1">
      <c r="A5809" t="inlineStr">
        <is>
          <t>A 23379-2023</t>
        </is>
      </c>
      <c r="B5809" s="1" t="n">
        <v>45076</v>
      </c>
      <c r="C5809" s="1" t="n">
        <v>45962</v>
      </c>
      <c r="D5809" t="inlineStr">
        <is>
          <t>JÖNKÖPINGS LÄN</t>
        </is>
      </c>
      <c r="E5809" t="inlineStr">
        <is>
          <t>VETLANDA</t>
        </is>
      </c>
      <c r="G5809" t="n">
        <v>3</v>
      </c>
      <c r="H5809" t="n">
        <v>0</v>
      </c>
      <c r="I5809" t="n">
        <v>0</v>
      </c>
      <c r="J5809" t="n">
        <v>0</v>
      </c>
      <c r="K5809" t="n">
        <v>0</v>
      </c>
      <c r="L5809" t="n">
        <v>0</v>
      </c>
      <c r="M5809" t="n">
        <v>0</v>
      </c>
      <c r="N5809" t="n">
        <v>0</v>
      </c>
      <c r="O5809" t="n">
        <v>0</v>
      </c>
      <c r="P5809" t="n">
        <v>0</v>
      </c>
      <c r="Q5809" t="n">
        <v>0</v>
      </c>
      <c r="R5809" s="2" t="inlineStr"/>
    </row>
    <row r="5810" ht="15" customHeight="1">
      <c r="A5810" t="inlineStr">
        <is>
          <t>A 18588-2025</t>
        </is>
      </c>
      <c r="B5810" s="1" t="n">
        <v>45763.47391203704</v>
      </c>
      <c r="C5810" s="1" t="n">
        <v>45962</v>
      </c>
      <c r="D5810" t="inlineStr">
        <is>
          <t>JÖNKÖPINGS LÄN</t>
        </is>
      </c>
      <c r="E5810" t="inlineStr">
        <is>
          <t>VETLANDA</t>
        </is>
      </c>
      <c r="G5810" t="n">
        <v>1.4</v>
      </c>
      <c r="H5810" t="n">
        <v>0</v>
      </c>
      <c r="I5810" t="n">
        <v>0</v>
      </c>
      <c r="J5810" t="n">
        <v>0</v>
      </c>
      <c r="K5810" t="n">
        <v>0</v>
      </c>
      <c r="L5810" t="n">
        <v>0</v>
      </c>
      <c r="M5810" t="n">
        <v>0</v>
      </c>
      <c r="N5810" t="n">
        <v>0</v>
      </c>
      <c r="O5810" t="n">
        <v>0</v>
      </c>
      <c r="P5810" t="n">
        <v>0</v>
      </c>
      <c r="Q5810" t="n">
        <v>0</v>
      </c>
      <c r="R5810" s="2" t="inlineStr"/>
    </row>
    <row r="5811" ht="15" customHeight="1">
      <c r="A5811" t="inlineStr">
        <is>
          <t>A 18515-2025</t>
        </is>
      </c>
      <c r="B5811" s="1" t="n">
        <v>45763.38690972222</v>
      </c>
      <c r="C5811" s="1" t="n">
        <v>45962</v>
      </c>
      <c r="D5811" t="inlineStr">
        <is>
          <t>JÖNKÖPINGS LÄN</t>
        </is>
      </c>
      <c r="E5811" t="inlineStr">
        <is>
          <t>VAGGERYD</t>
        </is>
      </c>
      <c r="G5811" t="n">
        <v>0.5</v>
      </c>
      <c r="H5811" t="n">
        <v>0</v>
      </c>
      <c r="I5811" t="n">
        <v>0</v>
      </c>
      <c r="J5811" t="n">
        <v>0</v>
      </c>
      <c r="K5811" t="n">
        <v>0</v>
      </c>
      <c r="L5811" t="n">
        <v>0</v>
      </c>
      <c r="M5811" t="n">
        <v>0</v>
      </c>
      <c r="N5811" t="n">
        <v>0</v>
      </c>
      <c r="O5811" t="n">
        <v>0</v>
      </c>
      <c r="P5811" t="n">
        <v>0</v>
      </c>
      <c r="Q5811" t="n">
        <v>0</v>
      </c>
      <c r="R5811" s="2" t="inlineStr"/>
    </row>
    <row r="5812" ht="15" customHeight="1">
      <c r="A5812" t="inlineStr">
        <is>
          <t>A 13635-2023</t>
        </is>
      </c>
      <c r="B5812" s="1" t="n">
        <v>45006.63824074074</v>
      </c>
      <c r="C5812" s="1" t="n">
        <v>45962</v>
      </c>
      <c r="D5812" t="inlineStr">
        <is>
          <t>JÖNKÖPINGS LÄN</t>
        </is>
      </c>
      <c r="E5812" t="inlineStr">
        <is>
          <t>VETLANDA</t>
        </is>
      </c>
      <c r="G5812" t="n">
        <v>2</v>
      </c>
      <c r="H5812" t="n">
        <v>0</v>
      </c>
      <c r="I5812" t="n">
        <v>0</v>
      </c>
      <c r="J5812" t="n">
        <v>0</v>
      </c>
      <c r="K5812" t="n">
        <v>0</v>
      </c>
      <c r="L5812" t="n">
        <v>0</v>
      </c>
      <c r="M5812" t="n">
        <v>0</v>
      </c>
      <c r="N5812" t="n">
        <v>0</v>
      </c>
      <c r="O5812" t="n">
        <v>0</v>
      </c>
      <c r="P5812" t="n">
        <v>0</v>
      </c>
      <c r="Q5812" t="n">
        <v>0</v>
      </c>
      <c r="R5812" s="2" t="inlineStr"/>
    </row>
    <row r="5813" ht="15" customHeight="1">
      <c r="A5813" t="inlineStr">
        <is>
          <t>A 51444-2023</t>
        </is>
      </c>
      <c r="B5813" s="1" t="n">
        <v>45220.40077546296</v>
      </c>
      <c r="C5813" s="1" t="n">
        <v>45962</v>
      </c>
      <c r="D5813" t="inlineStr">
        <is>
          <t>JÖNKÖPINGS LÄN</t>
        </is>
      </c>
      <c r="E5813" t="inlineStr">
        <is>
          <t>HABO</t>
        </is>
      </c>
      <c r="G5813" t="n">
        <v>2.5</v>
      </c>
      <c r="H5813" t="n">
        <v>0</v>
      </c>
      <c r="I5813" t="n">
        <v>0</v>
      </c>
      <c r="J5813" t="n">
        <v>0</v>
      </c>
      <c r="K5813" t="n">
        <v>0</v>
      </c>
      <c r="L5813" t="n">
        <v>0</v>
      </c>
      <c r="M5813" t="n">
        <v>0</v>
      </c>
      <c r="N5813" t="n">
        <v>0</v>
      </c>
      <c r="O5813" t="n">
        <v>0</v>
      </c>
      <c r="P5813" t="n">
        <v>0</v>
      </c>
      <c r="Q5813" t="n">
        <v>0</v>
      </c>
      <c r="R5813" s="2" t="inlineStr"/>
    </row>
    <row r="5814" ht="15" customHeight="1">
      <c r="A5814" t="inlineStr">
        <is>
          <t>A 31346-2023</t>
        </is>
      </c>
      <c r="B5814" s="1" t="n">
        <v>45114</v>
      </c>
      <c r="C5814" s="1" t="n">
        <v>45962</v>
      </c>
      <c r="D5814" t="inlineStr">
        <is>
          <t>JÖNKÖPINGS LÄN</t>
        </is>
      </c>
      <c r="E5814" t="inlineStr">
        <is>
          <t>VÄRNAMO</t>
        </is>
      </c>
      <c r="G5814" t="n">
        <v>2.5</v>
      </c>
      <c r="H5814" t="n">
        <v>0</v>
      </c>
      <c r="I5814" t="n">
        <v>0</v>
      </c>
      <c r="J5814" t="n">
        <v>0</v>
      </c>
      <c r="K5814" t="n">
        <v>0</v>
      </c>
      <c r="L5814" t="n">
        <v>0</v>
      </c>
      <c r="M5814" t="n">
        <v>0</v>
      </c>
      <c r="N5814" t="n">
        <v>0</v>
      </c>
      <c r="O5814" t="n">
        <v>0</v>
      </c>
      <c r="P5814" t="n">
        <v>0</v>
      </c>
      <c r="Q5814" t="n">
        <v>0</v>
      </c>
      <c r="R5814" s="2" t="inlineStr"/>
    </row>
    <row r="5815" ht="15" customHeight="1">
      <c r="A5815" t="inlineStr">
        <is>
          <t>A 24993-2023</t>
        </is>
      </c>
      <c r="B5815" s="1" t="n">
        <v>45085.64541666667</v>
      </c>
      <c r="C5815" s="1" t="n">
        <v>45962</v>
      </c>
      <c r="D5815" t="inlineStr">
        <is>
          <t>JÖNKÖPINGS LÄN</t>
        </is>
      </c>
      <c r="E5815" t="inlineStr">
        <is>
          <t>VAGGERYD</t>
        </is>
      </c>
      <c r="F5815" t="inlineStr">
        <is>
          <t>Sveaskog</t>
        </is>
      </c>
      <c r="G5815" t="n">
        <v>0.2</v>
      </c>
      <c r="H5815" t="n">
        <v>0</v>
      </c>
      <c r="I5815" t="n">
        <v>0</v>
      </c>
      <c r="J5815" t="n">
        <v>0</v>
      </c>
      <c r="K5815" t="n">
        <v>0</v>
      </c>
      <c r="L5815" t="n">
        <v>0</v>
      </c>
      <c r="M5815" t="n">
        <v>0</v>
      </c>
      <c r="N5815" t="n">
        <v>0</v>
      </c>
      <c r="O5815" t="n">
        <v>0</v>
      </c>
      <c r="P5815" t="n">
        <v>0</v>
      </c>
      <c r="Q5815" t="n">
        <v>0</v>
      </c>
      <c r="R5815" s="2" t="inlineStr"/>
    </row>
    <row r="5816" ht="15" customHeight="1">
      <c r="A5816" t="inlineStr">
        <is>
          <t>A 58235-2024</t>
        </is>
      </c>
      <c r="B5816" s="1" t="n">
        <v>45632.53740740741</v>
      </c>
      <c r="C5816" s="1" t="n">
        <v>45962</v>
      </c>
      <c r="D5816" t="inlineStr">
        <is>
          <t>JÖNKÖPINGS LÄN</t>
        </is>
      </c>
      <c r="E5816" t="inlineStr">
        <is>
          <t>GISLAVED</t>
        </is>
      </c>
      <c r="G5816" t="n">
        <v>2.1</v>
      </c>
      <c r="H5816" t="n">
        <v>0</v>
      </c>
      <c r="I5816" t="n">
        <v>0</v>
      </c>
      <c r="J5816" t="n">
        <v>0</v>
      </c>
      <c r="K5816" t="n">
        <v>0</v>
      </c>
      <c r="L5816" t="n">
        <v>0</v>
      </c>
      <c r="M5816" t="n">
        <v>0</v>
      </c>
      <c r="N5816" t="n">
        <v>0</v>
      </c>
      <c r="O5816" t="n">
        <v>0</v>
      </c>
      <c r="P5816" t="n">
        <v>0</v>
      </c>
      <c r="Q5816" t="n">
        <v>0</v>
      </c>
      <c r="R5816" s="2" t="inlineStr"/>
    </row>
    <row r="5817" ht="15" customHeight="1">
      <c r="A5817" t="inlineStr">
        <is>
          <t>A 2423-2025</t>
        </is>
      </c>
      <c r="B5817" s="1" t="n">
        <v>45674.39175925926</v>
      </c>
      <c r="C5817" s="1" t="n">
        <v>45962</v>
      </c>
      <c r="D5817" t="inlineStr">
        <is>
          <t>JÖNKÖPINGS LÄN</t>
        </is>
      </c>
      <c r="E5817" t="inlineStr">
        <is>
          <t>VÄRNAMO</t>
        </is>
      </c>
      <c r="G5817" t="n">
        <v>2.4</v>
      </c>
      <c r="H5817" t="n">
        <v>0</v>
      </c>
      <c r="I5817" t="n">
        <v>0</v>
      </c>
      <c r="J5817" t="n">
        <v>0</v>
      </c>
      <c r="K5817" t="n">
        <v>0</v>
      </c>
      <c r="L5817" t="n">
        <v>0</v>
      </c>
      <c r="M5817" t="n">
        <v>0</v>
      </c>
      <c r="N5817" t="n">
        <v>0</v>
      </c>
      <c r="O5817" t="n">
        <v>0</v>
      </c>
      <c r="P5817" t="n">
        <v>0</v>
      </c>
      <c r="Q5817" t="n">
        <v>0</v>
      </c>
      <c r="R5817" s="2" t="inlineStr"/>
    </row>
    <row r="5818" ht="15" customHeight="1">
      <c r="A5818" t="inlineStr">
        <is>
          <t>A 2435-2025</t>
        </is>
      </c>
      <c r="B5818" s="1" t="n">
        <v>45674.41278935185</v>
      </c>
      <c r="C5818" s="1" t="n">
        <v>45962</v>
      </c>
      <c r="D5818" t="inlineStr">
        <is>
          <t>JÖNKÖPINGS LÄN</t>
        </is>
      </c>
      <c r="E5818" t="inlineStr">
        <is>
          <t>VÄRNAMO</t>
        </is>
      </c>
      <c r="G5818" t="n">
        <v>2.7</v>
      </c>
      <c r="H5818" t="n">
        <v>0</v>
      </c>
      <c r="I5818" t="n">
        <v>0</v>
      </c>
      <c r="J5818" t="n">
        <v>0</v>
      </c>
      <c r="K5818" t="n">
        <v>0</v>
      </c>
      <c r="L5818" t="n">
        <v>0</v>
      </c>
      <c r="M5818" t="n">
        <v>0</v>
      </c>
      <c r="N5818" t="n">
        <v>0</v>
      </c>
      <c r="O5818" t="n">
        <v>0</v>
      </c>
      <c r="P5818" t="n">
        <v>0</v>
      </c>
      <c r="Q5818" t="n">
        <v>0</v>
      </c>
      <c r="R5818" s="2" t="inlineStr"/>
    </row>
    <row r="5819" ht="15" customHeight="1">
      <c r="A5819" t="inlineStr">
        <is>
          <t>A 61850-2024</t>
        </is>
      </c>
      <c r="B5819" s="1" t="n">
        <v>45649.65947916666</v>
      </c>
      <c r="C5819" s="1" t="n">
        <v>45962</v>
      </c>
      <c r="D5819" t="inlineStr">
        <is>
          <t>JÖNKÖPINGS LÄN</t>
        </is>
      </c>
      <c r="E5819" t="inlineStr">
        <is>
          <t>EKSJÖ</t>
        </is>
      </c>
      <c r="G5819" t="n">
        <v>0.5</v>
      </c>
      <c r="H5819" t="n">
        <v>0</v>
      </c>
      <c r="I5819" t="n">
        <v>0</v>
      </c>
      <c r="J5819" t="n">
        <v>0</v>
      </c>
      <c r="K5819" t="n">
        <v>0</v>
      </c>
      <c r="L5819" t="n">
        <v>0</v>
      </c>
      <c r="M5819" t="n">
        <v>0</v>
      </c>
      <c r="N5819" t="n">
        <v>0</v>
      </c>
      <c r="O5819" t="n">
        <v>0</v>
      </c>
      <c r="P5819" t="n">
        <v>0</v>
      </c>
      <c r="Q5819" t="n">
        <v>0</v>
      </c>
      <c r="R5819" s="2" t="inlineStr"/>
    </row>
    <row r="5820" ht="15" customHeight="1">
      <c r="A5820" t="inlineStr">
        <is>
          <t>A 30485-2025</t>
        </is>
      </c>
      <c r="B5820" s="1" t="n">
        <v>45829.46525462963</v>
      </c>
      <c r="C5820" s="1" t="n">
        <v>45962</v>
      </c>
      <c r="D5820" t="inlineStr">
        <is>
          <t>JÖNKÖPINGS LÄN</t>
        </is>
      </c>
      <c r="E5820" t="inlineStr">
        <is>
          <t>GISLAVED</t>
        </is>
      </c>
      <c r="F5820" t="inlineStr">
        <is>
          <t>Sveaskog</t>
        </is>
      </c>
      <c r="G5820" t="n">
        <v>18.5</v>
      </c>
      <c r="H5820" t="n">
        <v>0</v>
      </c>
      <c r="I5820" t="n">
        <v>0</v>
      </c>
      <c r="J5820" t="n">
        <v>0</v>
      </c>
      <c r="K5820" t="n">
        <v>0</v>
      </c>
      <c r="L5820" t="n">
        <v>0</v>
      </c>
      <c r="M5820" t="n">
        <v>0</v>
      </c>
      <c r="N5820" t="n">
        <v>0</v>
      </c>
      <c r="O5820" t="n">
        <v>0</v>
      </c>
      <c r="P5820" t="n">
        <v>0</v>
      </c>
      <c r="Q5820" t="n">
        <v>0</v>
      </c>
      <c r="R5820" s="2" t="inlineStr"/>
    </row>
    <row r="5821" ht="15" customHeight="1">
      <c r="A5821" t="inlineStr">
        <is>
          <t>A 3693-2022</t>
        </is>
      </c>
      <c r="B5821" s="1" t="n">
        <v>44586.58008101852</v>
      </c>
      <c r="C5821" s="1" t="n">
        <v>45962</v>
      </c>
      <c r="D5821" t="inlineStr">
        <is>
          <t>JÖNKÖPINGS LÄN</t>
        </is>
      </c>
      <c r="E5821" t="inlineStr">
        <is>
          <t>NÄSSJÖ</t>
        </is>
      </c>
      <c r="G5821" t="n">
        <v>2.9</v>
      </c>
      <c r="H5821" t="n">
        <v>0</v>
      </c>
      <c r="I5821" t="n">
        <v>0</v>
      </c>
      <c r="J5821" t="n">
        <v>0</v>
      </c>
      <c r="K5821" t="n">
        <v>0</v>
      </c>
      <c r="L5821" t="n">
        <v>0</v>
      </c>
      <c r="M5821" t="n">
        <v>0</v>
      </c>
      <c r="N5821" t="n">
        <v>0</v>
      </c>
      <c r="O5821" t="n">
        <v>0</v>
      </c>
      <c r="P5821" t="n">
        <v>0</v>
      </c>
      <c r="Q5821" t="n">
        <v>0</v>
      </c>
      <c r="R5821" s="2" t="inlineStr"/>
    </row>
    <row r="5822" ht="15" customHeight="1">
      <c r="A5822" t="inlineStr">
        <is>
          <t>A 2672-2022</t>
        </is>
      </c>
      <c r="B5822" s="1" t="n">
        <v>44580.57619212963</v>
      </c>
      <c r="C5822" s="1" t="n">
        <v>45962</v>
      </c>
      <c r="D5822" t="inlineStr">
        <is>
          <t>JÖNKÖPINGS LÄN</t>
        </is>
      </c>
      <c r="E5822" t="inlineStr">
        <is>
          <t>VETLANDA</t>
        </is>
      </c>
      <c r="G5822" t="n">
        <v>1.9</v>
      </c>
      <c r="H5822" t="n">
        <v>0</v>
      </c>
      <c r="I5822" t="n">
        <v>0</v>
      </c>
      <c r="J5822" t="n">
        <v>0</v>
      </c>
      <c r="K5822" t="n">
        <v>0</v>
      </c>
      <c r="L5822" t="n">
        <v>0</v>
      </c>
      <c r="M5822" t="n">
        <v>0</v>
      </c>
      <c r="N5822" t="n">
        <v>0</v>
      </c>
      <c r="O5822" t="n">
        <v>0</v>
      </c>
      <c r="P5822" t="n">
        <v>0</v>
      </c>
      <c r="Q5822" t="n">
        <v>0</v>
      </c>
      <c r="R5822" s="2" t="inlineStr"/>
    </row>
    <row r="5823" ht="15" customHeight="1">
      <c r="A5823" t="inlineStr">
        <is>
          <t>A 6104-2025</t>
        </is>
      </c>
      <c r="B5823" s="1" t="n">
        <v>45697.95986111111</v>
      </c>
      <c r="C5823" s="1" t="n">
        <v>45962</v>
      </c>
      <c r="D5823" t="inlineStr">
        <is>
          <t>JÖNKÖPINGS LÄN</t>
        </is>
      </c>
      <c r="E5823" t="inlineStr">
        <is>
          <t>VAGGERYD</t>
        </is>
      </c>
      <c r="G5823" t="n">
        <v>5.6</v>
      </c>
      <c r="H5823" t="n">
        <v>0</v>
      </c>
      <c r="I5823" t="n">
        <v>0</v>
      </c>
      <c r="J5823" t="n">
        <v>0</v>
      </c>
      <c r="K5823" t="n">
        <v>0</v>
      </c>
      <c r="L5823" t="n">
        <v>0</v>
      </c>
      <c r="M5823" t="n">
        <v>0</v>
      </c>
      <c r="N5823" t="n">
        <v>0</v>
      </c>
      <c r="O5823" t="n">
        <v>0</v>
      </c>
      <c r="P5823" t="n">
        <v>0</v>
      </c>
      <c r="Q5823" t="n">
        <v>0</v>
      </c>
      <c r="R5823" s="2" t="inlineStr"/>
    </row>
    <row r="5824" ht="15" customHeight="1">
      <c r="A5824" t="inlineStr">
        <is>
          <t>A 60986-2021</t>
        </is>
      </c>
      <c r="B5824" s="1" t="n">
        <v>44497.59402777778</v>
      </c>
      <c r="C5824" s="1" t="n">
        <v>45962</v>
      </c>
      <c r="D5824" t="inlineStr">
        <is>
          <t>JÖNKÖPINGS LÄN</t>
        </is>
      </c>
      <c r="E5824" t="inlineStr">
        <is>
          <t>VETLANDA</t>
        </is>
      </c>
      <c r="G5824" t="n">
        <v>0.9</v>
      </c>
      <c r="H5824" t="n">
        <v>0</v>
      </c>
      <c r="I5824" t="n">
        <v>0</v>
      </c>
      <c r="J5824" t="n">
        <v>0</v>
      </c>
      <c r="K5824" t="n">
        <v>0</v>
      </c>
      <c r="L5824" t="n">
        <v>0</v>
      </c>
      <c r="M5824" t="n">
        <v>0</v>
      </c>
      <c r="N5824" t="n">
        <v>0</v>
      </c>
      <c r="O5824" t="n">
        <v>0</v>
      </c>
      <c r="P5824" t="n">
        <v>0</v>
      </c>
      <c r="Q5824" t="n">
        <v>0</v>
      </c>
      <c r="R5824" s="2" t="inlineStr"/>
    </row>
    <row r="5825" ht="15" customHeight="1">
      <c r="A5825" t="inlineStr">
        <is>
          <t>A 35027-2025</t>
        </is>
      </c>
      <c r="B5825" s="1" t="n">
        <v>45852.29333333333</v>
      </c>
      <c r="C5825" s="1" t="n">
        <v>45962</v>
      </c>
      <c r="D5825" t="inlineStr">
        <is>
          <t>JÖNKÖPINGS LÄN</t>
        </is>
      </c>
      <c r="E5825" t="inlineStr">
        <is>
          <t>VAGGERYD</t>
        </is>
      </c>
      <c r="G5825" t="n">
        <v>1.4</v>
      </c>
      <c r="H5825" t="n">
        <v>0</v>
      </c>
      <c r="I5825" t="n">
        <v>0</v>
      </c>
      <c r="J5825" t="n">
        <v>0</v>
      </c>
      <c r="K5825" t="n">
        <v>0</v>
      </c>
      <c r="L5825" t="n">
        <v>0</v>
      </c>
      <c r="M5825" t="n">
        <v>0</v>
      </c>
      <c r="N5825" t="n">
        <v>0</v>
      </c>
      <c r="O5825" t="n">
        <v>0</v>
      </c>
      <c r="P5825" t="n">
        <v>0</v>
      </c>
      <c r="Q5825" t="n">
        <v>0</v>
      </c>
      <c r="R5825" s="2" t="inlineStr"/>
    </row>
    <row r="5826" ht="15" customHeight="1">
      <c r="A5826" t="inlineStr">
        <is>
          <t>A 35050-2025</t>
        </is>
      </c>
      <c r="B5826" s="1" t="n">
        <v>45852.3605787037</v>
      </c>
      <c r="C5826" s="1" t="n">
        <v>45962</v>
      </c>
      <c r="D5826" t="inlineStr">
        <is>
          <t>JÖNKÖPINGS LÄN</t>
        </is>
      </c>
      <c r="E5826" t="inlineStr">
        <is>
          <t>VAGGERYD</t>
        </is>
      </c>
      <c r="G5826" t="n">
        <v>3.6</v>
      </c>
      <c r="H5826" t="n">
        <v>0</v>
      </c>
      <c r="I5826" t="n">
        <v>0</v>
      </c>
      <c r="J5826" t="n">
        <v>0</v>
      </c>
      <c r="K5826" t="n">
        <v>0</v>
      </c>
      <c r="L5826" t="n">
        <v>0</v>
      </c>
      <c r="M5826" t="n">
        <v>0</v>
      </c>
      <c r="N5826" t="n">
        <v>0</v>
      </c>
      <c r="O5826" t="n">
        <v>0</v>
      </c>
      <c r="P5826" t="n">
        <v>0</v>
      </c>
      <c r="Q5826" t="n">
        <v>0</v>
      </c>
      <c r="R5826" s="2" t="inlineStr"/>
    </row>
    <row r="5827" ht="15" customHeight="1">
      <c r="A5827" t="inlineStr">
        <is>
          <t>A 8021-2025</t>
        </is>
      </c>
      <c r="B5827" s="1" t="n">
        <v>45707.57689814815</v>
      </c>
      <c r="C5827" s="1" t="n">
        <v>45962</v>
      </c>
      <c r="D5827" t="inlineStr">
        <is>
          <t>JÖNKÖPINGS LÄN</t>
        </is>
      </c>
      <c r="E5827" t="inlineStr">
        <is>
          <t>ANEBY</t>
        </is>
      </c>
      <c r="G5827" t="n">
        <v>4.5</v>
      </c>
      <c r="H5827" t="n">
        <v>0</v>
      </c>
      <c r="I5827" t="n">
        <v>0</v>
      </c>
      <c r="J5827" t="n">
        <v>0</v>
      </c>
      <c r="K5827" t="n">
        <v>0</v>
      </c>
      <c r="L5827" t="n">
        <v>0</v>
      </c>
      <c r="M5827" t="n">
        <v>0</v>
      </c>
      <c r="N5827" t="n">
        <v>0</v>
      </c>
      <c r="O5827" t="n">
        <v>0</v>
      </c>
      <c r="P5827" t="n">
        <v>0</v>
      </c>
      <c r="Q5827" t="n">
        <v>0</v>
      </c>
      <c r="R5827" s="2" t="inlineStr"/>
    </row>
    <row r="5828" ht="15" customHeight="1">
      <c r="A5828" t="inlineStr">
        <is>
          <t>A 35036-2025</t>
        </is>
      </c>
      <c r="B5828" s="1" t="n">
        <v>45852.32833333333</v>
      </c>
      <c r="C5828" s="1" t="n">
        <v>45962</v>
      </c>
      <c r="D5828" t="inlineStr">
        <is>
          <t>JÖNKÖPINGS LÄN</t>
        </is>
      </c>
      <c r="E5828" t="inlineStr">
        <is>
          <t>GISLAVED</t>
        </is>
      </c>
      <c r="G5828" t="n">
        <v>0.7</v>
      </c>
      <c r="H5828" t="n">
        <v>0</v>
      </c>
      <c r="I5828" t="n">
        <v>0</v>
      </c>
      <c r="J5828" t="n">
        <v>0</v>
      </c>
      <c r="K5828" t="n">
        <v>0</v>
      </c>
      <c r="L5828" t="n">
        <v>0</v>
      </c>
      <c r="M5828" t="n">
        <v>0</v>
      </c>
      <c r="N5828" t="n">
        <v>0</v>
      </c>
      <c r="O5828" t="n">
        <v>0</v>
      </c>
      <c r="P5828" t="n">
        <v>0</v>
      </c>
      <c r="Q5828" t="n">
        <v>0</v>
      </c>
      <c r="R5828" s="2" t="inlineStr"/>
    </row>
    <row r="5829" ht="15" customHeight="1">
      <c r="A5829" t="inlineStr">
        <is>
          <t>A 35051-2025</t>
        </is>
      </c>
      <c r="B5829" s="1" t="n">
        <v>45852.36113425926</v>
      </c>
      <c r="C5829" s="1" t="n">
        <v>45962</v>
      </c>
      <c r="D5829" t="inlineStr">
        <is>
          <t>JÖNKÖPINGS LÄN</t>
        </is>
      </c>
      <c r="E5829" t="inlineStr">
        <is>
          <t>VAGGERYD</t>
        </is>
      </c>
      <c r="G5829" t="n">
        <v>5.5</v>
      </c>
      <c r="H5829" t="n">
        <v>0</v>
      </c>
      <c r="I5829" t="n">
        <v>0</v>
      </c>
      <c r="J5829" t="n">
        <v>0</v>
      </c>
      <c r="K5829" t="n">
        <v>0</v>
      </c>
      <c r="L5829" t="n">
        <v>0</v>
      </c>
      <c r="M5829" t="n">
        <v>0</v>
      </c>
      <c r="N5829" t="n">
        <v>0</v>
      </c>
      <c r="O5829" t="n">
        <v>0</v>
      </c>
      <c r="P5829" t="n">
        <v>0</v>
      </c>
      <c r="Q5829" t="n">
        <v>0</v>
      </c>
      <c r="R5829" s="2" t="inlineStr"/>
    </row>
    <row r="5830" ht="15" customHeight="1">
      <c r="A5830" t="inlineStr">
        <is>
          <t>A 644-2023</t>
        </is>
      </c>
      <c r="B5830" s="1" t="n">
        <v>44930.64086805555</v>
      </c>
      <c r="C5830" s="1" t="n">
        <v>45962</v>
      </c>
      <c r="D5830" t="inlineStr">
        <is>
          <t>JÖNKÖPINGS LÄN</t>
        </is>
      </c>
      <c r="E5830" t="inlineStr">
        <is>
          <t>TRANÅS</t>
        </is>
      </c>
      <c r="G5830" t="n">
        <v>2.1</v>
      </c>
      <c r="H5830" t="n">
        <v>0</v>
      </c>
      <c r="I5830" t="n">
        <v>0</v>
      </c>
      <c r="J5830" t="n">
        <v>0</v>
      </c>
      <c r="K5830" t="n">
        <v>0</v>
      </c>
      <c r="L5830" t="n">
        <v>0</v>
      </c>
      <c r="M5830" t="n">
        <v>0</v>
      </c>
      <c r="N5830" t="n">
        <v>0</v>
      </c>
      <c r="O5830" t="n">
        <v>0</v>
      </c>
      <c r="P5830" t="n">
        <v>0</v>
      </c>
      <c r="Q5830" t="n">
        <v>0</v>
      </c>
      <c r="R5830" s="2" t="inlineStr"/>
    </row>
    <row r="5831" ht="15" customHeight="1">
      <c r="A5831" t="inlineStr">
        <is>
          <t>A 16500-2025</t>
        </is>
      </c>
      <c r="B5831" s="1" t="n">
        <v>45751</v>
      </c>
      <c r="C5831" s="1" t="n">
        <v>45962</v>
      </c>
      <c r="D5831" t="inlineStr">
        <is>
          <t>JÖNKÖPINGS LÄN</t>
        </is>
      </c>
      <c r="E5831" t="inlineStr">
        <is>
          <t>JÖNKÖPING</t>
        </is>
      </c>
      <c r="F5831" t="inlineStr">
        <is>
          <t>Sveaskog</t>
        </is>
      </c>
      <c r="G5831" t="n">
        <v>3.5</v>
      </c>
      <c r="H5831" t="n">
        <v>0</v>
      </c>
      <c r="I5831" t="n">
        <v>0</v>
      </c>
      <c r="J5831" t="n">
        <v>0</v>
      </c>
      <c r="K5831" t="n">
        <v>0</v>
      </c>
      <c r="L5831" t="n">
        <v>0</v>
      </c>
      <c r="M5831" t="n">
        <v>0</v>
      </c>
      <c r="N5831" t="n">
        <v>0</v>
      </c>
      <c r="O5831" t="n">
        <v>0</v>
      </c>
      <c r="P5831" t="n">
        <v>0</v>
      </c>
      <c r="Q5831" t="n">
        <v>0</v>
      </c>
      <c r="R5831" s="2" t="inlineStr"/>
    </row>
    <row r="5832" ht="15" customHeight="1">
      <c r="A5832" t="inlineStr">
        <is>
          <t>A 3703-2025</t>
        </is>
      </c>
      <c r="B5832" s="1" t="n">
        <v>45681.48793981481</v>
      </c>
      <c r="C5832" s="1" t="n">
        <v>45962</v>
      </c>
      <c r="D5832" t="inlineStr">
        <is>
          <t>JÖNKÖPINGS LÄN</t>
        </is>
      </c>
      <c r="E5832" t="inlineStr">
        <is>
          <t>JÖNKÖPING</t>
        </is>
      </c>
      <c r="G5832" t="n">
        <v>6.9</v>
      </c>
      <c r="H5832" t="n">
        <v>0</v>
      </c>
      <c r="I5832" t="n">
        <v>0</v>
      </c>
      <c r="J5832" t="n">
        <v>0</v>
      </c>
      <c r="K5832" t="n">
        <v>0</v>
      </c>
      <c r="L5832" t="n">
        <v>0</v>
      </c>
      <c r="M5832" t="n">
        <v>0</v>
      </c>
      <c r="N5832" t="n">
        <v>0</v>
      </c>
      <c r="O5832" t="n">
        <v>0</v>
      </c>
      <c r="P5832" t="n">
        <v>0</v>
      </c>
      <c r="Q5832" t="n">
        <v>0</v>
      </c>
      <c r="R5832" s="2" t="inlineStr"/>
    </row>
    <row r="5833" ht="15" customHeight="1">
      <c r="A5833" t="inlineStr">
        <is>
          <t>A 35006-2025</t>
        </is>
      </c>
      <c r="B5833" s="1" t="n">
        <v>45851.40002314815</v>
      </c>
      <c r="C5833" s="1" t="n">
        <v>45962</v>
      </c>
      <c r="D5833" t="inlineStr">
        <is>
          <t>JÖNKÖPINGS LÄN</t>
        </is>
      </c>
      <c r="E5833" t="inlineStr">
        <is>
          <t>VÄRNAMO</t>
        </is>
      </c>
      <c r="G5833" t="n">
        <v>0.9</v>
      </c>
      <c r="H5833" t="n">
        <v>0</v>
      </c>
      <c r="I5833" t="n">
        <v>0</v>
      </c>
      <c r="J5833" t="n">
        <v>0</v>
      </c>
      <c r="K5833" t="n">
        <v>0</v>
      </c>
      <c r="L5833" t="n">
        <v>0</v>
      </c>
      <c r="M5833" t="n">
        <v>0</v>
      </c>
      <c r="N5833" t="n">
        <v>0</v>
      </c>
      <c r="O5833" t="n">
        <v>0</v>
      </c>
      <c r="P5833" t="n">
        <v>0</v>
      </c>
      <c r="Q5833" t="n">
        <v>0</v>
      </c>
      <c r="R5833" s="2" t="inlineStr"/>
    </row>
    <row r="5834" ht="15" customHeight="1">
      <c r="A5834" t="inlineStr">
        <is>
          <t>A 39155-2021</t>
        </is>
      </c>
      <c r="B5834" s="1" t="n">
        <v>44412.7071875</v>
      </c>
      <c r="C5834" s="1" t="n">
        <v>45962</v>
      </c>
      <c r="D5834" t="inlineStr">
        <is>
          <t>JÖNKÖPINGS LÄN</t>
        </is>
      </c>
      <c r="E5834" t="inlineStr">
        <is>
          <t>JÖNKÖPING</t>
        </is>
      </c>
      <c r="G5834" t="n">
        <v>4.6</v>
      </c>
      <c r="H5834" t="n">
        <v>0</v>
      </c>
      <c r="I5834" t="n">
        <v>0</v>
      </c>
      <c r="J5834" t="n">
        <v>0</v>
      </c>
      <c r="K5834" t="n">
        <v>0</v>
      </c>
      <c r="L5834" t="n">
        <v>0</v>
      </c>
      <c r="M5834" t="n">
        <v>0</v>
      </c>
      <c r="N5834" t="n">
        <v>0</v>
      </c>
      <c r="O5834" t="n">
        <v>0</v>
      </c>
      <c r="P5834" t="n">
        <v>0</v>
      </c>
      <c r="Q5834" t="n">
        <v>0</v>
      </c>
      <c r="R5834" s="2" t="inlineStr"/>
    </row>
    <row r="5835" ht="15" customHeight="1">
      <c r="A5835" t="inlineStr">
        <is>
          <t>A 71512-2021</t>
        </is>
      </c>
      <c r="B5835" s="1" t="n">
        <v>44540.58988425926</v>
      </c>
      <c r="C5835" s="1" t="n">
        <v>45962</v>
      </c>
      <c r="D5835" t="inlineStr">
        <is>
          <t>JÖNKÖPINGS LÄN</t>
        </is>
      </c>
      <c r="E5835" t="inlineStr">
        <is>
          <t>VAGGERYD</t>
        </is>
      </c>
      <c r="G5835" t="n">
        <v>1</v>
      </c>
      <c r="H5835" t="n">
        <v>0</v>
      </c>
      <c r="I5835" t="n">
        <v>0</v>
      </c>
      <c r="J5835" t="n">
        <v>0</v>
      </c>
      <c r="K5835" t="n">
        <v>0</v>
      </c>
      <c r="L5835" t="n">
        <v>0</v>
      </c>
      <c r="M5835" t="n">
        <v>0</v>
      </c>
      <c r="N5835" t="n">
        <v>0</v>
      </c>
      <c r="O5835" t="n">
        <v>0</v>
      </c>
      <c r="P5835" t="n">
        <v>0</v>
      </c>
      <c r="Q5835" t="n">
        <v>0</v>
      </c>
      <c r="R5835" s="2" t="inlineStr"/>
    </row>
    <row r="5836" ht="15" customHeight="1">
      <c r="A5836" t="inlineStr">
        <is>
          <t>A 35028-2025</t>
        </is>
      </c>
      <c r="B5836" s="1" t="n">
        <v>45852.29828703704</v>
      </c>
      <c r="C5836" s="1" t="n">
        <v>45962</v>
      </c>
      <c r="D5836" t="inlineStr">
        <is>
          <t>JÖNKÖPINGS LÄN</t>
        </is>
      </c>
      <c r="E5836" t="inlineStr">
        <is>
          <t>GISLAVED</t>
        </is>
      </c>
      <c r="G5836" t="n">
        <v>2.3</v>
      </c>
      <c r="H5836" t="n">
        <v>0</v>
      </c>
      <c r="I5836" t="n">
        <v>0</v>
      </c>
      <c r="J5836" t="n">
        <v>0</v>
      </c>
      <c r="K5836" t="n">
        <v>0</v>
      </c>
      <c r="L5836" t="n">
        <v>0</v>
      </c>
      <c r="M5836" t="n">
        <v>0</v>
      </c>
      <c r="N5836" t="n">
        <v>0</v>
      </c>
      <c r="O5836" t="n">
        <v>0</v>
      </c>
      <c r="P5836" t="n">
        <v>0</v>
      </c>
      <c r="Q5836" t="n">
        <v>0</v>
      </c>
      <c r="R5836" s="2" t="inlineStr"/>
    </row>
    <row r="5837" ht="15" customHeight="1">
      <c r="A5837" t="inlineStr">
        <is>
          <t>A 35030-2025</t>
        </is>
      </c>
      <c r="B5837" s="1" t="n">
        <v>45852.30276620371</v>
      </c>
      <c r="C5837" s="1" t="n">
        <v>45962</v>
      </c>
      <c r="D5837" t="inlineStr">
        <is>
          <t>JÖNKÖPINGS LÄN</t>
        </is>
      </c>
      <c r="E5837" t="inlineStr">
        <is>
          <t>GNOSJÖ</t>
        </is>
      </c>
      <c r="G5837" t="n">
        <v>2.9</v>
      </c>
      <c r="H5837" t="n">
        <v>0</v>
      </c>
      <c r="I5837" t="n">
        <v>0</v>
      </c>
      <c r="J5837" t="n">
        <v>0</v>
      </c>
      <c r="K5837" t="n">
        <v>0</v>
      </c>
      <c r="L5837" t="n">
        <v>0</v>
      </c>
      <c r="M5837" t="n">
        <v>0</v>
      </c>
      <c r="N5837" t="n">
        <v>0</v>
      </c>
      <c r="O5837" t="n">
        <v>0</v>
      </c>
      <c r="P5837" t="n">
        <v>0</v>
      </c>
      <c r="Q5837" t="n">
        <v>0</v>
      </c>
      <c r="R5837" s="2" t="inlineStr"/>
    </row>
    <row r="5838" ht="15" customHeight="1">
      <c r="A5838" t="inlineStr">
        <is>
          <t>A 35034-2025</t>
        </is>
      </c>
      <c r="B5838" s="1" t="n">
        <v>45852.31815972222</v>
      </c>
      <c r="C5838" s="1" t="n">
        <v>45962</v>
      </c>
      <c r="D5838" t="inlineStr">
        <is>
          <t>JÖNKÖPINGS LÄN</t>
        </is>
      </c>
      <c r="E5838" t="inlineStr">
        <is>
          <t>GISLAVED</t>
        </is>
      </c>
      <c r="G5838" t="n">
        <v>0.7</v>
      </c>
      <c r="H5838" t="n">
        <v>0</v>
      </c>
      <c r="I5838" t="n">
        <v>0</v>
      </c>
      <c r="J5838" t="n">
        <v>0</v>
      </c>
      <c r="K5838" t="n">
        <v>0</v>
      </c>
      <c r="L5838" t="n">
        <v>0</v>
      </c>
      <c r="M5838" t="n">
        <v>0</v>
      </c>
      <c r="N5838" t="n">
        <v>0</v>
      </c>
      <c r="O5838" t="n">
        <v>0</v>
      </c>
      <c r="P5838" t="n">
        <v>0</v>
      </c>
      <c r="Q5838" t="n">
        <v>0</v>
      </c>
      <c r="R5838" s="2" t="inlineStr"/>
    </row>
    <row r="5839" ht="15" customHeight="1">
      <c r="A5839" t="inlineStr">
        <is>
          <t>A 16801-2025</t>
        </is>
      </c>
      <c r="B5839" s="1" t="n">
        <v>45754.61956018519</v>
      </c>
      <c r="C5839" s="1" t="n">
        <v>45962</v>
      </c>
      <c r="D5839" t="inlineStr">
        <is>
          <t>JÖNKÖPINGS LÄN</t>
        </is>
      </c>
      <c r="E5839" t="inlineStr">
        <is>
          <t>VETLANDA</t>
        </is>
      </c>
      <c r="F5839" t="inlineStr">
        <is>
          <t>Sveaskog</t>
        </is>
      </c>
      <c r="G5839" t="n">
        <v>4.2</v>
      </c>
      <c r="H5839" t="n">
        <v>0</v>
      </c>
      <c r="I5839" t="n">
        <v>0</v>
      </c>
      <c r="J5839" t="n">
        <v>0</v>
      </c>
      <c r="K5839" t="n">
        <v>0</v>
      </c>
      <c r="L5839" t="n">
        <v>0</v>
      </c>
      <c r="M5839" t="n">
        <v>0</v>
      </c>
      <c r="N5839" t="n">
        <v>0</v>
      </c>
      <c r="O5839" t="n">
        <v>0</v>
      </c>
      <c r="P5839" t="n">
        <v>0</v>
      </c>
      <c r="Q5839" t="n">
        <v>0</v>
      </c>
      <c r="R5839" s="2" t="inlineStr"/>
    </row>
    <row r="5840" ht="15" customHeight="1">
      <c r="A5840" t="inlineStr">
        <is>
          <t>A 35109-2025</t>
        </is>
      </c>
      <c r="B5840" s="1" t="n">
        <v>45852.57663194444</v>
      </c>
      <c r="C5840" s="1" t="n">
        <v>45962</v>
      </c>
      <c r="D5840" t="inlineStr">
        <is>
          <t>JÖNKÖPINGS LÄN</t>
        </is>
      </c>
      <c r="E5840" t="inlineStr">
        <is>
          <t>VETLANDA</t>
        </is>
      </c>
      <c r="G5840" t="n">
        <v>2.6</v>
      </c>
      <c r="H5840" t="n">
        <v>0</v>
      </c>
      <c r="I5840" t="n">
        <v>0</v>
      </c>
      <c r="J5840" t="n">
        <v>0</v>
      </c>
      <c r="K5840" t="n">
        <v>0</v>
      </c>
      <c r="L5840" t="n">
        <v>0</v>
      </c>
      <c r="M5840" t="n">
        <v>0</v>
      </c>
      <c r="N5840" t="n">
        <v>0</v>
      </c>
      <c r="O5840" t="n">
        <v>0</v>
      </c>
      <c r="P5840" t="n">
        <v>0</v>
      </c>
      <c r="Q5840" t="n">
        <v>0</v>
      </c>
      <c r="R5840" s="2" t="inlineStr"/>
    </row>
    <row r="5841" ht="15" customHeight="1">
      <c r="A5841" t="inlineStr">
        <is>
          <t>A 49490-2023</t>
        </is>
      </c>
      <c r="B5841" s="1" t="n">
        <v>45211.55890046297</v>
      </c>
      <c r="C5841" s="1" t="n">
        <v>45962</v>
      </c>
      <c r="D5841" t="inlineStr">
        <is>
          <t>JÖNKÖPINGS LÄN</t>
        </is>
      </c>
      <c r="E5841" t="inlineStr">
        <is>
          <t>GISLAVED</t>
        </is>
      </c>
      <c r="G5841" t="n">
        <v>1.1</v>
      </c>
      <c r="H5841" t="n">
        <v>0</v>
      </c>
      <c r="I5841" t="n">
        <v>0</v>
      </c>
      <c r="J5841" t="n">
        <v>0</v>
      </c>
      <c r="K5841" t="n">
        <v>0</v>
      </c>
      <c r="L5841" t="n">
        <v>0</v>
      </c>
      <c r="M5841" t="n">
        <v>0</v>
      </c>
      <c r="N5841" t="n">
        <v>0</v>
      </c>
      <c r="O5841" t="n">
        <v>0</v>
      </c>
      <c r="P5841" t="n">
        <v>0</v>
      </c>
      <c r="Q5841" t="n">
        <v>0</v>
      </c>
      <c r="R5841" s="2" t="inlineStr"/>
    </row>
    <row r="5842" ht="15" customHeight="1">
      <c r="A5842" t="inlineStr">
        <is>
          <t>A 49521-2023</t>
        </is>
      </c>
      <c r="B5842" s="1" t="n">
        <v>45211.5902662037</v>
      </c>
      <c r="C5842" s="1" t="n">
        <v>45962</v>
      </c>
      <c r="D5842" t="inlineStr">
        <is>
          <t>JÖNKÖPINGS LÄN</t>
        </is>
      </c>
      <c r="E5842" t="inlineStr">
        <is>
          <t>VAGGERYD</t>
        </is>
      </c>
      <c r="F5842" t="inlineStr">
        <is>
          <t>Sveaskog</t>
        </is>
      </c>
      <c r="G5842" t="n">
        <v>1.9</v>
      </c>
      <c r="H5842" t="n">
        <v>0</v>
      </c>
      <c r="I5842" t="n">
        <v>0</v>
      </c>
      <c r="J5842" t="n">
        <v>0</v>
      </c>
      <c r="K5842" t="n">
        <v>0</v>
      </c>
      <c r="L5842" t="n">
        <v>0</v>
      </c>
      <c r="M5842" t="n">
        <v>0</v>
      </c>
      <c r="N5842" t="n">
        <v>0</v>
      </c>
      <c r="O5842" t="n">
        <v>0</v>
      </c>
      <c r="P5842" t="n">
        <v>0</v>
      </c>
      <c r="Q5842" t="n">
        <v>0</v>
      </c>
      <c r="R5842" s="2" t="inlineStr"/>
    </row>
    <row r="5843" ht="15" customHeight="1">
      <c r="A5843" t="inlineStr">
        <is>
          <t>A 8057-2023</t>
        </is>
      </c>
      <c r="B5843" s="1" t="n">
        <v>44974.34145833334</v>
      </c>
      <c r="C5843" s="1" t="n">
        <v>45962</v>
      </c>
      <c r="D5843" t="inlineStr">
        <is>
          <t>JÖNKÖPINGS LÄN</t>
        </is>
      </c>
      <c r="E5843" t="inlineStr">
        <is>
          <t>EKSJÖ</t>
        </is>
      </c>
      <c r="F5843" t="inlineStr">
        <is>
          <t>Sveaskog</t>
        </is>
      </c>
      <c r="G5843" t="n">
        <v>1.4</v>
      </c>
      <c r="H5843" t="n">
        <v>0</v>
      </c>
      <c r="I5843" t="n">
        <v>0</v>
      </c>
      <c r="J5843" t="n">
        <v>0</v>
      </c>
      <c r="K5843" t="n">
        <v>0</v>
      </c>
      <c r="L5843" t="n">
        <v>0</v>
      </c>
      <c r="M5843" t="n">
        <v>0</v>
      </c>
      <c r="N5843" t="n">
        <v>0</v>
      </c>
      <c r="O5843" t="n">
        <v>0</v>
      </c>
      <c r="P5843" t="n">
        <v>0</v>
      </c>
      <c r="Q5843" t="n">
        <v>0</v>
      </c>
      <c r="R5843" s="2" t="inlineStr"/>
    </row>
    <row r="5844" ht="15" customHeight="1">
      <c r="A5844" t="inlineStr">
        <is>
          <t>A 20423-2025</t>
        </is>
      </c>
      <c r="B5844" s="1" t="n">
        <v>45775.47288194444</v>
      </c>
      <c r="C5844" s="1" t="n">
        <v>45962</v>
      </c>
      <c r="D5844" t="inlineStr">
        <is>
          <t>JÖNKÖPINGS LÄN</t>
        </is>
      </c>
      <c r="E5844" t="inlineStr">
        <is>
          <t>GISLAVED</t>
        </is>
      </c>
      <c r="G5844" t="n">
        <v>6.8</v>
      </c>
      <c r="H5844" t="n">
        <v>0</v>
      </c>
      <c r="I5844" t="n">
        <v>0</v>
      </c>
      <c r="J5844" t="n">
        <v>0</v>
      </c>
      <c r="K5844" t="n">
        <v>0</v>
      </c>
      <c r="L5844" t="n">
        <v>0</v>
      </c>
      <c r="M5844" t="n">
        <v>0</v>
      </c>
      <c r="N5844" t="n">
        <v>0</v>
      </c>
      <c r="O5844" t="n">
        <v>0</v>
      </c>
      <c r="P5844" t="n">
        <v>0</v>
      </c>
      <c r="Q5844" t="n">
        <v>0</v>
      </c>
      <c r="R5844" s="2" t="inlineStr"/>
    </row>
    <row r="5845" ht="15" customHeight="1">
      <c r="A5845" t="inlineStr">
        <is>
          <t>A 25555-2023</t>
        </is>
      </c>
      <c r="B5845" s="1" t="n">
        <v>45089.59394675926</v>
      </c>
      <c r="C5845" s="1" t="n">
        <v>45962</v>
      </c>
      <c r="D5845" t="inlineStr">
        <is>
          <t>JÖNKÖPINGS LÄN</t>
        </is>
      </c>
      <c r="E5845" t="inlineStr">
        <is>
          <t>VETLANDA</t>
        </is>
      </c>
      <c r="G5845" t="n">
        <v>0.9</v>
      </c>
      <c r="H5845" t="n">
        <v>0</v>
      </c>
      <c r="I5845" t="n">
        <v>0</v>
      </c>
      <c r="J5845" t="n">
        <v>0</v>
      </c>
      <c r="K5845" t="n">
        <v>0</v>
      </c>
      <c r="L5845" t="n">
        <v>0</v>
      </c>
      <c r="M5845" t="n">
        <v>0</v>
      </c>
      <c r="N5845" t="n">
        <v>0</v>
      </c>
      <c r="O5845" t="n">
        <v>0</v>
      </c>
      <c r="P5845" t="n">
        <v>0</v>
      </c>
      <c r="Q5845" t="n">
        <v>0</v>
      </c>
      <c r="R5845" s="2" t="inlineStr"/>
    </row>
    <row r="5846" ht="15" customHeight="1">
      <c r="A5846" t="inlineStr">
        <is>
          <t>A 33613-2025</t>
        </is>
      </c>
      <c r="B5846" s="1" t="n">
        <v>45841.62033564815</v>
      </c>
      <c r="C5846" s="1" t="n">
        <v>45962</v>
      </c>
      <c r="D5846" t="inlineStr">
        <is>
          <t>JÖNKÖPINGS LÄN</t>
        </is>
      </c>
      <c r="E5846" t="inlineStr">
        <is>
          <t>VAGGERYD</t>
        </is>
      </c>
      <c r="G5846" t="n">
        <v>3.9</v>
      </c>
      <c r="H5846" t="n">
        <v>0</v>
      </c>
      <c r="I5846" t="n">
        <v>0</v>
      </c>
      <c r="J5846" t="n">
        <v>0</v>
      </c>
      <c r="K5846" t="n">
        <v>0</v>
      </c>
      <c r="L5846" t="n">
        <v>0</v>
      </c>
      <c r="M5846" t="n">
        <v>0</v>
      </c>
      <c r="N5846" t="n">
        <v>0</v>
      </c>
      <c r="O5846" t="n">
        <v>0</v>
      </c>
      <c r="P5846" t="n">
        <v>0</v>
      </c>
      <c r="Q5846" t="n">
        <v>0</v>
      </c>
      <c r="R5846" s="2" t="inlineStr"/>
    </row>
    <row r="5847" ht="15" customHeight="1">
      <c r="A5847" t="inlineStr">
        <is>
          <t>A 65611-2020</t>
        </is>
      </c>
      <c r="B5847" s="1" t="n">
        <v>44173</v>
      </c>
      <c r="C5847" s="1" t="n">
        <v>45962</v>
      </c>
      <c r="D5847" t="inlineStr">
        <is>
          <t>JÖNKÖPINGS LÄN</t>
        </is>
      </c>
      <c r="E5847" t="inlineStr">
        <is>
          <t>NÄSSJÖ</t>
        </is>
      </c>
      <c r="G5847" t="n">
        <v>2.9</v>
      </c>
      <c r="H5847" t="n">
        <v>0</v>
      </c>
      <c r="I5847" t="n">
        <v>0</v>
      </c>
      <c r="J5847" t="n">
        <v>0</v>
      </c>
      <c r="K5847" t="n">
        <v>0</v>
      </c>
      <c r="L5847" t="n">
        <v>0</v>
      </c>
      <c r="M5847" t="n">
        <v>0</v>
      </c>
      <c r="N5847" t="n">
        <v>0</v>
      </c>
      <c r="O5847" t="n">
        <v>0</v>
      </c>
      <c r="P5847" t="n">
        <v>0</v>
      </c>
      <c r="Q5847" t="n">
        <v>0</v>
      </c>
      <c r="R5847" s="2" t="inlineStr"/>
    </row>
    <row r="5848" ht="15" customHeight="1">
      <c r="A5848" t="inlineStr">
        <is>
          <t>A 3439-2024</t>
        </is>
      </c>
      <c r="B5848" s="1" t="n">
        <v>45320.37047453703</v>
      </c>
      <c r="C5848" s="1" t="n">
        <v>45962</v>
      </c>
      <c r="D5848" t="inlineStr">
        <is>
          <t>JÖNKÖPINGS LÄN</t>
        </is>
      </c>
      <c r="E5848" t="inlineStr">
        <is>
          <t>GISLAVED</t>
        </is>
      </c>
      <c r="G5848" t="n">
        <v>1.4</v>
      </c>
      <c r="H5848" t="n">
        <v>0</v>
      </c>
      <c r="I5848" t="n">
        <v>0</v>
      </c>
      <c r="J5848" t="n">
        <v>0</v>
      </c>
      <c r="K5848" t="n">
        <v>0</v>
      </c>
      <c r="L5848" t="n">
        <v>0</v>
      </c>
      <c r="M5848" t="n">
        <v>0</v>
      </c>
      <c r="N5848" t="n">
        <v>0</v>
      </c>
      <c r="O5848" t="n">
        <v>0</v>
      </c>
      <c r="P5848" t="n">
        <v>0</v>
      </c>
      <c r="Q5848" t="n">
        <v>0</v>
      </c>
      <c r="R5848" s="2" t="inlineStr"/>
    </row>
    <row r="5849" ht="15" customHeight="1">
      <c r="A5849" t="inlineStr">
        <is>
          <t>A 5888-2024</t>
        </is>
      </c>
      <c r="B5849" s="1" t="n">
        <v>45335.7203125</v>
      </c>
      <c r="C5849" s="1" t="n">
        <v>45962</v>
      </c>
      <c r="D5849" t="inlineStr">
        <is>
          <t>JÖNKÖPINGS LÄN</t>
        </is>
      </c>
      <c r="E5849" t="inlineStr">
        <is>
          <t>NÄSSJÖ</t>
        </is>
      </c>
      <c r="G5849" t="n">
        <v>1.2</v>
      </c>
      <c r="H5849" t="n">
        <v>0</v>
      </c>
      <c r="I5849" t="n">
        <v>0</v>
      </c>
      <c r="J5849" t="n">
        <v>0</v>
      </c>
      <c r="K5849" t="n">
        <v>0</v>
      </c>
      <c r="L5849" t="n">
        <v>0</v>
      </c>
      <c r="M5849" t="n">
        <v>0</v>
      </c>
      <c r="N5849" t="n">
        <v>0</v>
      </c>
      <c r="O5849" t="n">
        <v>0</v>
      </c>
      <c r="P5849" t="n">
        <v>0</v>
      </c>
      <c r="Q5849" t="n">
        <v>0</v>
      </c>
      <c r="R5849" s="2" t="inlineStr"/>
    </row>
    <row r="5850" ht="15" customHeight="1">
      <c r="A5850" t="inlineStr">
        <is>
          <t>A 35107-2025</t>
        </is>
      </c>
      <c r="B5850" s="1" t="n">
        <v>45852.57219907407</v>
      </c>
      <c r="C5850" s="1" t="n">
        <v>45962</v>
      </c>
      <c r="D5850" t="inlineStr">
        <is>
          <t>JÖNKÖPINGS LÄN</t>
        </is>
      </c>
      <c r="E5850" t="inlineStr">
        <is>
          <t>VETLANDA</t>
        </is>
      </c>
      <c r="G5850" t="n">
        <v>1.1</v>
      </c>
      <c r="H5850" t="n">
        <v>0</v>
      </c>
      <c r="I5850" t="n">
        <v>0</v>
      </c>
      <c r="J5850" t="n">
        <v>0</v>
      </c>
      <c r="K5850" t="n">
        <v>0</v>
      </c>
      <c r="L5850" t="n">
        <v>0</v>
      </c>
      <c r="M5850" t="n">
        <v>0</v>
      </c>
      <c r="N5850" t="n">
        <v>0</v>
      </c>
      <c r="O5850" t="n">
        <v>0</v>
      </c>
      <c r="P5850" t="n">
        <v>0</v>
      </c>
      <c r="Q5850" t="n">
        <v>0</v>
      </c>
      <c r="R5850" s="2" t="inlineStr"/>
    </row>
    <row r="5851" ht="15" customHeight="1">
      <c r="A5851" t="inlineStr">
        <is>
          <t>A 35045-2025</t>
        </is>
      </c>
      <c r="B5851" s="1" t="n">
        <v>45852.34857638889</v>
      </c>
      <c r="C5851" s="1" t="n">
        <v>45962</v>
      </c>
      <c r="D5851" t="inlineStr">
        <is>
          <t>JÖNKÖPINGS LÄN</t>
        </is>
      </c>
      <c r="E5851" t="inlineStr">
        <is>
          <t>GISLAVED</t>
        </is>
      </c>
      <c r="G5851" t="n">
        <v>3.1</v>
      </c>
      <c r="H5851" t="n">
        <v>0</v>
      </c>
      <c r="I5851" t="n">
        <v>0</v>
      </c>
      <c r="J5851" t="n">
        <v>0</v>
      </c>
      <c r="K5851" t="n">
        <v>0</v>
      </c>
      <c r="L5851" t="n">
        <v>0</v>
      </c>
      <c r="M5851" t="n">
        <v>0</v>
      </c>
      <c r="N5851" t="n">
        <v>0</v>
      </c>
      <c r="O5851" t="n">
        <v>0</v>
      </c>
      <c r="P5851" t="n">
        <v>0</v>
      </c>
      <c r="Q5851" t="n">
        <v>0</v>
      </c>
      <c r="R5851" s="2" t="inlineStr"/>
    </row>
    <row r="5852" ht="15" customHeight="1">
      <c r="A5852" t="inlineStr">
        <is>
          <t>A 52173-2024</t>
        </is>
      </c>
      <c r="B5852" s="1" t="n">
        <v>45608.54987268519</v>
      </c>
      <c r="C5852" s="1" t="n">
        <v>45962</v>
      </c>
      <c r="D5852" t="inlineStr">
        <is>
          <t>JÖNKÖPINGS LÄN</t>
        </is>
      </c>
      <c r="E5852" t="inlineStr">
        <is>
          <t>VETLANDA</t>
        </is>
      </c>
      <c r="G5852" t="n">
        <v>0.7</v>
      </c>
      <c r="H5852" t="n">
        <v>0</v>
      </c>
      <c r="I5852" t="n">
        <v>0</v>
      </c>
      <c r="J5852" t="n">
        <v>0</v>
      </c>
      <c r="K5852" t="n">
        <v>0</v>
      </c>
      <c r="L5852" t="n">
        <v>0</v>
      </c>
      <c r="M5852" t="n">
        <v>0</v>
      </c>
      <c r="N5852" t="n">
        <v>0</v>
      </c>
      <c r="O5852" t="n">
        <v>0</v>
      </c>
      <c r="P5852" t="n">
        <v>0</v>
      </c>
      <c r="Q5852" t="n">
        <v>0</v>
      </c>
      <c r="R5852" s="2" t="inlineStr"/>
    </row>
    <row r="5853" ht="15" customHeight="1">
      <c r="A5853" t="inlineStr">
        <is>
          <t>A 35049-2025</t>
        </is>
      </c>
      <c r="B5853" s="1" t="n">
        <v>45852.35935185185</v>
      </c>
      <c r="C5853" s="1" t="n">
        <v>45962</v>
      </c>
      <c r="D5853" t="inlineStr">
        <is>
          <t>JÖNKÖPINGS LÄN</t>
        </is>
      </c>
      <c r="E5853" t="inlineStr">
        <is>
          <t>GISLAVED</t>
        </is>
      </c>
      <c r="G5853" t="n">
        <v>4.3</v>
      </c>
      <c r="H5853" t="n">
        <v>0</v>
      </c>
      <c r="I5853" t="n">
        <v>0</v>
      </c>
      <c r="J5853" t="n">
        <v>0</v>
      </c>
      <c r="K5853" t="n">
        <v>0</v>
      </c>
      <c r="L5853" t="n">
        <v>0</v>
      </c>
      <c r="M5853" t="n">
        <v>0</v>
      </c>
      <c r="N5853" t="n">
        <v>0</v>
      </c>
      <c r="O5853" t="n">
        <v>0</v>
      </c>
      <c r="P5853" t="n">
        <v>0</v>
      </c>
      <c r="Q5853" t="n">
        <v>0</v>
      </c>
      <c r="R5853" s="2" t="inlineStr"/>
    </row>
    <row r="5854" ht="15" customHeight="1">
      <c r="A5854" t="inlineStr">
        <is>
          <t>A 36751-2021</t>
        </is>
      </c>
      <c r="B5854" s="1" t="n">
        <v>44392.6381712963</v>
      </c>
      <c r="C5854" s="1" t="n">
        <v>45962</v>
      </c>
      <c r="D5854" t="inlineStr">
        <is>
          <t>JÖNKÖPINGS LÄN</t>
        </is>
      </c>
      <c r="E5854" t="inlineStr">
        <is>
          <t>VETLANDA</t>
        </is>
      </c>
      <c r="G5854" t="n">
        <v>4.7</v>
      </c>
      <c r="H5854" t="n">
        <v>0</v>
      </c>
      <c r="I5854" t="n">
        <v>0</v>
      </c>
      <c r="J5854" t="n">
        <v>0</v>
      </c>
      <c r="K5854" t="n">
        <v>0</v>
      </c>
      <c r="L5854" t="n">
        <v>0</v>
      </c>
      <c r="M5854" t="n">
        <v>0</v>
      </c>
      <c r="N5854" t="n">
        <v>0</v>
      </c>
      <c r="O5854" t="n">
        <v>0</v>
      </c>
      <c r="P5854" t="n">
        <v>0</v>
      </c>
      <c r="Q5854" t="n">
        <v>0</v>
      </c>
      <c r="R5854" s="2" t="inlineStr"/>
    </row>
    <row r="5855" ht="15" customHeight="1">
      <c r="A5855" t="inlineStr">
        <is>
          <t>A 62332-2022</t>
        </is>
      </c>
      <c r="B5855" s="1" t="n">
        <v>44923.55936342593</v>
      </c>
      <c r="C5855" s="1" t="n">
        <v>45962</v>
      </c>
      <c r="D5855" t="inlineStr">
        <is>
          <t>JÖNKÖPINGS LÄN</t>
        </is>
      </c>
      <c r="E5855" t="inlineStr">
        <is>
          <t>JÖNKÖPING</t>
        </is>
      </c>
      <c r="G5855" t="n">
        <v>2.2</v>
      </c>
      <c r="H5855" t="n">
        <v>0</v>
      </c>
      <c r="I5855" t="n">
        <v>0</v>
      </c>
      <c r="J5855" t="n">
        <v>0</v>
      </c>
      <c r="K5855" t="n">
        <v>0</v>
      </c>
      <c r="L5855" t="n">
        <v>0</v>
      </c>
      <c r="M5855" t="n">
        <v>0</v>
      </c>
      <c r="N5855" t="n">
        <v>0</v>
      </c>
      <c r="O5855" t="n">
        <v>0</v>
      </c>
      <c r="P5855" t="n">
        <v>0</v>
      </c>
      <c r="Q5855" t="n">
        <v>0</v>
      </c>
      <c r="R5855" s="2" t="inlineStr"/>
    </row>
    <row r="5856" ht="15" customHeight="1">
      <c r="A5856" t="inlineStr">
        <is>
          <t>A 35007-2025</t>
        </is>
      </c>
      <c r="B5856" s="1" t="n">
        <v>45851.40489583334</v>
      </c>
      <c r="C5856" s="1" t="n">
        <v>45962</v>
      </c>
      <c r="D5856" t="inlineStr">
        <is>
          <t>JÖNKÖPINGS LÄN</t>
        </is>
      </c>
      <c r="E5856" t="inlineStr">
        <is>
          <t>VÄRNAMO</t>
        </is>
      </c>
      <c r="G5856" t="n">
        <v>1.1</v>
      </c>
      <c r="H5856" t="n">
        <v>0</v>
      </c>
      <c r="I5856" t="n">
        <v>0</v>
      </c>
      <c r="J5856" t="n">
        <v>0</v>
      </c>
      <c r="K5856" t="n">
        <v>0</v>
      </c>
      <c r="L5856" t="n">
        <v>0</v>
      </c>
      <c r="M5856" t="n">
        <v>0</v>
      </c>
      <c r="N5856" t="n">
        <v>0</v>
      </c>
      <c r="O5856" t="n">
        <v>0</v>
      </c>
      <c r="P5856" t="n">
        <v>0</v>
      </c>
      <c r="Q5856" t="n">
        <v>0</v>
      </c>
      <c r="R5856" s="2" t="inlineStr"/>
    </row>
    <row r="5857" ht="15" customHeight="1">
      <c r="A5857" t="inlineStr">
        <is>
          <t>A 6033-2025</t>
        </is>
      </c>
      <c r="B5857" s="1" t="n">
        <v>45695.63864583334</v>
      </c>
      <c r="C5857" s="1" t="n">
        <v>45962</v>
      </c>
      <c r="D5857" t="inlineStr">
        <is>
          <t>JÖNKÖPINGS LÄN</t>
        </is>
      </c>
      <c r="E5857" t="inlineStr">
        <is>
          <t>EKSJÖ</t>
        </is>
      </c>
      <c r="G5857" t="n">
        <v>1.5</v>
      </c>
      <c r="H5857" t="n">
        <v>0</v>
      </c>
      <c r="I5857" t="n">
        <v>0</v>
      </c>
      <c r="J5857" t="n">
        <v>0</v>
      </c>
      <c r="K5857" t="n">
        <v>0</v>
      </c>
      <c r="L5857" t="n">
        <v>0</v>
      </c>
      <c r="M5857" t="n">
        <v>0</v>
      </c>
      <c r="N5857" t="n">
        <v>0</v>
      </c>
      <c r="O5857" t="n">
        <v>0</v>
      </c>
      <c r="P5857" t="n">
        <v>0</v>
      </c>
      <c r="Q5857" t="n">
        <v>0</v>
      </c>
      <c r="R5857" s="2" t="inlineStr"/>
    </row>
    <row r="5858" ht="15" customHeight="1">
      <c r="A5858" t="inlineStr">
        <is>
          <t>A 4574-2023</t>
        </is>
      </c>
      <c r="B5858" s="1" t="n">
        <v>44956.70082175926</v>
      </c>
      <c r="C5858" s="1" t="n">
        <v>45962</v>
      </c>
      <c r="D5858" t="inlineStr">
        <is>
          <t>JÖNKÖPINGS LÄN</t>
        </is>
      </c>
      <c r="E5858" t="inlineStr">
        <is>
          <t>NÄSSJÖ</t>
        </is>
      </c>
      <c r="G5858" t="n">
        <v>1.6</v>
      </c>
      <c r="H5858" t="n">
        <v>0</v>
      </c>
      <c r="I5858" t="n">
        <v>0</v>
      </c>
      <c r="J5858" t="n">
        <v>0</v>
      </c>
      <c r="K5858" t="n">
        <v>0</v>
      </c>
      <c r="L5858" t="n">
        <v>0</v>
      </c>
      <c r="M5858" t="n">
        <v>0</v>
      </c>
      <c r="N5858" t="n">
        <v>0</v>
      </c>
      <c r="O5858" t="n">
        <v>0</v>
      </c>
      <c r="P5858" t="n">
        <v>0</v>
      </c>
      <c r="Q5858" t="n">
        <v>0</v>
      </c>
      <c r="R5858" s="2" t="inlineStr"/>
    </row>
    <row r="5859" ht="15" customHeight="1">
      <c r="A5859" t="inlineStr">
        <is>
          <t>A 57988-2024</t>
        </is>
      </c>
      <c r="B5859" s="1" t="n">
        <v>45631</v>
      </c>
      <c r="C5859" s="1" t="n">
        <v>45962</v>
      </c>
      <c r="D5859" t="inlineStr">
        <is>
          <t>JÖNKÖPINGS LÄN</t>
        </is>
      </c>
      <c r="E5859" t="inlineStr">
        <is>
          <t>NÄSSJÖ</t>
        </is>
      </c>
      <c r="G5859" t="n">
        <v>2.6</v>
      </c>
      <c r="H5859" t="n">
        <v>0</v>
      </c>
      <c r="I5859" t="n">
        <v>0</v>
      </c>
      <c r="J5859" t="n">
        <v>0</v>
      </c>
      <c r="K5859" t="n">
        <v>0</v>
      </c>
      <c r="L5859" t="n">
        <v>0</v>
      </c>
      <c r="M5859" t="n">
        <v>0</v>
      </c>
      <c r="N5859" t="n">
        <v>0</v>
      </c>
      <c r="O5859" t="n">
        <v>0</v>
      </c>
      <c r="P5859" t="n">
        <v>0</v>
      </c>
      <c r="Q5859" t="n">
        <v>0</v>
      </c>
      <c r="R5859" s="2" t="inlineStr"/>
    </row>
    <row r="5860" ht="15" customHeight="1">
      <c r="A5860" t="inlineStr">
        <is>
          <t>A 25500-2024</t>
        </is>
      </c>
      <c r="B5860" s="1" t="n">
        <v>45463.4815625</v>
      </c>
      <c r="C5860" s="1" t="n">
        <v>45962</v>
      </c>
      <c r="D5860" t="inlineStr">
        <is>
          <t>JÖNKÖPINGS LÄN</t>
        </is>
      </c>
      <c r="E5860" t="inlineStr">
        <is>
          <t>VÄRNAMO</t>
        </is>
      </c>
      <c r="G5860" t="n">
        <v>0.8</v>
      </c>
      <c r="H5860" t="n">
        <v>0</v>
      </c>
      <c r="I5860" t="n">
        <v>0</v>
      </c>
      <c r="J5860" t="n">
        <v>0</v>
      </c>
      <c r="K5860" t="n">
        <v>0</v>
      </c>
      <c r="L5860" t="n">
        <v>0</v>
      </c>
      <c r="M5860" t="n">
        <v>0</v>
      </c>
      <c r="N5860" t="n">
        <v>0</v>
      </c>
      <c r="O5860" t="n">
        <v>0</v>
      </c>
      <c r="P5860" t="n">
        <v>0</v>
      </c>
      <c r="Q5860" t="n">
        <v>0</v>
      </c>
      <c r="R5860" s="2" t="inlineStr"/>
    </row>
    <row r="5861" ht="15" customHeight="1">
      <c r="A5861" t="inlineStr">
        <is>
          <t>A 53370-2024</t>
        </is>
      </c>
      <c r="B5861" s="1" t="n">
        <v>45614</v>
      </c>
      <c r="C5861" s="1" t="n">
        <v>45962</v>
      </c>
      <c r="D5861" t="inlineStr">
        <is>
          <t>JÖNKÖPINGS LÄN</t>
        </is>
      </c>
      <c r="E5861" t="inlineStr">
        <is>
          <t>GNOSJÖ</t>
        </is>
      </c>
      <c r="G5861" t="n">
        <v>3.7</v>
      </c>
      <c r="H5861" t="n">
        <v>0</v>
      </c>
      <c r="I5861" t="n">
        <v>0</v>
      </c>
      <c r="J5861" t="n">
        <v>0</v>
      </c>
      <c r="K5861" t="n">
        <v>0</v>
      </c>
      <c r="L5861" t="n">
        <v>0</v>
      </c>
      <c r="M5861" t="n">
        <v>0</v>
      </c>
      <c r="N5861" t="n">
        <v>0</v>
      </c>
      <c r="O5861" t="n">
        <v>0</v>
      </c>
      <c r="P5861" t="n">
        <v>0</v>
      </c>
      <c r="Q5861" t="n">
        <v>0</v>
      </c>
      <c r="R5861" s="2" t="inlineStr"/>
    </row>
    <row r="5862" ht="15" customHeight="1">
      <c r="A5862" t="inlineStr">
        <is>
          <t>A 5970-2025</t>
        </is>
      </c>
      <c r="B5862" s="1" t="n">
        <v>45695.5090625</v>
      </c>
      <c r="C5862" s="1" t="n">
        <v>45962</v>
      </c>
      <c r="D5862" t="inlineStr">
        <is>
          <t>JÖNKÖPINGS LÄN</t>
        </is>
      </c>
      <c r="E5862" t="inlineStr">
        <is>
          <t>NÄSSJÖ</t>
        </is>
      </c>
      <c r="G5862" t="n">
        <v>0.3</v>
      </c>
      <c r="H5862" t="n">
        <v>0</v>
      </c>
      <c r="I5862" t="n">
        <v>0</v>
      </c>
      <c r="J5862" t="n">
        <v>0</v>
      </c>
      <c r="K5862" t="n">
        <v>0</v>
      </c>
      <c r="L5862" t="n">
        <v>0</v>
      </c>
      <c r="M5862" t="n">
        <v>0</v>
      </c>
      <c r="N5862" t="n">
        <v>0</v>
      </c>
      <c r="O5862" t="n">
        <v>0</v>
      </c>
      <c r="P5862" t="n">
        <v>0</v>
      </c>
      <c r="Q5862" t="n">
        <v>0</v>
      </c>
      <c r="R5862" s="2" t="inlineStr"/>
    </row>
    <row r="5863" ht="15" customHeight="1">
      <c r="A5863" t="inlineStr">
        <is>
          <t>A 28466-2024</t>
        </is>
      </c>
      <c r="B5863" s="1" t="n">
        <v>45477.70762731481</v>
      </c>
      <c r="C5863" s="1" t="n">
        <v>45962</v>
      </c>
      <c r="D5863" t="inlineStr">
        <is>
          <t>JÖNKÖPINGS LÄN</t>
        </is>
      </c>
      <c r="E5863" t="inlineStr">
        <is>
          <t>VAGGERYD</t>
        </is>
      </c>
      <c r="F5863" t="inlineStr">
        <is>
          <t>Sveaskog</t>
        </is>
      </c>
      <c r="G5863" t="n">
        <v>0.5</v>
      </c>
      <c r="H5863" t="n">
        <v>0</v>
      </c>
      <c r="I5863" t="n">
        <v>0</v>
      </c>
      <c r="J5863" t="n">
        <v>0</v>
      </c>
      <c r="K5863" t="n">
        <v>0</v>
      </c>
      <c r="L5863" t="n">
        <v>0</v>
      </c>
      <c r="M5863" t="n">
        <v>0</v>
      </c>
      <c r="N5863" t="n">
        <v>0</v>
      </c>
      <c r="O5863" t="n">
        <v>0</v>
      </c>
      <c r="P5863" t="n">
        <v>0</v>
      </c>
      <c r="Q5863" t="n">
        <v>0</v>
      </c>
      <c r="R5863" s="2" t="inlineStr"/>
    </row>
    <row r="5864" ht="15" customHeight="1">
      <c r="A5864" t="inlineStr">
        <is>
          <t>A 28470-2024</t>
        </is>
      </c>
      <c r="B5864" s="1" t="n">
        <v>45477.71984953704</v>
      </c>
      <c r="C5864" s="1" t="n">
        <v>45962</v>
      </c>
      <c r="D5864" t="inlineStr">
        <is>
          <t>JÖNKÖPINGS LÄN</t>
        </is>
      </c>
      <c r="E5864" t="inlineStr">
        <is>
          <t>VAGGERYD</t>
        </is>
      </c>
      <c r="F5864" t="inlineStr">
        <is>
          <t>Sveaskog</t>
        </is>
      </c>
      <c r="G5864" t="n">
        <v>2.5</v>
      </c>
      <c r="H5864" t="n">
        <v>0</v>
      </c>
      <c r="I5864" t="n">
        <v>0</v>
      </c>
      <c r="J5864" t="n">
        <v>0</v>
      </c>
      <c r="K5864" t="n">
        <v>0</v>
      </c>
      <c r="L5864" t="n">
        <v>0</v>
      </c>
      <c r="M5864" t="n">
        <v>0</v>
      </c>
      <c r="N5864" t="n">
        <v>0</v>
      </c>
      <c r="O5864" t="n">
        <v>0</v>
      </c>
      <c r="P5864" t="n">
        <v>0</v>
      </c>
      <c r="Q5864" t="n">
        <v>0</v>
      </c>
      <c r="R5864" s="2" t="inlineStr"/>
    </row>
    <row r="5865" ht="15" customHeight="1">
      <c r="A5865" t="inlineStr">
        <is>
          <t>A 28555-2024</t>
        </is>
      </c>
      <c r="B5865" s="1" t="n">
        <v>45478.37251157407</v>
      </c>
      <c r="C5865" s="1" t="n">
        <v>45962</v>
      </c>
      <c r="D5865" t="inlineStr">
        <is>
          <t>JÖNKÖPINGS LÄN</t>
        </is>
      </c>
      <c r="E5865" t="inlineStr">
        <is>
          <t>GISLAVED</t>
        </is>
      </c>
      <c r="G5865" t="n">
        <v>1</v>
      </c>
      <c r="H5865" t="n">
        <v>0</v>
      </c>
      <c r="I5865" t="n">
        <v>0</v>
      </c>
      <c r="J5865" t="n">
        <v>0</v>
      </c>
      <c r="K5865" t="n">
        <v>0</v>
      </c>
      <c r="L5865" t="n">
        <v>0</v>
      </c>
      <c r="M5865" t="n">
        <v>0</v>
      </c>
      <c r="N5865" t="n">
        <v>0</v>
      </c>
      <c r="O5865" t="n">
        <v>0</v>
      </c>
      <c r="P5865" t="n">
        <v>0</v>
      </c>
      <c r="Q5865" t="n">
        <v>0</v>
      </c>
      <c r="R5865" s="2" t="inlineStr"/>
    </row>
    <row r="5866" ht="15" customHeight="1">
      <c r="A5866" t="inlineStr">
        <is>
          <t>A 35031-2025</t>
        </is>
      </c>
      <c r="B5866" s="1" t="n">
        <v>45852.30655092592</v>
      </c>
      <c r="C5866" s="1" t="n">
        <v>45962</v>
      </c>
      <c r="D5866" t="inlineStr">
        <is>
          <t>JÖNKÖPINGS LÄN</t>
        </is>
      </c>
      <c r="E5866" t="inlineStr">
        <is>
          <t>GISLAVED</t>
        </is>
      </c>
      <c r="G5866" t="n">
        <v>1.2</v>
      </c>
      <c r="H5866" t="n">
        <v>0</v>
      </c>
      <c r="I5866" t="n">
        <v>0</v>
      </c>
      <c r="J5866" t="n">
        <v>0</v>
      </c>
      <c r="K5866" t="n">
        <v>0</v>
      </c>
      <c r="L5866" t="n">
        <v>0</v>
      </c>
      <c r="M5866" t="n">
        <v>0</v>
      </c>
      <c r="N5866" t="n">
        <v>0</v>
      </c>
      <c r="O5866" t="n">
        <v>0</v>
      </c>
      <c r="P5866" t="n">
        <v>0</v>
      </c>
      <c r="Q5866" t="n">
        <v>0</v>
      </c>
      <c r="R5866" s="2" t="inlineStr"/>
    </row>
    <row r="5867" ht="15" customHeight="1">
      <c r="A5867" t="inlineStr">
        <is>
          <t>A 35032-2025</t>
        </is>
      </c>
      <c r="B5867" s="1" t="n">
        <v>45852.30929398148</v>
      </c>
      <c r="C5867" s="1" t="n">
        <v>45962</v>
      </c>
      <c r="D5867" t="inlineStr">
        <is>
          <t>JÖNKÖPINGS LÄN</t>
        </is>
      </c>
      <c r="E5867" t="inlineStr">
        <is>
          <t>GISLAVED</t>
        </is>
      </c>
      <c r="G5867" t="n">
        <v>0.7</v>
      </c>
      <c r="H5867" t="n">
        <v>0</v>
      </c>
      <c r="I5867" t="n">
        <v>0</v>
      </c>
      <c r="J5867" t="n">
        <v>0</v>
      </c>
      <c r="K5867" t="n">
        <v>0</v>
      </c>
      <c r="L5867" t="n">
        <v>0</v>
      </c>
      <c r="M5867" t="n">
        <v>0</v>
      </c>
      <c r="N5867" t="n">
        <v>0</v>
      </c>
      <c r="O5867" t="n">
        <v>0</v>
      </c>
      <c r="P5867" t="n">
        <v>0</v>
      </c>
      <c r="Q5867" t="n">
        <v>0</v>
      </c>
      <c r="R5867" s="2" t="inlineStr"/>
    </row>
    <row r="5868" ht="15" customHeight="1">
      <c r="A5868" t="inlineStr">
        <is>
          <t>A 35035-2025</t>
        </is>
      </c>
      <c r="B5868" s="1" t="n">
        <v>45852.32268518519</v>
      </c>
      <c r="C5868" s="1" t="n">
        <v>45962</v>
      </c>
      <c r="D5868" t="inlineStr">
        <is>
          <t>JÖNKÖPINGS LÄN</t>
        </is>
      </c>
      <c r="E5868" t="inlineStr">
        <is>
          <t>GISLAVED</t>
        </is>
      </c>
      <c r="G5868" t="n">
        <v>2.9</v>
      </c>
      <c r="H5868" t="n">
        <v>0</v>
      </c>
      <c r="I5868" t="n">
        <v>0</v>
      </c>
      <c r="J5868" t="n">
        <v>0</v>
      </c>
      <c r="K5868" t="n">
        <v>0</v>
      </c>
      <c r="L5868" t="n">
        <v>0</v>
      </c>
      <c r="M5868" t="n">
        <v>0</v>
      </c>
      <c r="N5868" t="n">
        <v>0</v>
      </c>
      <c r="O5868" t="n">
        <v>0</v>
      </c>
      <c r="P5868" t="n">
        <v>0</v>
      </c>
      <c r="Q5868" t="n">
        <v>0</v>
      </c>
      <c r="R5868" s="2" t="inlineStr"/>
    </row>
    <row r="5869" ht="15" customHeight="1">
      <c r="A5869" t="inlineStr">
        <is>
          <t>A 33850-2024</t>
        </is>
      </c>
      <c r="B5869" s="1" t="n">
        <v>45520.63755787037</v>
      </c>
      <c r="C5869" s="1" t="n">
        <v>45962</v>
      </c>
      <c r="D5869" t="inlineStr">
        <is>
          <t>JÖNKÖPINGS LÄN</t>
        </is>
      </c>
      <c r="E5869" t="inlineStr">
        <is>
          <t>GISLAVED</t>
        </is>
      </c>
      <c r="F5869" t="inlineStr">
        <is>
          <t>Sveaskog</t>
        </is>
      </c>
      <c r="G5869" t="n">
        <v>2.2</v>
      </c>
      <c r="H5869" t="n">
        <v>0</v>
      </c>
      <c r="I5869" t="n">
        <v>0</v>
      </c>
      <c r="J5869" t="n">
        <v>0</v>
      </c>
      <c r="K5869" t="n">
        <v>0</v>
      </c>
      <c r="L5869" t="n">
        <v>0</v>
      </c>
      <c r="M5869" t="n">
        <v>0</v>
      </c>
      <c r="N5869" t="n">
        <v>0</v>
      </c>
      <c r="O5869" t="n">
        <v>0</v>
      </c>
      <c r="P5869" t="n">
        <v>0</v>
      </c>
      <c r="Q5869" t="n">
        <v>0</v>
      </c>
      <c r="R5869" s="2" t="inlineStr"/>
    </row>
    <row r="5870" ht="15" customHeight="1">
      <c r="A5870" t="inlineStr">
        <is>
          <t>A 35102-2025</t>
        </is>
      </c>
      <c r="B5870" s="1" t="n">
        <v>45852.5674074074</v>
      </c>
      <c r="C5870" s="1" t="n">
        <v>45962</v>
      </c>
      <c r="D5870" t="inlineStr">
        <is>
          <t>JÖNKÖPINGS LÄN</t>
        </is>
      </c>
      <c r="E5870" t="inlineStr">
        <is>
          <t>VETLANDA</t>
        </is>
      </c>
      <c r="G5870" t="n">
        <v>2</v>
      </c>
      <c r="H5870" t="n">
        <v>0</v>
      </c>
      <c r="I5870" t="n">
        <v>0</v>
      </c>
      <c r="J5870" t="n">
        <v>0</v>
      </c>
      <c r="K5870" t="n">
        <v>0</v>
      </c>
      <c r="L5870" t="n">
        <v>0</v>
      </c>
      <c r="M5870" t="n">
        <v>0</v>
      </c>
      <c r="N5870" t="n">
        <v>0</v>
      </c>
      <c r="O5870" t="n">
        <v>0</v>
      </c>
      <c r="P5870" t="n">
        <v>0</v>
      </c>
      <c r="Q5870" t="n">
        <v>0</v>
      </c>
      <c r="R5870" s="2" t="inlineStr"/>
    </row>
    <row r="5871" ht="15" customHeight="1">
      <c r="A5871" t="inlineStr">
        <is>
          <t>A 5608-2024</t>
        </is>
      </c>
      <c r="B5871" s="1" t="n">
        <v>45334</v>
      </c>
      <c r="C5871" s="1" t="n">
        <v>45962</v>
      </c>
      <c r="D5871" t="inlineStr">
        <is>
          <t>JÖNKÖPINGS LÄN</t>
        </is>
      </c>
      <c r="E5871" t="inlineStr">
        <is>
          <t>EKSJÖ</t>
        </is>
      </c>
      <c r="G5871" t="n">
        <v>1.1</v>
      </c>
      <c r="H5871" t="n">
        <v>0</v>
      </c>
      <c r="I5871" t="n">
        <v>0</v>
      </c>
      <c r="J5871" t="n">
        <v>0</v>
      </c>
      <c r="K5871" t="n">
        <v>0</v>
      </c>
      <c r="L5871" t="n">
        <v>0</v>
      </c>
      <c r="M5871" t="n">
        <v>0</v>
      </c>
      <c r="N5871" t="n">
        <v>0</v>
      </c>
      <c r="O5871" t="n">
        <v>0</v>
      </c>
      <c r="P5871" t="n">
        <v>0</v>
      </c>
      <c r="Q5871" t="n">
        <v>0</v>
      </c>
      <c r="R5871" s="2" t="inlineStr"/>
    </row>
    <row r="5872" ht="15" customHeight="1">
      <c r="A5872" t="inlineStr">
        <is>
          <t>A 17679-2024</t>
        </is>
      </c>
      <c r="B5872" s="1" t="n">
        <v>45418.40288194444</v>
      </c>
      <c r="C5872" s="1" t="n">
        <v>45962</v>
      </c>
      <c r="D5872" t="inlineStr">
        <is>
          <t>JÖNKÖPINGS LÄN</t>
        </is>
      </c>
      <c r="E5872" t="inlineStr">
        <is>
          <t>SÄVSJÖ</t>
        </is>
      </c>
      <c r="G5872" t="n">
        <v>1.4</v>
      </c>
      <c r="H5872" t="n">
        <v>0</v>
      </c>
      <c r="I5872" t="n">
        <v>0</v>
      </c>
      <c r="J5872" t="n">
        <v>0</v>
      </c>
      <c r="K5872" t="n">
        <v>0</v>
      </c>
      <c r="L5872" t="n">
        <v>0</v>
      </c>
      <c r="M5872" t="n">
        <v>0</v>
      </c>
      <c r="N5872" t="n">
        <v>0</v>
      </c>
      <c r="O5872" t="n">
        <v>0</v>
      </c>
      <c r="P5872" t="n">
        <v>0</v>
      </c>
      <c r="Q5872" t="n">
        <v>0</v>
      </c>
      <c r="R5872" s="2" t="inlineStr"/>
    </row>
    <row r="5873" ht="15" customHeight="1">
      <c r="A5873" t="inlineStr">
        <is>
          <t>A 35114-2025</t>
        </is>
      </c>
      <c r="B5873" s="1" t="n">
        <v>45852.58248842593</v>
      </c>
      <c r="C5873" s="1" t="n">
        <v>45962</v>
      </c>
      <c r="D5873" t="inlineStr">
        <is>
          <t>JÖNKÖPINGS LÄN</t>
        </is>
      </c>
      <c r="E5873" t="inlineStr">
        <is>
          <t>VETLANDA</t>
        </is>
      </c>
      <c r="G5873" t="n">
        <v>1.8</v>
      </c>
      <c r="H5873" t="n">
        <v>0</v>
      </c>
      <c r="I5873" t="n">
        <v>0</v>
      </c>
      <c r="J5873" t="n">
        <v>0</v>
      </c>
      <c r="K5873" t="n">
        <v>0</v>
      </c>
      <c r="L5873" t="n">
        <v>0</v>
      </c>
      <c r="M5873" t="n">
        <v>0</v>
      </c>
      <c r="N5873" t="n">
        <v>0</v>
      </c>
      <c r="O5873" t="n">
        <v>0</v>
      </c>
      <c r="P5873" t="n">
        <v>0</v>
      </c>
      <c r="Q5873" t="n">
        <v>0</v>
      </c>
      <c r="R5873" s="2" t="inlineStr"/>
    </row>
    <row r="5874" ht="15" customHeight="1">
      <c r="A5874" t="inlineStr">
        <is>
          <t>A 9800-2025</t>
        </is>
      </c>
      <c r="B5874" s="1" t="n">
        <v>45715</v>
      </c>
      <c r="C5874" s="1" t="n">
        <v>45962</v>
      </c>
      <c r="D5874" t="inlineStr">
        <is>
          <t>JÖNKÖPINGS LÄN</t>
        </is>
      </c>
      <c r="E5874" t="inlineStr">
        <is>
          <t>TRANÅS</t>
        </is>
      </c>
      <c r="G5874" t="n">
        <v>3.2</v>
      </c>
      <c r="H5874" t="n">
        <v>0</v>
      </c>
      <c r="I5874" t="n">
        <v>0</v>
      </c>
      <c r="J5874" t="n">
        <v>0</v>
      </c>
      <c r="K5874" t="n">
        <v>0</v>
      </c>
      <c r="L5874" t="n">
        <v>0</v>
      </c>
      <c r="M5874" t="n">
        <v>0</v>
      </c>
      <c r="N5874" t="n">
        <v>0</v>
      </c>
      <c r="O5874" t="n">
        <v>0</v>
      </c>
      <c r="P5874" t="n">
        <v>0</v>
      </c>
      <c r="Q5874" t="n">
        <v>0</v>
      </c>
      <c r="R5874" s="2" t="inlineStr"/>
    </row>
    <row r="5875" ht="15" customHeight="1">
      <c r="A5875" t="inlineStr">
        <is>
          <t>A 50695-2021</t>
        </is>
      </c>
      <c r="B5875" s="1" t="n">
        <v>44459</v>
      </c>
      <c r="C5875" s="1" t="n">
        <v>45962</v>
      </c>
      <c r="D5875" t="inlineStr">
        <is>
          <t>JÖNKÖPINGS LÄN</t>
        </is>
      </c>
      <c r="E5875" t="inlineStr">
        <is>
          <t>VETLANDA</t>
        </is>
      </c>
      <c r="G5875" t="n">
        <v>2.3</v>
      </c>
      <c r="H5875" t="n">
        <v>0</v>
      </c>
      <c r="I5875" t="n">
        <v>0</v>
      </c>
      <c r="J5875" t="n">
        <v>0</v>
      </c>
      <c r="K5875" t="n">
        <v>0</v>
      </c>
      <c r="L5875" t="n">
        <v>0</v>
      </c>
      <c r="M5875" t="n">
        <v>0</v>
      </c>
      <c r="N5875" t="n">
        <v>0</v>
      </c>
      <c r="O5875" t="n">
        <v>0</v>
      </c>
      <c r="P5875" t="n">
        <v>0</v>
      </c>
      <c r="Q5875" t="n">
        <v>0</v>
      </c>
      <c r="R5875" s="2" t="inlineStr"/>
    </row>
    <row r="5876" ht="15" customHeight="1">
      <c r="A5876" t="inlineStr">
        <is>
          <t>A 22270-2024</t>
        </is>
      </c>
      <c r="B5876" s="1" t="n">
        <v>45446</v>
      </c>
      <c r="C5876" s="1" t="n">
        <v>45962</v>
      </c>
      <c r="D5876" t="inlineStr">
        <is>
          <t>JÖNKÖPINGS LÄN</t>
        </is>
      </c>
      <c r="E5876" t="inlineStr">
        <is>
          <t>MULLSJÖ</t>
        </is>
      </c>
      <c r="G5876" t="n">
        <v>0.7</v>
      </c>
      <c r="H5876" t="n">
        <v>0</v>
      </c>
      <c r="I5876" t="n">
        <v>0</v>
      </c>
      <c r="J5876" t="n">
        <v>0</v>
      </c>
      <c r="K5876" t="n">
        <v>0</v>
      </c>
      <c r="L5876" t="n">
        <v>0</v>
      </c>
      <c r="M5876" t="n">
        <v>0</v>
      </c>
      <c r="N5876" t="n">
        <v>0</v>
      </c>
      <c r="O5876" t="n">
        <v>0</v>
      </c>
      <c r="P5876" t="n">
        <v>0</v>
      </c>
      <c r="Q5876" t="n">
        <v>0</v>
      </c>
      <c r="R5876" s="2" t="inlineStr"/>
    </row>
    <row r="5877" ht="15" customHeight="1">
      <c r="A5877" t="inlineStr">
        <is>
          <t>A 53736-2024</t>
        </is>
      </c>
      <c r="B5877" s="1" t="n">
        <v>45615.46576388889</v>
      </c>
      <c r="C5877" s="1" t="n">
        <v>45962</v>
      </c>
      <c r="D5877" t="inlineStr">
        <is>
          <t>JÖNKÖPINGS LÄN</t>
        </is>
      </c>
      <c r="E5877" t="inlineStr">
        <is>
          <t>VETLANDA</t>
        </is>
      </c>
      <c r="G5877" t="n">
        <v>1.1</v>
      </c>
      <c r="H5877" t="n">
        <v>0</v>
      </c>
      <c r="I5877" t="n">
        <v>0</v>
      </c>
      <c r="J5877" t="n">
        <v>0</v>
      </c>
      <c r="K5877" t="n">
        <v>0</v>
      </c>
      <c r="L5877" t="n">
        <v>0</v>
      </c>
      <c r="M5877" t="n">
        <v>0</v>
      </c>
      <c r="N5877" t="n">
        <v>0</v>
      </c>
      <c r="O5877" t="n">
        <v>0</v>
      </c>
      <c r="P5877" t="n">
        <v>0</v>
      </c>
      <c r="Q5877" t="n">
        <v>0</v>
      </c>
      <c r="R5877" s="2" t="inlineStr"/>
    </row>
    <row r="5878" ht="15" customHeight="1">
      <c r="A5878" t="inlineStr">
        <is>
          <t>A 14103-2021</t>
        </is>
      </c>
      <c r="B5878" s="1" t="n">
        <v>44278</v>
      </c>
      <c r="C5878" s="1" t="n">
        <v>45962</v>
      </c>
      <c r="D5878" t="inlineStr">
        <is>
          <t>JÖNKÖPINGS LÄN</t>
        </is>
      </c>
      <c r="E5878" t="inlineStr">
        <is>
          <t>VÄRNAMO</t>
        </is>
      </c>
      <c r="G5878" t="n">
        <v>0.2</v>
      </c>
      <c r="H5878" t="n">
        <v>0</v>
      </c>
      <c r="I5878" t="n">
        <v>0</v>
      </c>
      <c r="J5878" t="n">
        <v>0</v>
      </c>
      <c r="K5878" t="n">
        <v>0</v>
      </c>
      <c r="L5878" t="n">
        <v>0</v>
      </c>
      <c r="M5878" t="n">
        <v>0</v>
      </c>
      <c r="N5878" t="n">
        <v>0</v>
      </c>
      <c r="O5878" t="n">
        <v>0</v>
      </c>
      <c r="P5878" t="n">
        <v>0</v>
      </c>
      <c r="Q5878" t="n">
        <v>0</v>
      </c>
      <c r="R5878" s="2" t="inlineStr"/>
    </row>
    <row r="5879" ht="15" customHeight="1">
      <c r="A5879" t="inlineStr">
        <is>
          <t>A 35033-2025</t>
        </is>
      </c>
      <c r="B5879" s="1" t="n">
        <v>45852.31328703704</v>
      </c>
      <c r="C5879" s="1" t="n">
        <v>45962</v>
      </c>
      <c r="D5879" t="inlineStr">
        <is>
          <t>JÖNKÖPINGS LÄN</t>
        </is>
      </c>
      <c r="E5879" t="inlineStr">
        <is>
          <t>GISLAVED</t>
        </is>
      </c>
      <c r="G5879" t="n">
        <v>2.2</v>
      </c>
      <c r="H5879" t="n">
        <v>0</v>
      </c>
      <c r="I5879" t="n">
        <v>0</v>
      </c>
      <c r="J5879" t="n">
        <v>0</v>
      </c>
      <c r="K5879" t="n">
        <v>0</v>
      </c>
      <c r="L5879" t="n">
        <v>0</v>
      </c>
      <c r="M5879" t="n">
        <v>0</v>
      </c>
      <c r="N5879" t="n">
        <v>0</v>
      </c>
      <c r="O5879" t="n">
        <v>0</v>
      </c>
      <c r="P5879" t="n">
        <v>0</v>
      </c>
      <c r="Q5879" t="n">
        <v>0</v>
      </c>
      <c r="R5879" s="2" t="inlineStr"/>
    </row>
    <row r="5880" ht="15" customHeight="1">
      <c r="A5880" t="inlineStr">
        <is>
          <t>A 29403-2023</t>
        </is>
      </c>
      <c r="B5880" s="1" t="n">
        <v>45106</v>
      </c>
      <c r="C5880" s="1" t="n">
        <v>45962</v>
      </c>
      <c r="D5880" t="inlineStr">
        <is>
          <t>JÖNKÖPINGS LÄN</t>
        </is>
      </c>
      <c r="E5880" t="inlineStr">
        <is>
          <t>NÄSSJÖ</t>
        </is>
      </c>
      <c r="G5880" t="n">
        <v>2.1</v>
      </c>
      <c r="H5880" t="n">
        <v>0</v>
      </c>
      <c r="I5880" t="n">
        <v>0</v>
      </c>
      <c r="J5880" t="n">
        <v>0</v>
      </c>
      <c r="K5880" t="n">
        <v>0</v>
      </c>
      <c r="L5880" t="n">
        <v>0</v>
      </c>
      <c r="M5880" t="n">
        <v>0</v>
      </c>
      <c r="N5880" t="n">
        <v>0</v>
      </c>
      <c r="O5880" t="n">
        <v>0</v>
      </c>
      <c r="P5880" t="n">
        <v>0</v>
      </c>
      <c r="Q5880" t="n">
        <v>0</v>
      </c>
      <c r="R5880" s="2" t="inlineStr"/>
    </row>
    <row r="5881" ht="15" customHeight="1">
      <c r="A5881" t="inlineStr">
        <is>
          <t>A 18774-2025</t>
        </is>
      </c>
      <c r="B5881" s="1" t="n">
        <v>45764.31284722222</v>
      </c>
      <c r="C5881" s="1" t="n">
        <v>45962</v>
      </c>
      <c r="D5881" t="inlineStr">
        <is>
          <t>JÖNKÖPINGS LÄN</t>
        </is>
      </c>
      <c r="E5881" t="inlineStr">
        <is>
          <t>JÖNKÖPING</t>
        </is>
      </c>
      <c r="G5881" t="n">
        <v>1</v>
      </c>
      <c r="H5881" t="n">
        <v>0</v>
      </c>
      <c r="I5881" t="n">
        <v>0</v>
      </c>
      <c r="J5881" t="n">
        <v>0</v>
      </c>
      <c r="K5881" t="n">
        <v>0</v>
      </c>
      <c r="L5881" t="n">
        <v>0</v>
      </c>
      <c r="M5881" t="n">
        <v>0</v>
      </c>
      <c r="N5881" t="n">
        <v>0</v>
      </c>
      <c r="O5881" t="n">
        <v>0</v>
      </c>
      <c r="P5881" t="n">
        <v>0</v>
      </c>
      <c r="Q5881" t="n">
        <v>0</v>
      </c>
      <c r="R5881" s="2" t="inlineStr"/>
    </row>
    <row r="5882" ht="15" customHeight="1">
      <c r="A5882" t="inlineStr">
        <is>
          <t>A 26228-2023</t>
        </is>
      </c>
      <c r="B5882" s="1" t="n">
        <v>45091.57478009259</v>
      </c>
      <c r="C5882" s="1" t="n">
        <v>45962</v>
      </c>
      <c r="D5882" t="inlineStr">
        <is>
          <t>JÖNKÖPINGS LÄN</t>
        </is>
      </c>
      <c r="E5882" t="inlineStr">
        <is>
          <t>VETLANDA</t>
        </is>
      </c>
      <c r="G5882" t="n">
        <v>1.3</v>
      </c>
      <c r="H5882" t="n">
        <v>0</v>
      </c>
      <c r="I5882" t="n">
        <v>0</v>
      </c>
      <c r="J5882" t="n">
        <v>0</v>
      </c>
      <c r="K5882" t="n">
        <v>0</v>
      </c>
      <c r="L5882" t="n">
        <v>0</v>
      </c>
      <c r="M5882" t="n">
        <v>0</v>
      </c>
      <c r="N5882" t="n">
        <v>0</v>
      </c>
      <c r="O5882" t="n">
        <v>0</v>
      </c>
      <c r="P5882" t="n">
        <v>0</v>
      </c>
      <c r="Q5882" t="n">
        <v>0</v>
      </c>
      <c r="R5882" s="2" t="inlineStr"/>
    </row>
    <row r="5883" ht="15" customHeight="1">
      <c r="A5883" t="inlineStr">
        <is>
          <t>A 35048-2025</t>
        </is>
      </c>
      <c r="B5883" s="1" t="n">
        <v>45852.35208333333</v>
      </c>
      <c r="C5883" s="1" t="n">
        <v>45962</v>
      </c>
      <c r="D5883" t="inlineStr">
        <is>
          <t>JÖNKÖPINGS LÄN</t>
        </is>
      </c>
      <c r="E5883" t="inlineStr">
        <is>
          <t>GISLAVED</t>
        </is>
      </c>
      <c r="G5883" t="n">
        <v>0.7</v>
      </c>
      <c r="H5883" t="n">
        <v>0</v>
      </c>
      <c r="I5883" t="n">
        <v>0</v>
      </c>
      <c r="J5883" t="n">
        <v>0</v>
      </c>
      <c r="K5883" t="n">
        <v>0</v>
      </c>
      <c r="L5883" t="n">
        <v>0</v>
      </c>
      <c r="M5883" t="n">
        <v>0</v>
      </c>
      <c r="N5883" t="n">
        <v>0</v>
      </c>
      <c r="O5883" t="n">
        <v>0</v>
      </c>
      <c r="P5883" t="n">
        <v>0</v>
      </c>
      <c r="Q5883" t="n">
        <v>0</v>
      </c>
      <c r="R5883" s="2" t="inlineStr"/>
    </row>
    <row r="5884" ht="15" customHeight="1">
      <c r="A5884" t="inlineStr">
        <is>
          <t>A 47005-2023</t>
        </is>
      </c>
      <c r="B5884" s="1" t="n">
        <v>45195</v>
      </c>
      <c r="C5884" s="1" t="n">
        <v>45962</v>
      </c>
      <c r="D5884" t="inlineStr">
        <is>
          <t>JÖNKÖPINGS LÄN</t>
        </is>
      </c>
      <c r="E5884" t="inlineStr">
        <is>
          <t>VAGGERYD</t>
        </is>
      </c>
      <c r="G5884" t="n">
        <v>0.9</v>
      </c>
      <c r="H5884" t="n">
        <v>0</v>
      </c>
      <c r="I5884" t="n">
        <v>0</v>
      </c>
      <c r="J5884" t="n">
        <v>0</v>
      </c>
      <c r="K5884" t="n">
        <v>0</v>
      </c>
      <c r="L5884" t="n">
        <v>0</v>
      </c>
      <c r="M5884" t="n">
        <v>0</v>
      </c>
      <c r="N5884" t="n">
        <v>0</v>
      </c>
      <c r="O5884" t="n">
        <v>0</v>
      </c>
      <c r="P5884" t="n">
        <v>0</v>
      </c>
      <c r="Q5884" t="n">
        <v>0</v>
      </c>
      <c r="R5884" s="2" t="inlineStr"/>
    </row>
    <row r="5885" ht="15" customHeight="1">
      <c r="A5885" t="inlineStr">
        <is>
          <t>A 17038-2024</t>
        </is>
      </c>
      <c r="B5885" s="1" t="n">
        <v>45412.40754629629</v>
      </c>
      <c r="C5885" s="1" t="n">
        <v>45962</v>
      </c>
      <c r="D5885" t="inlineStr">
        <is>
          <t>JÖNKÖPINGS LÄN</t>
        </is>
      </c>
      <c r="E5885" t="inlineStr">
        <is>
          <t>NÄSSJÖ</t>
        </is>
      </c>
      <c r="G5885" t="n">
        <v>6.6</v>
      </c>
      <c r="H5885" t="n">
        <v>0</v>
      </c>
      <c r="I5885" t="n">
        <v>0</v>
      </c>
      <c r="J5885" t="n">
        <v>0</v>
      </c>
      <c r="K5885" t="n">
        <v>0</v>
      </c>
      <c r="L5885" t="n">
        <v>0</v>
      </c>
      <c r="M5885" t="n">
        <v>0</v>
      </c>
      <c r="N5885" t="n">
        <v>0</v>
      </c>
      <c r="O5885" t="n">
        <v>0</v>
      </c>
      <c r="P5885" t="n">
        <v>0</v>
      </c>
      <c r="Q5885" t="n">
        <v>0</v>
      </c>
      <c r="R5885" s="2" t="inlineStr"/>
    </row>
    <row r="5886" ht="15" customHeight="1">
      <c r="A5886" t="inlineStr">
        <is>
          <t>A 35376-2025</t>
        </is>
      </c>
      <c r="B5886" s="1" t="n">
        <v>45855.28050925926</v>
      </c>
      <c r="C5886" s="1" t="n">
        <v>45962</v>
      </c>
      <c r="D5886" t="inlineStr">
        <is>
          <t>JÖNKÖPINGS LÄN</t>
        </is>
      </c>
      <c r="E5886" t="inlineStr">
        <is>
          <t>GISLAVED</t>
        </is>
      </c>
      <c r="G5886" t="n">
        <v>3.6</v>
      </c>
      <c r="H5886" t="n">
        <v>0</v>
      </c>
      <c r="I5886" t="n">
        <v>0</v>
      </c>
      <c r="J5886" t="n">
        <v>0</v>
      </c>
      <c r="K5886" t="n">
        <v>0</v>
      </c>
      <c r="L5886" t="n">
        <v>0</v>
      </c>
      <c r="M5886" t="n">
        <v>0</v>
      </c>
      <c r="N5886" t="n">
        <v>0</v>
      </c>
      <c r="O5886" t="n">
        <v>0</v>
      </c>
      <c r="P5886" t="n">
        <v>0</v>
      </c>
      <c r="Q5886" t="n">
        <v>0</v>
      </c>
      <c r="R5886" s="2" t="inlineStr"/>
    </row>
    <row r="5887" ht="15" customHeight="1">
      <c r="A5887" t="inlineStr">
        <is>
          <t>A 51795-2022</t>
        </is>
      </c>
      <c r="B5887" s="1" t="n">
        <v>44872.54512731481</v>
      </c>
      <c r="C5887" s="1" t="n">
        <v>45962</v>
      </c>
      <c r="D5887" t="inlineStr">
        <is>
          <t>JÖNKÖPINGS LÄN</t>
        </is>
      </c>
      <c r="E5887" t="inlineStr">
        <is>
          <t>SÄVSJÖ</t>
        </is>
      </c>
      <c r="G5887" t="n">
        <v>3.5</v>
      </c>
      <c r="H5887" t="n">
        <v>0</v>
      </c>
      <c r="I5887" t="n">
        <v>0</v>
      </c>
      <c r="J5887" t="n">
        <v>0</v>
      </c>
      <c r="K5887" t="n">
        <v>0</v>
      </c>
      <c r="L5887" t="n">
        <v>0</v>
      </c>
      <c r="M5887" t="n">
        <v>0</v>
      </c>
      <c r="N5887" t="n">
        <v>0</v>
      </c>
      <c r="O5887" t="n">
        <v>0</v>
      </c>
      <c r="P5887" t="n">
        <v>0</v>
      </c>
      <c r="Q5887" t="n">
        <v>0</v>
      </c>
      <c r="R5887" s="2" t="inlineStr"/>
    </row>
    <row r="5888" ht="15" customHeight="1">
      <c r="A5888" t="inlineStr">
        <is>
          <t>A 15929-2023</t>
        </is>
      </c>
      <c r="B5888" s="1" t="n">
        <v>45022</v>
      </c>
      <c r="C5888" s="1" t="n">
        <v>45962</v>
      </c>
      <c r="D5888" t="inlineStr">
        <is>
          <t>JÖNKÖPINGS LÄN</t>
        </is>
      </c>
      <c r="E5888" t="inlineStr">
        <is>
          <t>VETLANDA</t>
        </is>
      </c>
      <c r="G5888" t="n">
        <v>0.4</v>
      </c>
      <c r="H5888" t="n">
        <v>0</v>
      </c>
      <c r="I5888" t="n">
        <v>0</v>
      </c>
      <c r="J5888" t="n">
        <v>0</v>
      </c>
      <c r="K5888" t="n">
        <v>0</v>
      </c>
      <c r="L5888" t="n">
        <v>0</v>
      </c>
      <c r="M5888" t="n">
        <v>0</v>
      </c>
      <c r="N5888" t="n">
        <v>0</v>
      </c>
      <c r="O5888" t="n">
        <v>0</v>
      </c>
      <c r="P5888" t="n">
        <v>0</v>
      </c>
      <c r="Q5888" t="n">
        <v>0</v>
      </c>
      <c r="R5888" s="2" t="inlineStr"/>
    </row>
    <row r="5889" ht="15" customHeight="1">
      <c r="A5889" t="inlineStr">
        <is>
          <t>A 14045-2023</t>
        </is>
      </c>
      <c r="B5889" s="1" t="n">
        <v>45008.6652662037</v>
      </c>
      <c r="C5889" s="1" t="n">
        <v>45962</v>
      </c>
      <c r="D5889" t="inlineStr">
        <is>
          <t>JÖNKÖPINGS LÄN</t>
        </is>
      </c>
      <c r="E5889" t="inlineStr">
        <is>
          <t>SÄVSJÖ</t>
        </is>
      </c>
      <c r="F5889" t="inlineStr">
        <is>
          <t>Kommuner</t>
        </is>
      </c>
      <c r="G5889" t="n">
        <v>1.7</v>
      </c>
      <c r="H5889" t="n">
        <v>0</v>
      </c>
      <c r="I5889" t="n">
        <v>0</v>
      </c>
      <c r="J5889" t="n">
        <v>0</v>
      </c>
      <c r="K5889" t="n">
        <v>0</v>
      </c>
      <c r="L5889" t="n">
        <v>0</v>
      </c>
      <c r="M5889" t="n">
        <v>0</v>
      </c>
      <c r="N5889" t="n">
        <v>0</v>
      </c>
      <c r="O5889" t="n">
        <v>0</v>
      </c>
      <c r="P5889" t="n">
        <v>0</v>
      </c>
      <c r="Q5889" t="n">
        <v>0</v>
      </c>
      <c r="R5889" s="2" t="inlineStr"/>
    </row>
    <row r="5890" ht="15" customHeight="1">
      <c r="A5890" t="inlineStr">
        <is>
          <t>A 54987-2024</t>
        </is>
      </c>
      <c r="B5890" s="1" t="n">
        <v>45620.8308912037</v>
      </c>
      <c r="C5890" s="1" t="n">
        <v>45962</v>
      </c>
      <c r="D5890" t="inlineStr">
        <is>
          <t>JÖNKÖPINGS LÄN</t>
        </is>
      </c>
      <c r="E5890" t="inlineStr">
        <is>
          <t>HABO</t>
        </is>
      </c>
      <c r="G5890" t="n">
        <v>4.2</v>
      </c>
      <c r="H5890" t="n">
        <v>0</v>
      </c>
      <c r="I5890" t="n">
        <v>0</v>
      </c>
      <c r="J5890" t="n">
        <v>0</v>
      </c>
      <c r="K5890" t="n">
        <v>0</v>
      </c>
      <c r="L5890" t="n">
        <v>0</v>
      </c>
      <c r="M5890" t="n">
        <v>0</v>
      </c>
      <c r="N5890" t="n">
        <v>0</v>
      </c>
      <c r="O5890" t="n">
        <v>0</v>
      </c>
      <c r="P5890" t="n">
        <v>0</v>
      </c>
      <c r="Q5890" t="n">
        <v>0</v>
      </c>
      <c r="R5890" s="2" t="inlineStr"/>
    </row>
    <row r="5891" ht="15" customHeight="1">
      <c r="A5891" t="inlineStr">
        <is>
          <t>A 34794-2024</t>
        </is>
      </c>
      <c r="B5891" s="1" t="n">
        <v>45526.66983796296</v>
      </c>
      <c r="C5891" s="1" t="n">
        <v>45962</v>
      </c>
      <c r="D5891" t="inlineStr">
        <is>
          <t>JÖNKÖPINGS LÄN</t>
        </is>
      </c>
      <c r="E5891" t="inlineStr">
        <is>
          <t>VETLANDA</t>
        </is>
      </c>
      <c r="G5891" t="n">
        <v>0.6</v>
      </c>
      <c r="H5891" t="n">
        <v>0</v>
      </c>
      <c r="I5891" t="n">
        <v>0</v>
      </c>
      <c r="J5891" t="n">
        <v>0</v>
      </c>
      <c r="K5891" t="n">
        <v>0</v>
      </c>
      <c r="L5891" t="n">
        <v>0</v>
      </c>
      <c r="M5891" t="n">
        <v>0</v>
      </c>
      <c r="N5891" t="n">
        <v>0</v>
      </c>
      <c r="O5891" t="n">
        <v>0</v>
      </c>
      <c r="P5891" t="n">
        <v>0</v>
      </c>
      <c r="Q5891" t="n">
        <v>0</v>
      </c>
      <c r="R5891" s="2" t="inlineStr"/>
    </row>
    <row r="5892" ht="15" customHeight="1">
      <c r="A5892" t="inlineStr">
        <is>
          <t>A 18969-2025</t>
        </is>
      </c>
      <c r="B5892" s="1" t="n">
        <v>45764.53740740741</v>
      </c>
      <c r="C5892" s="1" t="n">
        <v>45962</v>
      </c>
      <c r="D5892" t="inlineStr">
        <is>
          <t>JÖNKÖPINGS LÄN</t>
        </is>
      </c>
      <c r="E5892" t="inlineStr">
        <is>
          <t>JÖNKÖPING</t>
        </is>
      </c>
      <c r="G5892" t="n">
        <v>2.7</v>
      </c>
      <c r="H5892" t="n">
        <v>0</v>
      </c>
      <c r="I5892" t="n">
        <v>0</v>
      </c>
      <c r="J5892" t="n">
        <v>0</v>
      </c>
      <c r="K5892" t="n">
        <v>0</v>
      </c>
      <c r="L5892" t="n">
        <v>0</v>
      </c>
      <c r="M5892" t="n">
        <v>0</v>
      </c>
      <c r="N5892" t="n">
        <v>0</v>
      </c>
      <c r="O5892" t="n">
        <v>0</v>
      </c>
      <c r="P5892" t="n">
        <v>0</v>
      </c>
      <c r="Q5892" t="n">
        <v>0</v>
      </c>
      <c r="R5892" s="2" t="inlineStr"/>
    </row>
    <row r="5893" ht="15" customHeight="1">
      <c r="A5893" t="inlineStr">
        <is>
          <t>A 49439-2024</t>
        </is>
      </c>
      <c r="B5893" s="1" t="n">
        <v>45595.87626157407</v>
      </c>
      <c r="C5893" s="1" t="n">
        <v>45962</v>
      </c>
      <c r="D5893" t="inlineStr">
        <is>
          <t>JÖNKÖPINGS LÄN</t>
        </is>
      </c>
      <c r="E5893" t="inlineStr">
        <is>
          <t>NÄSSJÖ</t>
        </is>
      </c>
      <c r="G5893" t="n">
        <v>1.4</v>
      </c>
      <c r="H5893" t="n">
        <v>0</v>
      </c>
      <c r="I5893" t="n">
        <v>0</v>
      </c>
      <c r="J5893" t="n">
        <v>0</v>
      </c>
      <c r="K5893" t="n">
        <v>0</v>
      </c>
      <c r="L5893" t="n">
        <v>0</v>
      </c>
      <c r="M5893" t="n">
        <v>0</v>
      </c>
      <c r="N5893" t="n">
        <v>0</v>
      </c>
      <c r="O5893" t="n">
        <v>0</v>
      </c>
      <c r="P5893" t="n">
        <v>0</v>
      </c>
      <c r="Q5893" t="n">
        <v>0</v>
      </c>
      <c r="R5893" s="2" t="inlineStr"/>
    </row>
    <row r="5894" ht="15" customHeight="1">
      <c r="A5894" t="inlineStr">
        <is>
          <t>A 17571-2025</t>
        </is>
      </c>
      <c r="B5894" s="1" t="n">
        <v>45757.64601851852</v>
      </c>
      <c r="C5894" s="1" t="n">
        <v>45962</v>
      </c>
      <c r="D5894" t="inlineStr">
        <is>
          <t>JÖNKÖPINGS LÄN</t>
        </is>
      </c>
      <c r="E5894" t="inlineStr">
        <is>
          <t>TRANÅS</t>
        </is>
      </c>
      <c r="G5894" t="n">
        <v>3.2</v>
      </c>
      <c r="H5894" t="n">
        <v>0</v>
      </c>
      <c r="I5894" t="n">
        <v>0</v>
      </c>
      <c r="J5894" t="n">
        <v>0</v>
      </c>
      <c r="K5894" t="n">
        <v>0</v>
      </c>
      <c r="L5894" t="n">
        <v>0</v>
      </c>
      <c r="M5894" t="n">
        <v>0</v>
      </c>
      <c r="N5894" t="n">
        <v>0</v>
      </c>
      <c r="O5894" t="n">
        <v>0</v>
      </c>
      <c r="P5894" t="n">
        <v>0</v>
      </c>
      <c r="Q5894" t="n">
        <v>0</v>
      </c>
      <c r="R5894" s="2" t="inlineStr"/>
    </row>
    <row r="5895" ht="15" customHeight="1">
      <c r="A5895" t="inlineStr">
        <is>
          <t>A 35335-2025</t>
        </is>
      </c>
      <c r="B5895" s="1" t="n">
        <v>45854.58268518518</v>
      </c>
      <c r="C5895" s="1" t="n">
        <v>45962</v>
      </c>
      <c r="D5895" t="inlineStr">
        <is>
          <t>JÖNKÖPINGS LÄN</t>
        </is>
      </c>
      <c r="E5895" t="inlineStr">
        <is>
          <t>VETLANDA</t>
        </is>
      </c>
      <c r="G5895" t="n">
        <v>0.5</v>
      </c>
      <c r="H5895" t="n">
        <v>0</v>
      </c>
      <c r="I5895" t="n">
        <v>0</v>
      </c>
      <c r="J5895" t="n">
        <v>0</v>
      </c>
      <c r="K5895" t="n">
        <v>0</v>
      </c>
      <c r="L5895" t="n">
        <v>0</v>
      </c>
      <c r="M5895" t="n">
        <v>0</v>
      </c>
      <c r="N5895" t="n">
        <v>0</v>
      </c>
      <c r="O5895" t="n">
        <v>0</v>
      </c>
      <c r="P5895" t="n">
        <v>0</v>
      </c>
      <c r="Q5895" t="n">
        <v>0</v>
      </c>
      <c r="R5895" s="2" t="inlineStr"/>
    </row>
    <row r="5896" ht="15" customHeight="1">
      <c r="A5896" t="inlineStr">
        <is>
          <t>A 36768-2024</t>
        </is>
      </c>
      <c r="B5896" s="1" t="n">
        <v>45538.37537037037</v>
      </c>
      <c r="C5896" s="1" t="n">
        <v>45962</v>
      </c>
      <c r="D5896" t="inlineStr">
        <is>
          <t>JÖNKÖPINGS LÄN</t>
        </is>
      </c>
      <c r="E5896" t="inlineStr">
        <is>
          <t>VETLANDA</t>
        </is>
      </c>
      <c r="G5896" t="n">
        <v>0.9</v>
      </c>
      <c r="H5896" t="n">
        <v>0</v>
      </c>
      <c r="I5896" t="n">
        <v>0</v>
      </c>
      <c r="J5896" t="n">
        <v>0</v>
      </c>
      <c r="K5896" t="n">
        <v>0</v>
      </c>
      <c r="L5896" t="n">
        <v>0</v>
      </c>
      <c r="M5896" t="n">
        <v>0</v>
      </c>
      <c r="N5896" t="n">
        <v>0</v>
      </c>
      <c r="O5896" t="n">
        <v>0</v>
      </c>
      <c r="P5896" t="n">
        <v>0</v>
      </c>
      <c r="Q5896" t="n">
        <v>0</v>
      </c>
      <c r="R5896" s="2" t="inlineStr"/>
    </row>
    <row r="5897" ht="15" customHeight="1">
      <c r="A5897" t="inlineStr">
        <is>
          <t>A 10943-2022</t>
        </is>
      </c>
      <c r="B5897" s="1" t="n">
        <v>44628</v>
      </c>
      <c r="C5897" s="1" t="n">
        <v>45962</v>
      </c>
      <c r="D5897" t="inlineStr">
        <is>
          <t>JÖNKÖPINGS LÄN</t>
        </is>
      </c>
      <c r="E5897" t="inlineStr">
        <is>
          <t>HABO</t>
        </is>
      </c>
      <c r="G5897" t="n">
        <v>0.7</v>
      </c>
      <c r="H5897" t="n">
        <v>0</v>
      </c>
      <c r="I5897" t="n">
        <v>0</v>
      </c>
      <c r="J5897" t="n">
        <v>0</v>
      </c>
      <c r="K5897" t="n">
        <v>0</v>
      </c>
      <c r="L5897" t="n">
        <v>0</v>
      </c>
      <c r="M5897" t="n">
        <v>0</v>
      </c>
      <c r="N5897" t="n">
        <v>0</v>
      </c>
      <c r="O5897" t="n">
        <v>0</v>
      </c>
      <c r="P5897" t="n">
        <v>0</v>
      </c>
      <c r="Q5897" t="n">
        <v>0</v>
      </c>
      <c r="R5897" s="2" t="inlineStr"/>
    </row>
    <row r="5898" ht="15" customHeight="1">
      <c r="A5898" t="inlineStr">
        <is>
          <t>A 31457-2023</t>
        </is>
      </c>
      <c r="B5898" s="1" t="n">
        <v>45114</v>
      </c>
      <c r="C5898" s="1" t="n">
        <v>45962</v>
      </c>
      <c r="D5898" t="inlineStr">
        <is>
          <t>JÖNKÖPINGS LÄN</t>
        </is>
      </c>
      <c r="E5898" t="inlineStr">
        <is>
          <t>VETLANDA</t>
        </is>
      </c>
      <c r="G5898" t="n">
        <v>5.7</v>
      </c>
      <c r="H5898" t="n">
        <v>0</v>
      </c>
      <c r="I5898" t="n">
        <v>0</v>
      </c>
      <c r="J5898" t="n">
        <v>0</v>
      </c>
      <c r="K5898" t="n">
        <v>0</v>
      </c>
      <c r="L5898" t="n">
        <v>0</v>
      </c>
      <c r="M5898" t="n">
        <v>0</v>
      </c>
      <c r="N5898" t="n">
        <v>0</v>
      </c>
      <c r="O5898" t="n">
        <v>0</v>
      </c>
      <c r="P5898" t="n">
        <v>0</v>
      </c>
      <c r="Q5898" t="n">
        <v>0</v>
      </c>
      <c r="R5898" s="2" t="inlineStr"/>
    </row>
    <row r="5899" ht="15" customHeight="1">
      <c r="A5899" t="inlineStr">
        <is>
          <t>A 54405-2024</t>
        </is>
      </c>
      <c r="B5899" s="1" t="n">
        <v>45617.47127314815</v>
      </c>
      <c r="C5899" s="1" t="n">
        <v>45962</v>
      </c>
      <c r="D5899" t="inlineStr">
        <is>
          <t>JÖNKÖPINGS LÄN</t>
        </is>
      </c>
      <c r="E5899" t="inlineStr">
        <is>
          <t>VAGGERYD</t>
        </is>
      </c>
      <c r="F5899" t="inlineStr">
        <is>
          <t>Sveaskog</t>
        </is>
      </c>
      <c r="G5899" t="n">
        <v>0.9</v>
      </c>
      <c r="H5899" t="n">
        <v>0</v>
      </c>
      <c r="I5899" t="n">
        <v>0</v>
      </c>
      <c r="J5899" t="n">
        <v>0</v>
      </c>
      <c r="K5899" t="n">
        <v>0</v>
      </c>
      <c r="L5899" t="n">
        <v>0</v>
      </c>
      <c r="M5899" t="n">
        <v>0</v>
      </c>
      <c r="N5899" t="n">
        <v>0</v>
      </c>
      <c r="O5899" t="n">
        <v>0</v>
      </c>
      <c r="P5899" t="n">
        <v>0</v>
      </c>
      <c r="Q5899" t="n">
        <v>0</v>
      </c>
      <c r="R5899" s="2" t="inlineStr"/>
    </row>
    <row r="5900" ht="15" customHeight="1">
      <c r="A5900" t="inlineStr">
        <is>
          <t>A 36302-2021</t>
        </is>
      </c>
      <c r="B5900" s="1" t="n">
        <v>44390.42636574074</v>
      </c>
      <c r="C5900" s="1" t="n">
        <v>45962</v>
      </c>
      <c r="D5900" t="inlineStr">
        <is>
          <t>JÖNKÖPINGS LÄN</t>
        </is>
      </c>
      <c r="E5900" t="inlineStr">
        <is>
          <t>EKSJÖ</t>
        </is>
      </c>
      <c r="G5900" t="n">
        <v>2.3</v>
      </c>
      <c r="H5900" t="n">
        <v>0</v>
      </c>
      <c r="I5900" t="n">
        <v>0</v>
      </c>
      <c r="J5900" t="n">
        <v>0</v>
      </c>
      <c r="K5900" t="n">
        <v>0</v>
      </c>
      <c r="L5900" t="n">
        <v>0</v>
      </c>
      <c r="M5900" t="n">
        <v>0</v>
      </c>
      <c r="N5900" t="n">
        <v>0</v>
      </c>
      <c r="O5900" t="n">
        <v>0</v>
      </c>
      <c r="P5900" t="n">
        <v>0</v>
      </c>
      <c r="Q5900" t="n">
        <v>0</v>
      </c>
      <c r="R5900" s="2" t="inlineStr"/>
    </row>
    <row r="5901" ht="15" customHeight="1">
      <c r="A5901" t="inlineStr">
        <is>
          <t>A 902-2024</t>
        </is>
      </c>
      <c r="B5901" s="1" t="n">
        <v>45300</v>
      </c>
      <c r="C5901" s="1" t="n">
        <v>45962</v>
      </c>
      <c r="D5901" t="inlineStr">
        <is>
          <t>JÖNKÖPINGS LÄN</t>
        </is>
      </c>
      <c r="E5901" t="inlineStr">
        <is>
          <t>JÖNKÖPING</t>
        </is>
      </c>
      <c r="G5901" t="n">
        <v>0.7</v>
      </c>
      <c r="H5901" t="n">
        <v>0</v>
      </c>
      <c r="I5901" t="n">
        <v>0</v>
      </c>
      <c r="J5901" t="n">
        <v>0</v>
      </c>
      <c r="K5901" t="n">
        <v>0</v>
      </c>
      <c r="L5901" t="n">
        <v>0</v>
      </c>
      <c r="M5901" t="n">
        <v>0</v>
      </c>
      <c r="N5901" t="n">
        <v>0</v>
      </c>
      <c r="O5901" t="n">
        <v>0</v>
      </c>
      <c r="P5901" t="n">
        <v>0</v>
      </c>
      <c r="Q5901" t="n">
        <v>0</v>
      </c>
      <c r="R5901" s="2" t="inlineStr"/>
    </row>
    <row r="5902" ht="15" customHeight="1">
      <c r="A5902" t="inlineStr">
        <is>
          <t>A 35268-2025</t>
        </is>
      </c>
      <c r="B5902" s="1" t="n">
        <v>45853.84069444444</v>
      </c>
      <c r="C5902" s="1" t="n">
        <v>45962</v>
      </c>
      <c r="D5902" t="inlineStr">
        <is>
          <t>JÖNKÖPINGS LÄN</t>
        </is>
      </c>
      <c r="E5902" t="inlineStr">
        <is>
          <t>VÄRNAMO</t>
        </is>
      </c>
      <c r="G5902" t="n">
        <v>1.4</v>
      </c>
      <c r="H5902" t="n">
        <v>0</v>
      </c>
      <c r="I5902" t="n">
        <v>0</v>
      </c>
      <c r="J5902" t="n">
        <v>0</v>
      </c>
      <c r="K5902" t="n">
        <v>0</v>
      </c>
      <c r="L5902" t="n">
        <v>0</v>
      </c>
      <c r="M5902" t="n">
        <v>0</v>
      </c>
      <c r="N5902" t="n">
        <v>0</v>
      </c>
      <c r="O5902" t="n">
        <v>0</v>
      </c>
      <c r="P5902" t="n">
        <v>0</v>
      </c>
      <c r="Q5902" t="n">
        <v>0</v>
      </c>
      <c r="R5902" s="2" t="inlineStr"/>
    </row>
    <row r="5903" ht="15" customHeight="1">
      <c r="A5903" t="inlineStr">
        <is>
          <t>A 36393-2024</t>
        </is>
      </c>
      <c r="B5903" s="1" t="n">
        <v>45534.76524305555</v>
      </c>
      <c r="C5903" s="1" t="n">
        <v>45962</v>
      </c>
      <c r="D5903" t="inlineStr">
        <is>
          <t>JÖNKÖPINGS LÄN</t>
        </is>
      </c>
      <c r="E5903" t="inlineStr">
        <is>
          <t>SÄVSJÖ</t>
        </is>
      </c>
      <c r="G5903" t="n">
        <v>1.3</v>
      </c>
      <c r="H5903" t="n">
        <v>0</v>
      </c>
      <c r="I5903" t="n">
        <v>0</v>
      </c>
      <c r="J5903" t="n">
        <v>0</v>
      </c>
      <c r="K5903" t="n">
        <v>0</v>
      </c>
      <c r="L5903" t="n">
        <v>0</v>
      </c>
      <c r="M5903" t="n">
        <v>0</v>
      </c>
      <c r="N5903" t="n">
        <v>0</v>
      </c>
      <c r="O5903" t="n">
        <v>0</v>
      </c>
      <c r="P5903" t="n">
        <v>0</v>
      </c>
      <c r="Q5903" t="n">
        <v>0</v>
      </c>
      <c r="R5903" s="2" t="inlineStr"/>
    </row>
    <row r="5904" ht="15" customHeight="1">
      <c r="A5904" t="inlineStr">
        <is>
          <t>A 35267-2025</t>
        </is>
      </c>
      <c r="B5904" s="1" t="n">
        <v>45853.83872685185</v>
      </c>
      <c r="C5904" s="1" t="n">
        <v>45962</v>
      </c>
      <c r="D5904" t="inlineStr">
        <is>
          <t>JÖNKÖPINGS LÄN</t>
        </is>
      </c>
      <c r="E5904" t="inlineStr">
        <is>
          <t>VÄRNAMO</t>
        </is>
      </c>
      <c r="G5904" t="n">
        <v>2.1</v>
      </c>
      <c r="H5904" t="n">
        <v>0</v>
      </c>
      <c r="I5904" t="n">
        <v>0</v>
      </c>
      <c r="J5904" t="n">
        <v>0</v>
      </c>
      <c r="K5904" t="n">
        <v>0</v>
      </c>
      <c r="L5904" t="n">
        <v>0</v>
      </c>
      <c r="M5904" t="n">
        <v>0</v>
      </c>
      <c r="N5904" t="n">
        <v>0</v>
      </c>
      <c r="O5904" t="n">
        <v>0</v>
      </c>
      <c r="P5904" t="n">
        <v>0</v>
      </c>
      <c r="Q5904" t="n">
        <v>0</v>
      </c>
      <c r="R5904" s="2" t="inlineStr"/>
    </row>
    <row r="5905" ht="15" customHeight="1">
      <c r="A5905" t="inlineStr">
        <is>
          <t>A 30415-2025</t>
        </is>
      </c>
      <c r="B5905" s="1" t="n">
        <v>45827.60533564815</v>
      </c>
      <c r="C5905" s="1" t="n">
        <v>45962</v>
      </c>
      <c r="D5905" t="inlineStr">
        <is>
          <t>JÖNKÖPINGS LÄN</t>
        </is>
      </c>
      <c r="E5905" t="inlineStr">
        <is>
          <t>VETLANDA</t>
        </is>
      </c>
      <c r="G5905" t="n">
        <v>2.4</v>
      </c>
      <c r="H5905" t="n">
        <v>0</v>
      </c>
      <c r="I5905" t="n">
        <v>0</v>
      </c>
      <c r="J5905" t="n">
        <v>0</v>
      </c>
      <c r="K5905" t="n">
        <v>0</v>
      </c>
      <c r="L5905" t="n">
        <v>0</v>
      </c>
      <c r="M5905" t="n">
        <v>0</v>
      </c>
      <c r="N5905" t="n">
        <v>0</v>
      </c>
      <c r="O5905" t="n">
        <v>0</v>
      </c>
      <c r="P5905" t="n">
        <v>0</v>
      </c>
      <c r="Q5905" t="n">
        <v>0</v>
      </c>
      <c r="R5905" s="2" t="inlineStr"/>
    </row>
    <row r="5906" ht="15" customHeight="1">
      <c r="A5906" t="inlineStr">
        <is>
          <t>A 54514-2024</t>
        </is>
      </c>
      <c r="B5906" s="1" t="n">
        <v>45617.5908449074</v>
      </c>
      <c r="C5906" s="1" t="n">
        <v>45962</v>
      </c>
      <c r="D5906" t="inlineStr">
        <is>
          <t>JÖNKÖPINGS LÄN</t>
        </is>
      </c>
      <c r="E5906" t="inlineStr">
        <is>
          <t>NÄSSJÖ</t>
        </is>
      </c>
      <c r="G5906" t="n">
        <v>1.6</v>
      </c>
      <c r="H5906" t="n">
        <v>0</v>
      </c>
      <c r="I5906" t="n">
        <v>0</v>
      </c>
      <c r="J5906" t="n">
        <v>0</v>
      </c>
      <c r="K5906" t="n">
        <v>0</v>
      </c>
      <c r="L5906" t="n">
        <v>0</v>
      </c>
      <c r="M5906" t="n">
        <v>0</v>
      </c>
      <c r="N5906" t="n">
        <v>0</v>
      </c>
      <c r="O5906" t="n">
        <v>0</v>
      </c>
      <c r="P5906" t="n">
        <v>0</v>
      </c>
      <c r="Q5906" t="n">
        <v>0</v>
      </c>
      <c r="R5906" s="2" t="inlineStr"/>
    </row>
    <row r="5907" ht="15" customHeight="1">
      <c r="A5907" t="inlineStr">
        <is>
          <t>A 42110-2024</t>
        </is>
      </c>
      <c r="B5907" s="1" t="n">
        <v>45562.38306712963</v>
      </c>
      <c r="C5907" s="1" t="n">
        <v>45962</v>
      </c>
      <c r="D5907" t="inlineStr">
        <is>
          <t>JÖNKÖPINGS LÄN</t>
        </is>
      </c>
      <c r="E5907" t="inlineStr">
        <is>
          <t>JÖNKÖPING</t>
        </is>
      </c>
      <c r="G5907" t="n">
        <v>6.1</v>
      </c>
      <c r="H5907" t="n">
        <v>0</v>
      </c>
      <c r="I5907" t="n">
        <v>0</v>
      </c>
      <c r="J5907" t="n">
        <v>0</v>
      </c>
      <c r="K5907" t="n">
        <v>0</v>
      </c>
      <c r="L5907" t="n">
        <v>0</v>
      </c>
      <c r="M5907" t="n">
        <v>0</v>
      </c>
      <c r="N5907" t="n">
        <v>0</v>
      </c>
      <c r="O5907" t="n">
        <v>0</v>
      </c>
      <c r="P5907" t="n">
        <v>0</v>
      </c>
      <c r="Q5907" t="n">
        <v>0</v>
      </c>
      <c r="R5907" s="2" t="inlineStr"/>
    </row>
    <row r="5908" ht="15" customHeight="1">
      <c r="A5908" t="inlineStr">
        <is>
          <t>A 38069-2025</t>
        </is>
      </c>
      <c r="B5908" s="1" t="n">
        <v>45882</v>
      </c>
      <c r="C5908" s="1" t="n">
        <v>45962</v>
      </c>
      <c r="D5908" t="inlineStr">
        <is>
          <t>JÖNKÖPINGS LÄN</t>
        </is>
      </c>
      <c r="E5908" t="inlineStr">
        <is>
          <t>HABO</t>
        </is>
      </c>
      <c r="F5908" t="inlineStr">
        <is>
          <t>Allmännings- och besparingsskogar</t>
        </is>
      </c>
      <c r="G5908" t="n">
        <v>6.8</v>
      </c>
      <c r="H5908" t="n">
        <v>0</v>
      </c>
      <c r="I5908" t="n">
        <v>0</v>
      </c>
      <c r="J5908" t="n">
        <v>0</v>
      </c>
      <c r="K5908" t="n">
        <v>0</v>
      </c>
      <c r="L5908" t="n">
        <v>0</v>
      </c>
      <c r="M5908" t="n">
        <v>0</v>
      </c>
      <c r="N5908" t="n">
        <v>0</v>
      </c>
      <c r="O5908" t="n">
        <v>0</v>
      </c>
      <c r="P5908" t="n">
        <v>0</v>
      </c>
      <c r="Q5908" t="n">
        <v>0</v>
      </c>
      <c r="R5908" s="2" t="inlineStr"/>
    </row>
    <row r="5909" ht="15" customHeight="1">
      <c r="A5909" t="inlineStr">
        <is>
          <t>A 33936-2021</t>
        </is>
      </c>
      <c r="B5909" s="1" t="n">
        <v>44378.77103009259</v>
      </c>
      <c r="C5909" s="1" t="n">
        <v>45962</v>
      </c>
      <c r="D5909" t="inlineStr">
        <is>
          <t>JÖNKÖPINGS LÄN</t>
        </is>
      </c>
      <c r="E5909" t="inlineStr">
        <is>
          <t>EKSJÖ</t>
        </is>
      </c>
      <c r="F5909" t="inlineStr">
        <is>
          <t>Sveaskog</t>
        </is>
      </c>
      <c r="G5909" t="n">
        <v>4.1</v>
      </c>
      <c r="H5909" t="n">
        <v>0</v>
      </c>
      <c r="I5909" t="n">
        <v>0</v>
      </c>
      <c r="J5909" t="n">
        <v>0</v>
      </c>
      <c r="K5909" t="n">
        <v>0</v>
      </c>
      <c r="L5909" t="n">
        <v>0</v>
      </c>
      <c r="M5909" t="n">
        <v>0</v>
      </c>
      <c r="N5909" t="n">
        <v>0</v>
      </c>
      <c r="O5909" t="n">
        <v>0</v>
      </c>
      <c r="P5909" t="n">
        <v>0</v>
      </c>
      <c r="Q5909" t="n">
        <v>0</v>
      </c>
      <c r="R5909" s="2" t="inlineStr"/>
    </row>
    <row r="5910" ht="15" customHeight="1">
      <c r="A5910" t="inlineStr">
        <is>
          <t>A 46883-2024</t>
        </is>
      </c>
      <c r="B5910" s="1" t="n">
        <v>45583.65766203704</v>
      </c>
      <c r="C5910" s="1" t="n">
        <v>45962</v>
      </c>
      <c r="D5910" t="inlineStr">
        <is>
          <t>JÖNKÖPINGS LÄN</t>
        </is>
      </c>
      <c r="E5910" t="inlineStr">
        <is>
          <t>VAGGERYD</t>
        </is>
      </c>
      <c r="G5910" t="n">
        <v>0.3</v>
      </c>
      <c r="H5910" t="n">
        <v>0</v>
      </c>
      <c r="I5910" t="n">
        <v>0</v>
      </c>
      <c r="J5910" t="n">
        <v>0</v>
      </c>
      <c r="K5910" t="n">
        <v>0</v>
      </c>
      <c r="L5910" t="n">
        <v>0</v>
      </c>
      <c r="M5910" t="n">
        <v>0</v>
      </c>
      <c r="N5910" t="n">
        <v>0</v>
      </c>
      <c r="O5910" t="n">
        <v>0</v>
      </c>
      <c r="P5910" t="n">
        <v>0</v>
      </c>
      <c r="Q5910" t="n">
        <v>0</v>
      </c>
      <c r="R5910" s="2" t="inlineStr"/>
    </row>
    <row r="5911" ht="15" customHeight="1">
      <c r="A5911" t="inlineStr">
        <is>
          <t>A 10673-2022</t>
        </is>
      </c>
      <c r="B5911" s="1" t="n">
        <v>44624.64258101852</v>
      </c>
      <c r="C5911" s="1" t="n">
        <v>45962</v>
      </c>
      <c r="D5911" t="inlineStr">
        <is>
          <t>JÖNKÖPINGS LÄN</t>
        </is>
      </c>
      <c r="E5911" t="inlineStr">
        <is>
          <t>GISLAVED</t>
        </is>
      </c>
      <c r="G5911" t="n">
        <v>0.8</v>
      </c>
      <c r="H5911" t="n">
        <v>0</v>
      </c>
      <c r="I5911" t="n">
        <v>0</v>
      </c>
      <c r="J5911" t="n">
        <v>0</v>
      </c>
      <c r="K5911" t="n">
        <v>0</v>
      </c>
      <c r="L5911" t="n">
        <v>0</v>
      </c>
      <c r="M5911" t="n">
        <v>0</v>
      </c>
      <c r="N5911" t="n">
        <v>0</v>
      </c>
      <c r="O5911" t="n">
        <v>0</v>
      </c>
      <c r="P5911" t="n">
        <v>0</v>
      </c>
      <c r="Q5911" t="n">
        <v>0</v>
      </c>
      <c r="R5911" s="2" t="inlineStr"/>
    </row>
    <row r="5912" ht="15" customHeight="1">
      <c r="A5912" t="inlineStr">
        <is>
          <t>A 24646-2021</t>
        </is>
      </c>
      <c r="B5912" s="1" t="n">
        <v>44340.39305555556</v>
      </c>
      <c r="C5912" s="1" t="n">
        <v>45962</v>
      </c>
      <c r="D5912" t="inlineStr">
        <is>
          <t>JÖNKÖPINGS LÄN</t>
        </is>
      </c>
      <c r="E5912" t="inlineStr">
        <is>
          <t>VETLANDA</t>
        </is>
      </c>
      <c r="G5912" t="n">
        <v>1.9</v>
      </c>
      <c r="H5912" t="n">
        <v>0</v>
      </c>
      <c r="I5912" t="n">
        <v>0</v>
      </c>
      <c r="J5912" t="n">
        <v>0</v>
      </c>
      <c r="K5912" t="n">
        <v>0</v>
      </c>
      <c r="L5912" t="n">
        <v>0</v>
      </c>
      <c r="M5912" t="n">
        <v>0</v>
      </c>
      <c r="N5912" t="n">
        <v>0</v>
      </c>
      <c r="O5912" t="n">
        <v>0</v>
      </c>
      <c r="P5912" t="n">
        <v>0</v>
      </c>
      <c r="Q5912" t="n">
        <v>0</v>
      </c>
      <c r="R5912" s="2" t="inlineStr"/>
    </row>
    <row r="5913" ht="15" customHeight="1">
      <c r="A5913" t="inlineStr">
        <is>
          <t>A 32572-2025</t>
        </is>
      </c>
      <c r="B5913" s="1" t="n">
        <v>45838</v>
      </c>
      <c r="C5913" s="1" t="n">
        <v>45962</v>
      </c>
      <c r="D5913" t="inlineStr">
        <is>
          <t>JÖNKÖPINGS LÄN</t>
        </is>
      </c>
      <c r="E5913" t="inlineStr">
        <is>
          <t>ANEBY</t>
        </is>
      </c>
      <c r="G5913" t="n">
        <v>3.1</v>
      </c>
      <c r="H5913" t="n">
        <v>0</v>
      </c>
      <c r="I5913" t="n">
        <v>0</v>
      </c>
      <c r="J5913" t="n">
        <v>0</v>
      </c>
      <c r="K5913" t="n">
        <v>0</v>
      </c>
      <c r="L5913" t="n">
        <v>0</v>
      </c>
      <c r="M5913" t="n">
        <v>0</v>
      </c>
      <c r="N5913" t="n">
        <v>0</v>
      </c>
      <c r="O5913" t="n">
        <v>0</v>
      </c>
      <c r="P5913" t="n">
        <v>0</v>
      </c>
      <c r="Q5913" t="n">
        <v>0</v>
      </c>
      <c r="R5913" s="2" t="inlineStr"/>
    </row>
    <row r="5914" ht="15" customHeight="1">
      <c r="A5914" t="inlineStr">
        <is>
          <t>A 35263-2025</t>
        </is>
      </c>
      <c r="B5914" s="1" t="n">
        <v>45853.80796296296</v>
      </c>
      <c r="C5914" s="1" t="n">
        <v>45962</v>
      </c>
      <c r="D5914" t="inlineStr">
        <is>
          <t>JÖNKÖPINGS LÄN</t>
        </is>
      </c>
      <c r="E5914" t="inlineStr">
        <is>
          <t>VÄRNAMO</t>
        </is>
      </c>
      <c r="G5914" t="n">
        <v>0.6</v>
      </c>
      <c r="H5914" t="n">
        <v>0</v>
      </c>
      <c r="I5914" t="n">
        <v>0</v>
      </c>
      <c r="J5914" t="n">
        <v>0</v>
      </c>
      <c r="K5914" t="n">
        <v>0</v>
      </c>
      <c r="L5914" t="n">
        <v>0</v>
      </c>
      <c r="M5914" t="n">
        <v>0</v>
      </c>
      <c r="N5914" t="n">
        <v>0</v>
      </c>
      <c r="O5914" t="n">
        <v>0</v>
      </c>
      <c r="P5914" t="n">
        <v>0</v>
      </c>
      <c r="Q5914" t="n">
        <v>0</v>
      </c>
      <c r="R5914" s="2" t="inlineStr"/>
    </row>
    <row r="5915" ht="15" customHeight="1">
      <c r="A5915" t="inlineStr">
        <is>
          <t>A 215-2022</t>
        </is>
      </c>
      <c r="B5915" s="1" t="n">
        <v>44564</v>
      </c>
      <c r="C5915" s="1" t="n">
        <v>45962</v>
      </c>
      <c r="D5915" t="inlineStr">
        <is>
          <t>JÖNKÖPINGS LÄN</t>
        </is>
      </c>
      <c r="E5915" t="inlineStr">
        <is>
          <t>NÄSSJÖ</t>
        </is>
      </c>
      <c r="G5915" t="n">
        <v>0.5</v>
      </c>
      <c r="H5915" t="n">
        <v>0</v>
      </c>
      <c r="I5915" t="n">
        <v>0</v>
      </c>
      <c r="J5915" t="n">
        <v>0</v>
      </c>
      <c r="K5915" t="n">
        <v>0</v>
      </c>
      <c r="L5915" t="n">
        <v>0</v>
      </c>
      <c r="M5915" t="n">
        <v>0</v>
      </c>
      <c r="N5915" t="n">
        <v>0</v>
      </c>
      <c r="O5915" t="n">
        <v>0</v>
      </c>
      <c r="P5915" t="n">
        <v>0</v>
      </c>
      <c r="Q5915" t="n">
        <v>0</v>
      </c>
      <c r="R5915" s="2" t="inlineStr"/>
    </row>
    <row r="5916" ht="15" customHeight="1">
      <c r="A5916" t="inlineStr">
        <is>
          <t>A 482-2024</t>
        </is>
      </c>
      <c r="B5916" s="1" t="n">
        <v>45298</v>
      </c>
      <c r="C5916" s="1" t="n">
        <v>45962</v>
      </c>
      <c r="D5916" t="inlineStr">
        <is>
          <t>JÖNKÖPINGS LÄN</t>
        </is>
      </c>
      <c r="E5916" t="inlineStr">
        <is>
          <t>VETLANDA</t>
        </is>
      </c>
      <c r="G5916" t="n">
        <v>1.4</v>
      </c>
      <c r="H5916" t="n">
        <v>0</v>
      </c>
      <c r="I5916" t="n">
        <v>0</v>
      </c>
      <c r="J5916" t="n">
        <v>0</v>
      </c>
      <c r="K5916" t="n">
        <v>0</v>
      </c>
      <c r="L5916" t="n">
        <v>0</v>
      </c>
      <c r="M5916" t="n">
        <v>0</v>
      </c>
      <c r="N5916" t="n">
        <v>0</v>
      </c>
      <c r="O5916" t="n">
        <v>0</v>
      </c>
      <c r="P5916" t="n">
        <v>0</v>
      </c>
      <c r="Q5916" t="n">
        <v>0</v>
      </c>
      <c r="R5916" s="2" t="inlineStr"/>
    </row>
    <row r="5917" ht="15" customHeight="1">
      <c r="A5917" t="inlineStr">
        <is>
          <t>A 24928-2024</t>
        </is>
      </c>
      <c r="B5917" s="1" t="n">
        <v>45461.6134837963</v>
      </c>
      <c r="C5917" s="1" t="n">
        <v>45962</v>
      </c>
      <c r="D5917" t="inlineStr">
        <is>
          <t>JÖNKÖPINGS LÄN</t>
        </is>
      </c>
      <c r="E5917" t="inlineStr">
        <is>
          <t>EKSJÖ</t>
        </is>
      </c>
      <c r="F5917" t="inlineStr">
        <is>
          <t>Sveaskog</t>
        </is>
      </c>
      <c r="G5917" t="n">
        <v>0.8</v>
      </c>
      <c r="H5917" t="n">
        <v>0</v>
      </c>
      <c r="I5917" t="n">
        <v>0</v>
      </c>
      <c r="J5917" t="n">
        <v>0</v>
      </c>
      <c r="K5917" t="n">
        <v>0</v>
      </c>
      <c r="L5917" t="n">
        <v>0</v>
      </c>
      <c r="M5917" t="n">
        <v>0</v>
      </c>
      <c r="N5917" t="n">
        <v>0</v>
      </c>
      <c r="O5917" t="n">
        <v>0</v>
      </c>
      <c r="P5917" t="n">
        <v>0</v>
      </c>
      <c r="Q5917" t="n">
        <v>0</v>
      </c>
      <c r="R5917" s="2" t="inlineStr"/>
    </row>
    <row r="5918" ht="15" customHeight="1">
      <c r="A5918" t="inlineStr">
        <is>
          <t>A 42366-2024</t>
        </is>
      </c>
      <c r="B5918" s="1" t="n">
        <v>45563.50743055555</v>
      </c>
      <c r="C5918" s="1" t="n">
        <v>45962</v>
      </c>
      <c r="D5918" t="inlineStr">
        <is>
          <t>JÖNKÖPINGS LÄN</t>
        </is>
      </c>
      <c r="E5918" t="inlineStr">
        <is>
          <t>VÄRNAMO</t>
        </is>
      </c>
      <c r="G5918" t="n">
        <v>0.7</v>
      </c>
      <c r="H5918" t="n">
        <v>0</v>
      </c>
      <c r="I5918" t="n">
        <v>0</v>
      </c>
      <c r="J5918" t="n">
        <v>0</v>
      </c>
      <c r="K5918" t="n">
        <v>0</v>
      </c>
      <c r="L5918" t="n">
        <v>0</v>
      </c>
      <c r="M5918" t="n">
        <v>0</v>
      </c>
      <c r="N5918" t="n">
        <v>0</v>
      </c>
      <c r="O5918" t="n">
        <v>0</v>
      </c>
      <c r="P5918" t="n">
        <v>0</v>
      </c>
      <c r="Q5918" t="n">
        <v>0</v>
      </c>
      <c r="R5918" s="2" t="inlineStr"/>
    </row>
    <row r="5919" ht="15" customHeight="1">
      <c r="A5919" t="inlineStr">
        <is>
          <t>A 63906-2020</t>
        </is>
      </c>
      <c r="B5919" s="1" t="n">
        <v>44166</v>
      </c>
      <c r="C5919" s="1" t="n">
        <v>45962</v>
      </c>
      <c r="D5919" t="inlineStr">
        <is>
          <t>JÖNKÖPINGS LÄN</t>
        </is>
      </c>
      <c r="E5919" t="inlineStr">
        <is>
          <t>GNOSJÖ</t>
        </is>
      </c>
      <c r="F5919" t="inlineStr">
        <is>
          <t>Kommuner</t>
        </is>
      </c>
      <c r="G5919" t="n">
        <v>6.6</v>
      </c>
      <c r="H5919" t="n">
        <v>0</v>
      </c>
      <c r="I5919" t="n">
        <v>0</v>
      </c>
      <c r="J5919" t="n">
        <v>0</v>
      </c>
      <c r="K5919" t="n">
        <v>0</v>
      </c>
      <c r="L5919" t="n">
        <v>0</v>
      </c>
      <c r="M5919" t="n">
        <v>0</v>
      </c>
      <c r="N5919" t="n">
        <v>0</v>
      </c>
      <c r="O5919" t="n">
        <v>0</v>
      </c>
      <c r="P5919" t="n">
        <v>0</v>
      </c>
      <c r="Q5919" t="n">
        <v>0</v>
      </c>
      <c r="R5919" s="2" t="inlineStr"/>
    </row>
    <row r="5920" ht="15" customHeight="1">
      <c r="A5920" t="inlineStr">
        <is>
          <t>A 42266-2024</t>
        </is>
      </c>
      <c r="B5920" s="1" t="n">
        <v>45562</v>
      </c>
      <c r="C5920" s="1" t="n">
        <v>45962</v>
      </c>
      <c r="D5920" t="inlineStr">
        <is>
          <t>JÖNKÖPINGS LÄN</t>
        </is>
      </c>
      <c r="E5920" t="inlineStr">
        <is>
          <t>GISLAVED</t>
        </is>
      </c>
      <c r="F5920" t="inlineStr">
        <is>
          <t>Kyrkan</t>
        </is>
      </c>
      <c r="G5920" t="n">
        <v>6.1</v>
      </c>
      <c r="H5920" t="n">
        <v>0</v>
      </c>
      <c r="I5920" t="n">
        <v>0</v>
      </c>
      <c r="J5920" t="n">
        <v>0</v>
      </c>
      <c r="K5920" t="n">
        <v>0</v>
      </c>
      <c r="L5920" t="n">
        <v>0</v>
      </c>
      <c r="M5920" t="n">
        <v>0</v>
      </c>
      <c r="N5920" t="n">
        <v>0</v>
      </c>
      <c r="O5920" t="n">
        <v>0</v>
      </c>
      <c r="P5920" t="n">
        <v>0</v>
      </c>
      <c r="Q5920" t="n">
        <v>0</v>
      </c>
      <c r="R5920" s="2" t="inlineStr"/>
    </row>
    <row r="5921" ht="15" customHeight="1">
      <c r="A5921" t="inlineStr">
        <is>
          <t>A 15690-2025</t>
        </is>
      </c>
      <c r="B5921" s="1" t="n">
        <v>45748.46391203703</v>
      </c>
      <c r="C5921" s="1" t="n">
        <v>45962</v>
      </c>
      <c r="D5921" t="inlineStr">
        <is>
          <t>JÖNKÖPINGS LÄN</t>
        </is>
      </c>
      <c r="E5921" t="inlineStr">
        <is>
          <t>VÄRNAMO</t>
        </is>
      </c>
      <c r="G5921" t="n">
        <v>2.4</v>
      </c>
      <c r="H5921" t="n">
        <v>0</v>
      </c>
      <c r="I5921" t="n">
        <v>0</v>
      </c>
      <c r="J5921" t="n">
        <v>0</v>
      </c>
      <c r="K5921" t="n">
        <v>0</v>
      </c>
      <c r="L5921" t="n">
        <v>0</v>
      </c>
      <c r="M5921" t="n">
        <v>0</v>
      </c>
      <c r="N5921" t="n">
        <v>0</v>
      </c>
      <c r="O5921" t="n">
        <v>0</v>
      </c>
      <c r="P5921" t="n">
        <v>0</v>
      </c>
      <c r="Q5921" t="n">
        <v>0</v>
      </c>
      <c r="R5921" s="2" t="inlineStr"/>
    </row>
    <row r="5922" ht="15" customHeight="1">
      <c r="A5922" t="inlineStr">
        <is>
          <t>A 28232-2024</t>
        </is>
      </c>
      <c r="B5922" s="1" t="n">
        <v>45477.38554398148</v>
      </c>
      <c r="C5922" s="1" t="n">
        <v>45962</v>
      </c>
      <c r="D5922" t="inlineStr">
        <is>
          <t>JÖNKÖPINGS LÄN</t>
        </is>
      </c>
      <c r="E5922" t="inlineStr">
        <is>
          <t>JÖNKÖPING</t>
        </is>
      </c>
      <c r="G5922" t="n">
        <v>0.7</v>
      </c>
      <c r="H5922" t="n">
        <v>0</v>
      </c>
      <c r="I5922" t="n">
        <v>0</v>
      </c>
      <c r="J5922" t="n">
        <v>0</v>
      </c>
      <c r="K5922" t="n">
        <v>0</v>
      </c>
      <c r="L5922" t="n">
        <v>0</v>
      </c>
      <c r="M5922" t="n">
        <v>0</v>
      </c>
      <c r="N5922" t="n">
        <v>0</v>
      </c>
      <c r="O5922" t="n">
        <v>0</v>
      </c>
      <c r="P5922" t="n">
        <v>0</v>
      </c>
      <c r="Q5922" t="n">
        <v>0</v>
      </c>
      <c r="R5922" s="2" t="inlineStr"/>
    </row>
    <row r="5923" ht="15" customHeight="1">
      <c r="A5923" t="inlineStr">
        <is>
          <t>A 28234-2024</t>
        </is>
      </c>
      <c r="B5923" s="1" t="n">
        <v>45477.38663194444</v>
      </c>
      <c r="C5923" s="1" t="n">
        <v>45962</v>
      </c>
      <c r="D5923" t="inlineStr">
        <is>
          <t>JÖNKÖPINGS LÄN</t>
        </is>
      </c>
      <c r="E5923" t="inlineStr">
        <is>
          <t>JÖNKÖPING</t>
        </is>
      </c>
      <c r="G5923" t="n">
        <v>0.8</v>
      </c>
      <c r="H5923" t="n">
        <v>0</v>
      </c>
      <c r="I5923" t="n">
        <v>0</v>
      </c>
      <c r="J5923" t="n">
        <v>0</v>
      </c>
      <c r="K5923" t="n">
        <v>0</v>
      </c>
      <c r="L5923" t="n">
        <v>0</v>
      </c>
      <c r="M5923" t="n">
        <v>0</v>
      </c>
      <c r="N5923" t="n">
        <v>0</v>
      </c>
      <c r="O5923" t="n">
        <v>0</v>
      </c>
      <c r="P5923" t="n">
        <v>0</v>
      </c>
      <c r="Q5923" t="n">
        <v>0</v>
      </c>
      <c r="R5923" s="2" t="inlineStr"/>
    </row>
    <row r="5924" ht="15" customHeight="1">
      <c r="A5924" t="inlineStr">
        <is>
          <t>A 12485-2025</t>
        </is>
      </c>
      <c r="B5924" s="1" t="n">
        <v>45730.58918981482</v>
      </c>
      <c r="C5924" s="1" t="n">
        <v>45962</v>
      </c>
      <c r="D5924" t="inlineStr">
        <is>
          <t>JÖNKÖPINGS LÄN</t>
        </is>
      </c>
      <c r="E5924" t="inlineStr">
        <is>
          <t>GISLAVED</t>
        </is>
      </c>
      <c r="G5924" t="n">
        <v>2.3</v>
      </c>
      <c r="H5924" t="n">
        <v>0</v>
      </c>
      <c r="I5924" t="n">
        <v>0</v>
      </c>
      <c r="J5924" t="n">
        <v>0</v>
      </c>
      <c r="K5924" t="n">
        <v>0</v>
      </c>
      <c r="L5924" t="n">
        <v>0</v>
      </c>
      <c r="M5924" t="n">
        <v>0</v>
      </c>
      <c r="N5924" t="n">
        <v>0</v>
      </c>
      <c r="O5924" t="n">
        <v>0</v>
      </c>
      <c r="P5924" t="n">
        <v>0</v>
      </c>
      <c r="Q5924" t="n">
        <v>0</v>
      </c>
      <c r="R5924" s="2" t="inlineStr"/>
    </row>
    <row r="5925" ht="15" customHeight="1">
      <c r="A5925" t="inlineStr">
        <is>
          <t>A 21290-2024</t>
        </is>
      </c>
      <c r="B5925" s="1" t="n">
        <v>45440.66215277778</v>
      </c>
      <c r="C5925" s="1" t="n">
        <v>45962</v>
      </c>
      <c r="D5925" t="inlineStr">
        <is>
          <t>JÖNKÖPINGS LÄN</t>
        </is>
      </c>
      <c r="E5925" t="inlineStr">
        <is>
          <t>VETLANDA</t>
        </is>
      </c>
      <c r="G5925" t="n">
        <v>0.9</v>
      </c>
      <c r="H5925" t="n">
        <v>0</v>
      </c>
      <c r="I5925" t="n">
        <v>0</v>
      </c>
      <c r="J5925" t="n">
        <v>0</v>
      </c>
      <c r="K5925" t="n">
        <v>0</v>
      </c>
      <c r="L5925" t="n">
        <v>0</v>
      </c>
      <c r="M5925" t="n">
        <v>0</v>
      </c>
      <c r="N5925" t="n">
        <v>0</v>
      </c>
      <c r="O5925" t="n">
        <v>0</v>
      </c>
      <c r="P5925" t="n">
        <v>0</v>
      </c>
      <c r="Q5925" t="n">
        <v>0</v>
      </c>
      <c r="R5925" s="2" t="inlineStr"/>
    </row>
    <row r="5926" ht="15" customHeight="1">
      <c r="A5926" t="inlineStr">
        <is>
          <t>A 39600-2024</t>
        </is>
      </c>
      <c r="B5926" s="1" t="n">
        <v>45552.37902777778</v>
      </c>
      <c r="C5926" s="1" t="n">
        <v>45962</v>
      </c>
      <c r="D5926" t="inlineStr">
        <is>
          <t>JÖNKÖPINGS LÄN</t>
        </is>
      </c>
      <c r="E5926" t="inlineStr">
        <is>
          <t>TRANÅS</t>
        </is>
      </c>
      <c r="G5926" t="n">
        <v>1.1</v>
      </c>
      <c r="H5926" t="n">
        <v>0</v>
      </c>
      <c r="I5926" t="n">
        <v>0</v>
      </c>
      <c r="J5926" t="n">
        <v>0</v>
      </c>
      <c r="K5926" t="n">
        <v>0</v>
      </c>
      <c r="L5926" t="n">
        <v>0</v>
      </c>
      <c r="M5926" t="n">
        <v>0</v>
      </c>
      <c r="N5926" t="n">
        <v>0</v>
      </c>
      <c r="O5926" t="n">
        <v>0</v>
      </c>
      <c r="P5926" t="n">
        <v>0</v>
      </c>
      <c r="Q5926" t="n">
        <v>0</v>
      </c>
      <c r="R5926" s="2" t="inlineStr"/>
    </row>
    <row r="5927" ht="15" customHeight="1">
      <c r="A5927" t="inlineStr">
        <is>
          <t>A 1162-2023</t>
        </is>
      </c>
      <c r="B5927" s="1" t="n">
        <v>44930</v>
      </c>
      <c r="C5927" s="1" t="n">
        <v>45962</v>
      </c>
      <c r="D5927" t="inlineStr">
        <is>
          <t>JÖNKÖPINGS LÄN</t>
        </is>
      </c>
      <c r="E5927" t="inlineStr">
        <is>
          <t>VAGGERYD</t>
        </is>
      </c>
      <c r="G5927" t="n">
        <v>0.8</v>
      </c>
      <c r="H5927" t="n">
        <v>0</v>
      </c>
      <c r="I5927" t="n">
        <v>0</v>
      </c>
      <c r="J5927" t="n">
        <v>0</v>
      </c>
      <c r="K5927" t="n">
        <v>0</v>
      </c>
      <c r="L5927" t="n">
        <v>0</v>
      </c>
      <c r="M5927" t="n">
        <v>0</v>
      </c>
      <c r="N5927" t="n">
        <v>0</v>
      </c>
      <c r="O5927" t="n">
        <v>0</v>
      </c>
      <c r="P5927" t="n">
        <v>0</v>
      </c>
      <c r="Q5927" t="n">
        <v>0</v>
      </c>
      <c r="R5927" s="2" t="inlineStr"/>
    </row>
    <row r="5928" ht="15" customHeight="1">
      <c r="A5928" t="inlineStr">
        <is>
          <t>A 19847-2023</t>
        </is>
      </c>
      <c r="B5928" s="1" t="n">
        <v>45053</v>
      </c>
      <c r="C5928" s="1" t="n">
        <v>45962</v>
      </c>
      <c r="D5928" t="inlineStr">
        <is>
          <t>JÖNKÖPINGS LÄN</t>
        </is>
      </c>
      <c r="E5928" t="inlineStr">
        <is>
          <t>SÄVSJÖ</t>
        </is>
      </c>
      <c r="G5928" t="n">
        <v>2.6</v>
      </c>
      <c r="H5928" t="n">
        <v>0</v>
      </c>
      <c r="I5928" t="n">
        <v>0</v>
      </c>
      <c r="J5928" t="n">
        <v>0</v>
      </c>
      <c r="K5928" t="n">
        <v>0</v>
      </c>
      <c r="L5928" t="n">
        <v>0</v>
      </c>
      <c r="M5928" t="n">
        <v>0</v>
      </c>
      <c r="N5928" t="n">
        <v>0</v>
      </c>
      <c r="O5928" t="n">
        <v>0</v>
      </c>
      <c r="P5928" t="n">
        <v>0</v>
      </c>
      <c r="Q5928" t="n">
        <v>0</v>
      </c>
      <c r="R5928" s="2" t="inlineStr"/>
    </row>
    <row r="5929" ht="15" customHeight="1">
      <c r="A5929" t="inlineStr">
        <is>
          <t>A 10060-2023</t>
        </is>
      </c>
      <c r="B5929" s="1" t="n">
        <v>44985</v>
      </c>
      <c r="C5929" s="1" t="n">
        <v>45962</v>
      </c>
      <c r="D5929" t="inlineStr">
        <is>
          <t>JÖNKÖPINGS LÄN</t>
        </is>
      </c>
      <c r="E5929" t="inlineStr">
        <is>
          <t>NÄSSJÖ</t>
        </is>
      </c>
      <c r="G5929" t="n">
        <v>4.3</v>
      </c>
      <c r="H5929" t="n">
        <v>0</v>
      </c>
      <c r="I5929" t="n">
        <v>0</v>
      </c>
      <c r="J5929" t="n">
        <v>0</v>
      </c>
      <c r="K5929" t="n">
        <v>0</v>
      </c>
      <c r="L5929" t="n">
        <v>0</v>
      </c>
      <c r="M5929" t="n">
        <v>0</v>
      </c>
      <c r="N5929" t="n">
        <v>0</v>
      </c>
      <c r="O5929" t="n">
        <v>0</v>
      </c>
      <c r="P5929" t="n">
        <v>0</v>
      </c>
      <c r="Q5929" t="n">
        <v>0</v>
      </c>
      <c r="R5929" s="2" t="inlineStr"/>
    </row>
    <row r="5930" ht="15" customHeight="1">
      <c r="A5930" t="inlineStr">
        <is>
          <t>A 24005-2025</t>
        </is>
      </c>
      <c r="B5930" s="1" t="n">
        <v>45796.43293981482</v>
      </c>
      <c r="C5930" s="1" t="n">
        <v>45962</v>
      </c>
      <c r="D5930" t="inlineStr">
        <is>
          <t>JÖNKÖPINGS LÄN</t>
        </is>
      </c>
      <c r="E5930" t="inlineStr">
        <is>
          <t>GISLAVED</t>
        </is>
      </c>
      <c r="G5930" t="n">
        <v>2.2</v>
      </c>
      <c r="H5930" t="n">
        <v>0</v>
      </c>
      <c r="I5930" t="n">
        <v>0</v>
      </c>
      <c r="J5930" t="n">
        <v>0</v>
      </c>
      <c r="K5930" t="n">
        <v>0</v>
      </c>
      <c r="L5930" t="n">
        <v>0</v>
      </c>
      <c r="M5930" t="n">
        <v>0</v>
      </c>
      <c r="N5930" t="n">
        <v>0</v>
      </c>
      <c r="O5930" t="n">
        <v>0</v>
      </c>
      <c r="P5930" t="n">
        <v>0</v>
      </c>
      <c r="Q5930" t="n">
        <v>0</v>
      </c>
      <c r="R5930" s="2" t="inlineStr"/>
    </row>
    <row r="5931" ht="15" customHeight="1">
      <c r="A5931" t="inlineStr">
        <is>
          <t>A 16913-2024</t>
        </is>
      </c>
      <c r="B5931" s="1" t="n">
        <v>45411.64677083334</v>
      </c>
      <c r="C5931" s="1" t="n">
        <v>45962</v>
      </c>
      <c r="D5931" t="inlineStr">
        <is>
          <t>JÖNKÖPINGS LÄN</t>
        </is>
      </c>
      <c r="E5931" t="inlineStr">
        <is>
          <t>VAGGERYD</t>
        </is>
      </c>
      <c r="G5931" t="n">
        <v>2.9</v>
      </c>
      <c r="H5931" t="n">
        <v>0</v>
      </c>
      <c r="I5931" t="n">
        <v>0</v>
      </c>
      <c r="J5931" t="n">
        <v>0</v>
      </c>
      <c r="K5931" t="n">
        <v>0</v>
      </c>
      <c r="L5931" t="n">
        <v>0</v>
      </c>
      <c r="M5931" t="n">
        <v>0</v>
      </c>
      <c r="N5931" t="n">
        <v>0</v>
      </c>
      <c r="O5931" t="n">
        <v>0</v>
      </c>
      <c r="P5931" t="n">
        <v>0</v>
      </c>
      <c r="Q5931" t="n">
        <v>0</v>
      </c>
      <c r="R5931" s="2" t="inlineStr"/>
    </row>
    <row r="5932" ht="15" customHeight="1">
      <c r="A5932" t="inlineStr">
        <is>
          <t>A 35570-2025</t>
        </is>
      </c>
      <c r="B5932" s="1" t="n">
        <v>45856.58149305556</v>
      </c>
      <c r="C5932" s="1" t="n">
        <v>45962</v>
      </c>
      <c r="D5932" t="inlineStr">
        <is>
          <t>JÖNKÖPINGS LÄN</t>
        </is>
      </c>
      <c r="E5932" t="inlineStr">
        <is>
          <t>VAGGERYD</t>
        </is>
      </c>
      <c r="G5932" t="n">
        <v>0.5</v>
      </c>
      <c r="H5932" t="n">
        <v>0</v>
      </c>
      <c r="I5932" t="n">
        <v>0</v>
      </c>
      <c r="J5932" t="n">
        <v>0</v>
      </c>
      <c r="K5932" t="n">
        <v>0</v>
      </c>
      <c r="L5932" t="n">
        <v>0</v>
      </c>
      <c r="M5932" t="n">
        <v>0</v>
      </c>
      <c r="N5932" t="n">
        <v>0</v>
      </c>
      <c r="O5932" t="n">
        <v>0</v>
      </c>
      <c r="P5932" t="n">
        <v>0</v>
      </c>
      <c r="Q5932" t="n">
        <v>0</v>
      </c>
      <c r="R5932" s="2" t="inlineStr"/>
    </row>
    <row r="5933" ht="15" customHeight="1">
      <c r="A5933" t="inlineStr">
        <is>
          <t>A 32879-2023</t>
        </is>
      </c>
      <c r="B5933" s="1" t="n">
        <v>45124</v>
      </c>
      <c r="C5933" s="1" t="n">
        <v>45962</v>
      </c>
      <c r="D5933" t="inlineStr">
        <is>
          <t>JÖNKÖPINGS LÄN</t>
        </is>
      </c>
      <c r="E5933" t="inlineStr">
        <is>
          <t>VÄRNAMO</t>
        </is>
      </c>
      <c r="G5933" t="n">
        <v>0.7</v>
      </c>
      <c r="H5933" t="n">
        <v>0</v>
      </c>
      <c r="I5933" t="n">
        <v>0</v>
      </c>
      <c r="J5933" t="n">
        <v>0</v>
      </c>
      <c r="K5933" t="n">
        <v>0</v>
      </c>
      <c r="L5933" t="n">
        <v>0</v>
      </c>
      <c r="M5933" t="n">
        <v>0</v>
      </c>
      <c r="N5933" t="n">
        <v>0</v>
      </c>
      <c r="O5933" t="n">
        <v>0</v>
      </c>
      <c r="P5933" t="n">
        <v>0</v>
      </c>
      <c r="Q5933" t="n">
        <v>0</v>
      </c>
      <c r="R5933" s="2" t="inlineStr"/>
    </row>
    <row r="5934" ht="15" customHeight="1">
      <c r="A5934" t="inlineStr">
        <is>
          <t>A 35654-2025</t>
        </is>
      </c>
      <c r="B5934" s="1" t="n">
        <v>45859.54253472222</v>
      </c>
      <c r="C5934" s="1" t="n">
        <v>45962</v>
      </c>
      <c r="D5934" t="inlineStr">
        <is>
          <t>JÖNKÖPINGS LÄN</t>
        </is>
      </c>
      <c r="E5934" t="inlineStr">
        <is>
          <t>ANEBY</t>
        </is>
      </c>
      <c r="G5934" t="n">
        <v>1.3</v>
      </c>
      <c r="H5934" t="n">
        <v>0</v>
      </c>
      <c r="I5934" t="n">
        <v>0</v>
      </c>
      <c r="J5934" t="n">
        <v>0</v>
      </c>
      <c r="K5934" t="n">
        <v>0</v>
      </c>
      <c r="L5934" t="n">
        <v>0</v>
      </c>
      <c r="M5934" t="n">
        <v>0</v>
      </c>
      <c r="N5934" t="n">
        <v>0</v>
      </c>
      <c r="O5934" t="n">
        <v>0</v>
      </c>
      <c r="P5934" t="n">
        <v>0</v>
      </c>
      <c r="Q5934" t="n">
        <v>0</v>
      </c>
      <c r="R5934" s="2" t="inlineStr"/>
    </row>
    <row r="5935" ht="15" customHeight="1">
      <c r="A5935" t="inlineStr">
        <is>
          <t>A 25010-2021</t>
        </is>
      </c>
      <c r="B5935" s="1" t="n">
        <v>44341</v>
      </c>
      <c r="C5935" s="1" t="n">
        <v>45962</v>
      </c>
      <c r="D5935" t="inlineStr">
        <is>
          <t>JÖNKÖPINGS LÄN</t>
        </is>
      </c>
      <c r="E5935" t="inlineStr">
        <is>
          <t>EKSJÖ</t>
        </is>
      </c>
      <c r="G5935" t="n">
        <v>0.6</v>
      </c>
      <c r="H5935" t="n">
        <v>0</v>
      </c>
      <c r="I5935" t="n">
        <v>0</v>
      </c>
      <c r="J5935" t="n">
        <v>0</v>
      </c>
      <c r="K5935" t="n">
        <v>0</v>
      </c>
      <c r="L5935" t="n">
        <v>0</v>
      </c>
      <c r="M5935" t="n">
        <v>0</v>
      </c>
      <c r="N5935" t="n">
        <v>0</v>
      </c>
      <c r="O5935" t="n">
        <v>0</v>
      </c>
      <c r="P5935" t="n">
        <v>0</v>
      </c>
      <c r="Q5935" t="n">
        <v>0</v>
      </c>
      <c r="R5935" s="2" t="inlineStr"/>
    </row>
    <row r="5936" ht="15" customHeight="1">
      <c r="A5936" t="inlineStr">
        <is>
          <t>A 19943-2025</t>
        </is>
      </c>
      <c r="B5936" s="1" t="n">
        <v>45771.64927083333</v>
      </c>
      <c r="C5936" s="1" t="n">
        <v>45962</v>
      </c>
      <c r="D5936" t="inlineStr">
        <is>
          <t>JÖNKÖPINGS LÄN</t>
        </is>
      </c>
      <c r="E5936" t="inlineStr">
        <is>
          <t>ANEBY</t>
        </is>
      </c>
      <c r="G5936" t="n">
        <v>2</v>
      </c>
      <c r="H5936" t="n">
        <v>0</v>
      </c>
      <c r="I5936" t="n">
        <v>0</v>
      </c>
      <c r="J5936" t="n">
        <v>0</v>
      </c>
      <c r="K5936" t="n">
        <v>0</v>
      </c>
      <c r="L5936" t="n">
        <v>0</v>
      </c>
      <c r="M5936" t="n">
        <v>0</v>
      </c>
      <c r="N5936" t="n">
        <v>0</v>
      </c>
      <c r="O5936" t="n">
        <v>0</v>
      </c>
      <c r="P5936" t="n">
        <v>0</v>
      </c>
      <c r="Q5936" t="n">
        <v>0</v>
      </c>
      <c r="R5936" s="2" t="inlineStr"/>
    </row>
    <row r="5937" ht="15" customHeight="1">
      <c r="A5937" t="inlineStr">
        <is>
          <t>A 57509-2024</t>
        </is>
      </c>
      <c r="B5937" s="1" t="n">
        <v>45630.3944675926</v>
      </c>
      <c r="C5937" s="1" t="n">
        <v>45962</v>
      </c>
      <c r="D5937" t="inlineStr">
        <is>
          <t>JÖNKÖPINGS LÄN</t>
        </is>
      </c>
      <c r="E5937" t="inlineStr">
        <is>
          <t>JÖNKÖPING</t>
        </is>
      </c>
      <c r="F5937" t="inlineStr">
        <is>
          <t>Sveaskog</t>
        </is>
      </c>
      <c r="G5937" t="n">
        <v>1.4</v>
      </c>
      <c r="H5937" t="n">
        <v>0</v>
      </c>
      <c r="I5937" t="n">
        <v>0</v>
      </c>
      <c r="J5937" t="n">
        <v>0</v>
      </c>
      <c r="K5937" t="n">
        <v>0</v>
      </c>
      <c r="L5937" t="n">
        <v>0</v>
      </c>
      <c r="M5937" t="n">
        <v>0</v>
      </c>
      <c r="N5937" t="n">
        <v>0</v>
      </c>
      <c r="O5937" t="n">
        <v>0</v>
      </c>
      <c r="P5937" t="n">
        <v>0</v>
      </c>
      <c r="Q5937" t="n">
        <v>0</v>
      </c>
      <c r="R5937" s="2" t="inlineStr"/>
    </row>
    <row r="5938" ht="15" customHeight="1">
      <c r="A5938" t="inlineStr">
        <is>
          <t>A 8846-2024</t>
        </is>
      </c>
      <c r="B5938" s="1" t="n">
        <v>45356</v>
      </c>
      <c r="C5938" s="1" t="n">
        <v>45962</v>
      </c>
      <c r="D5938" t="inlineStr">
        <is>
          <t>JÖNKÖPINGS LÄN</t>
        </is>
      </c>
      <c r="E5938" t="inlineStr">
        <is>
          <t>ANEBY</t>
        </is>
      </c>
      <c r="G5938" t="n">
        <v>2</v>
      </c>
      <c r="H5938" t="n">
        <v>0</v>
      </c>
      <c r="I5938" t="n">
        <v>0</v>
      </c>
      <c r="J5938" t="n">
        <v>0</v>
      </c>
      <c r="K5938" t="n">
        <v>0</v>
      </c>
      <c r="L5938" t="n">
        <v>0</v>
      </c>
      <c r="M5938" t="n">
        <v>0</v>
      </c>
      <c r="N5938" t="n">
        <v>0</v>
      </c>
      <c r="O5938" t="n">
        <v>0</v>
      </c>
      <c r="P5938" t="n">
        <v>0</v>
      </c>
      <c r="Q5938" t="n">
        <v>0</v>
      </c>
      <c r="R5938" s="2" t="inlineStr"/>
    </row>
    <row r="5939" ht="15" customHeight="1">
      <c r="A5939" t="inlineStr">
        <is>
          <t>A 8849-2024</t>
        </is>
      </c>
      <c r="B5939" s="1" t="n">
        <v>45356.85099537037</v>
      </c>
      <c r="C5939" s="1" t="n">
        <v>45962</v>
      </c>
      <c r="D5939" t="inlineStr">
        <is>
          <t>JÖNKÖPINGS LÄN</t>
        </is>
      </c>
      <c r="E5939" t="inlineStr">
        <is>
          <t>HABO</t>
        </is>
      </c>
      <c r="G5939" t="n">
        <v>2</v>
      </c>
      <c r="H5939" t="n">
        <v>0</v>
      </c>
      <c r="I5939" t="n">
        <v>0</v>
      </c>
      <c r="J5939" t="n">
        <v>0</v>
      </c>
      <c r="K5939" t="n">
        <v>0</v>
      </c>
      <c r="L5939" t="n">
        <v>0</v>
      </c>
      <c r="M5939" t="n">
        <v>0</v>
      </c>
      <c r="N5939" t="n">
        <v>0</v>
      </c>
      <c r="O5939" t="n">
        <v>0</v>
      </c>
      <c r="P5939" t="n">
        <v>0</v>
      </c>
      <c r="Q5939" t="n">
        <v>0</v>
      </c>
      <c r="R5939" s="2" t="inlineStr"/>
    </row>
    <row r="5940" ht="15" customHeight="1">
      <c r="A5940" t="inlineStr">
        <is>
          <t>A 9462-2024</t>
        </is>
      </c>
      <c r="B5940" s="1" t="n">
        <v>45359.54100694445</v>
      </c>
      <c r="C5940" s="1" t="n">
        <v>45962</v>
      </c>
      <c r="D5940" t="inlineStr">
        <is>
          <t>JÖNKÖPINGS LÄN</t>
        </is>
      </c>
      <c r="E5940" t="inlineStr">
        <is>
          <t>JÖNKÖPING</t>
        </is>
      </c>
      <c r="G5940" t="n">
        <v>4.3</v>
      </c>
      <c r="H5940" t="n">
        <v>0</v>
      </c>
      <c r="I5940" t="n">
        <v>0</v>
      </c>
      <c r="J5940" t="n">
        <v>0</v>
      </c>
      <c r="K5940" t="n">
        <v>0</v>
      </c>
      <c r="L5940" t="n">
        <v>0</v>
      </c>
      <c r="M5940" t="n">
        <v>0</v>
      </c>
      <c r="N5940" t="n">
        <v>0</v>
      </c>
      <c r="O5940" t="n">
        <v>0</v>
      </c>
      <c r="P5940" t="n">
        <v>0</v>
      </c>
      <c r="Q5940" t="n">
        <v>0</v>
      </c>
      <c r="R5940" s="2" t="inlineStr"/>
    </row>
    <row r="5941" ht="15" customHeight="1">
      <c r="A5941" t="inlineStr">
        <is>
          <t>A 35516-2025</t>
        </is>
      </c>
      <c r="B5941" s="1" t="n">
        <v>45856.40608796296</v>
      </c>
      <c r="C5941" s="1" t="n">
        <v>45962</v>
      </c>
      <c r="D5941" t="inlineStr">
        <is>
          <t>JÖNKÖPINGS LÄN</t>
        </is>
      </c>
      <c r="E5941" t="inlineStr">
        <is>
          <t>VÄRNAMO</t>
        </is>
      </c>
      <c r="G5941" t="n">
        <v>6.9</v>
      </c>
      <c r="H5941" t="n">
        <v>0</v>
      </c>
      <c r="I5941" t="n">
        <v>0</v>
      </c>
      <c r="J5941" t="n">
        <v>0</v>
      </c>
      <c r="K5941" t="n">
        <v>0</v>
      </c>
      <c r="L5941" t="n">
        <v>0</v>
      </c>
      <c r="M5941" t="n">
        <v>0</v>
      </c>
      <c r="N5941" t="n">
        <v>0</v>
      </c>
      <c r="O5941" t="n">
        <v>0</v>
      </c>
      <c r="P5941" t="n">
        <v>0</v>
      </c>
      <c r="Q5941" t="n">
        <v>0</v>
      </c>
      <c r="R5941" s="2" t="inlineStr"/>
    </row>
    <row r="5942" ht="15" customHeight="1">
      <c r="A5942" t="inlineStr">
        <is>
          <t>A 35518-2025</t>
        </is>
      </c>
      <c r="B5942" s="1" t="n">
        <v>45856.40981481481</v>
      </c>
      <c r="C5942" s="1" t="n">
        <v>45962</v>
      </c>
      <c r="D5942" t="inlineStr">
        <is>
          <t>JÖNKÖPINGS LÄN</t>
        </is>
      </c>
      <c r="E5942" t="inlineStr">
        <is>
          <t>VÄRNAMO</t>
        </is>
      </c>
      <c r="G5942" t="n">
        <v>0.5</v>
      </c>
      <c r="H5942" t="n">
        <v>0</v>
      </c>
      <c r="I5942" t="n">
        <v>0</v>
      </c>
      <c r="J5942" t="n">
        <v>0</v>
      </c>
      <c r="K5942" t="n">
        <v>0</v>
      </c>
      <c r="L5942" t="n">
        <v>0</v>
      </c>
      <c r="M5942" t="n">
        <v>0</v>
      </c>
      <c r="N5942" t="n">
        <v>0</v>
      </c>
      <c r="O5942" t="n">
        <v>0</v>
      </c>
      <c r="P5942" t="n">
        <v>0</v>
      </c>
      <c r="Q5942" t="n">
        <v>0</v>
      </c>
      <c r="R5942" s="2" t="inlineStr"/>
    </row>
    <row r="5943" ht="15" customHeight="1">
      <c r="A5943" t="inlineStr">
        <is>
          <t>A 7583-2023</t>
        </is>
      </c>
      <c r="B5943" s="1" t="n">
        <v>44972.40060185185</v>
      </c>
      <c r="C5943" s="1" t="n">
        <v>45962</v>
      </c>
      <c r="D5943" t="inlineStr">
        <is>
          <t>JÖNKÖPINGS LÄN</t>
        </is>
      </c>
      <c r="E5943" t="inlineStr">
        <is>
          <t>TRANÅS</t>
        </is>
      </c>
      <c r="G5943" t="n">
        <v>1.5</v>
      </c>
      <c r="H5943" t="n">
        <v>0</v>
      </c>
      <c r="I5943" t="n">
        <v>0</v>
      </c>
      <c r="J5943" t="n">
        <v>0</v>
      </c>
      <c r="K5943" t="n">
        <v>0</v>
      </c>
      <c r="L5943" t="n">
        <v>0</v>
      </c>
      <c r="M5943" t="n">
        <v>0</v>
      </c>
      <c r="N5943" t="n">
        <v>0</v>
      </c>
      <c r="O5943" t="n">
        <v>0</v>
      </c>
      <c r="P5943" t="n">
        <v>0</v>
      </c>
      <c r="Q5943" t="n">
        <v>0</v>
      </c>
      <c r="R5943" s="2" t="inlineStr"/>
    </row>
    <row r="5944" ht="15" customHeight="1">
      <c r="A5944" t="inlineStr">
        <is>
          <t>A 24703-2024</t>
        </is>
      </c>
      <c r="B5944" s="1" t="n">
        <v>45460.62070601852</v>
      </c>
      <c r="C5944" s="1" t="n">
        <v>45962</v>
      </c>
      <c r="D5944" t="inlineStr">
        <is>
          <t>JÖNKÖPINGS LÄN</t>
        </is>
      </c>
      <c r="E5944" t="inlineStr">
        <is>
          <t>SÄVSJÖ</t>
        </is>
      </c>
      <c r="G5944" t="n">
        <v>1.2</v>
      </c>
      <c r="H5944" t="n">
        <v>0</v>
      </c>
      <c r="I5944" t="n">
        <v>0</v>
      </c>
      <c r="J5944" t="n">
        <v>0</v>
      </c>
      <c r="K5944" t="n">
        <v>0</v>
      </c>
      <c r="L5944" t="n">
        <v>0</v>
      </c>
      <c r="M5944" t="n">
        <v>0</v>
      </c>
      <c r="N5944" t="n">
        <v>0</v>
      </c>
      <c r="O5944" t="n">
        <v>0</v>
      </c>
      <c r="P5944" t="n">
        <v>0</v>
      </c>
      <c r="Q5944" t="n">
        <v>0</v>
      </c>
      <c r="R5944" s="2" t="inlineStr"/>
    </row>
    <row r="5945" ht="15" customHeight="1">
      <c r="A5945" t="inlineStr">
        <is>
          <t>A 7033-2025</t>
        </is>
      </c>
      <c r="B5945" s="1" t="n">
        <v>45701</v>
      </c>
      <c r="C5945" s="1" t="n">
        <v>45962</v>
      </c>
      <c r="D5945" t="inlineStr">
        <is>
          <t>JÖNKÖPINGS LÄN</t>
        </is>
      </c>
      <c r="E5945" t="inlineStr">
        <is>
          <t>JÖNKÖPING</t>
        </is>
      </c>
      <c r="G5945" t="n">
        <v>2.3</v>
      </c>
      <c r="H5945" t="n">
        <v>0</v>
      </c>
      <c r="I5945" t="n">
        <v>0</v>
      </c>
      <c r="J5945" t="n">
        <v>0</v>
      </c>
      <c r="K5945" t="n">
        <v>0</v>
      </c>
      <c r="L5945" t="n">
        <v>0</v>
      </c>
      <c r="M5945" t="n">
        <v>0</v>
      </c>
      <c r="N5945" t="n">
        <v>0</v>
      </c>
      <c r="O5945" t="n">
        <v>0</v>
      </c>
      <c r="P5945" t="n">
        <v>0</v>
      </c>
      <c r="Q5945" t="n">
        <v>0</v>
      </c>
      <c r="R5945" s="2" t="inlineStr"/>
    </row>
    <row r="5946" ht="15" customHeight="1">
      <c r="A5946" t="inlineStr">
        <is>
          <t>A 16717-2025</t>
        </is>
      </c>
      <c r="B5946" s="1" t="n">
        <v>45754</v>
      </c>
      <c r="C5946" s="1" t="n">
        <v>45962</v>
      </c>
      <c r="D5946" t="inlineStr">
        <is>
          <t>JÖNKÖPINGS LÄN</t>
        </is>
      </c>
      <c r="E5946" t="inlineStr">
        <is>
          <t>GISLAVED</t>
        </is>
      </c>
      <c r="G5946" t="n">
        <v>1</v>
      </c>
      <c r="H5946" t="n">
        <v>0</v>
      </c>
      <c r="I5946" t="n">
        <v>0</v>
      </c>
      <c r="J5946" t="n">
        <v>0</v>
      </c>
      <c r="K5946" t="n">
        <v>0</v>
      </c>
      <c r="L5946" t="n">
        <v>0</v>
      </c>
      <c r="M5946" t="n">
        <v>0</v>
      </c>
      <c r="N5946" t="n">
        <v>0</v>
      </c>
      <c r="O5946" t="n">
        <v>0</v>
      </c>
      <c r="P5946" t="n">
        <v>0</v>
      </c>
      <c r="Q5946" t="n">
        <v>0</v>
      </c>
      <c r="R5946" s="2" t="inlineStr"/>
    </row>
    <row r="5947" ht="15" customHeight="1">
      <c r="A5947" t="inlineStr">
        <is>
          <t>A 9943-2025</t>
        </is>
      </c>
      <c r="B5947" s="1" t="n">
        <v>45719</v>
      </c>
      <c r="C5947" s="1" t="n">
        <v>45962</v>
      </c>
      <c r="D5947" t="inlineStr">
        <is>
          <t>JÖNKÖPINGS LÄN</t>
        </is>
      </c>
      <c r="E5947" t="inlineStr">
        <is>
          <t>NÄSSJÖ</t>
        </is>
      </c>
      <c r="G5947" t="n">
        <v>1.3</v>
      </c>
      <c r="H5947" t="n">
        <v>0</v>
      </c>
      <c r="I5947" t="n">
        <v>0</v>
      </c>
      <c r="J5947" t="n">
        <v>0</v>
      </c>
      <c r="K5947" t="n">
        <v>0</v>
      </c>
      <c r="L5947" t="n">
        <v>0</v>
      </c>
      <c r="M5947" t="n">
        <v>0</v>
      </c>
      <c r="N5947" t="n">
        <v>0</v>
      </c>
      <c r="O5947" t="n">
        <v>0</v>
      </c>
      <c r="P5947" t="n">
        <v>0</v>
      </c>
      <c r="Q5947" t="n">
        <v>0</v>
      </c>
      <c r="R5947" s="2" t="inlineStr"/>
    </row>
    <row r="5948" ht="15" customHeight="1">
      <c r="A5948" t="inlineStr">
        <is>
          <t>A 6194-2023</t>
        </is>
      </c>
      <c r="B5948" s="1" t="n">
        <v>44964</v>
      </c>
      <c r="C5948" s="1" t="n">
        <v>45962</v>
      </c>
      <c r="D5948" t="inlineStr">
        <is>
          <t>JÖNKÖPINGS LÄN</t>
        </is>
      </c>
      <c r="E5948" t="inlineStr">
        <is>
          <t>MULLSJÖ</t>
        </is>
      </c>
      <c r="G5948" t="n">
        <v>6</v>
      </c>
      <c r="H5948" t="n">
        <v>0</v>
      </c>
      <c r="I5948" t="n">
        <v>0</v>
      </c>
      <c r="J5948" t="n">
        <v>0</v>
      </c>
      <c r="K5948" t="n">
        <v>0</v>
      </c>
      <c r="L5948" t="n">
        <v>0</v>
      </c>
      <c r="M5948" t="n">
        <v>0</v>
      </c>
      <c r="N5948" t="n">
        <v>0</v>
      </c>
      <c r="O5948" t="n">
        <v>0</v>
      </c>
      <c r="P5948" t="n">
        <v>0</v>
      </c>
      <c r="Q5948" t="n">
        <v>0</v>
      </c>
      <c r="R5948" s="2" t="inlineStr"/>
    </row>
    <row r="5949" ht="15" customHeight="1">
      <c r="A5949" t="inlineStr">
        <is>
          <t>A 6189-2021</t>
        </is>
      </c>
      <c r="B5949" s="1" t="n">
        <v>44234</v>
      </c>
      <c r="C5949" s="1" t="n">
        <v>45962</v>
      </c>
      <c r="D5949" t="inlineStr">
        <is>
          <t>JÖNKÖPINGS LÄN</t>
        </is>
      </c>
      <c r="E5949" t="inlineStr">
        <is>
          <t>NÄSSJÖ</t>
        </is>
      </c>
      <c r="G5949" t="n">
        <v>1</v>
      </c>
      <c r="H5949" t="n">
        <v>0</v>
      </c>
      <c r="I5949" t="n">
        <v>0</v>
      </c>
      <c r="J5949" t="n">
        <v>0</v>
      </c>
      <c r="K5949" t="n">
        <v>0</v>
      </c>
      <c r="L5949" t="n">
        <v>0</v>
      </c>
      <c r="M5949" t="n">
        <v>0</v>
      </c>
      <c r="N5949" t="n">
        <v>0</v>
      </c>
      <c r="O5949" t="n">
        <v>0</v>
      </c>
      <c r="P5949" t="n">
        <v>0</v>
      </c>
      <c r="Q5949" t="n">
        <v>0</v>
      </c>
      <c r="R5949" s="2" t="inlineStr"/>
    </row>
    <row r="5950" ht="15" customHeight="1">
      <c r="A5950" t="inlineStr">
        <is>
          <t>A 6214-2023</t>
        </is>
      </c>
      <c r="B5950" s="1" t="n">
        <v>44964.81380787037</v>
      </c>
      <c r="C5950" s="1" t="n">
        <v>45962</v>
      </c>
      <c r="D5950" t="inlineStr">
        <is>
          <t>JÖNKÖPINGS LÄN</t>
        </is>
      </c>
      <c r="E5950" t="inlineStr">
        <is>
          <t>MULLSJÖ</t>
        </is>
      </c>
      <c r="G5950" t="n">
        <v>0.6</v>
      </c>
      <c r="H5950" t="n">
        <v>0</v>
      </c>
      <c r="I5950" t="n">
        <v>0</v>
      </c>
      <c r="J5950" t="n">
        <v>0</v>
      </c>
      <c r="K5950" t="n">
        <v>0</v>
      </c>
      <c r="L5950" t="n">
        <v>0</v>
      </c>
      <c r="M5950" t="n">
        <v>0</v>
      </c>
      <c r="N5950" t="n">
        <v>0</v>
      </c>
      <c r="O5950" t="n">
        <v>0</v>
      </c>
      <c r="P5950" t="n">
        <v>0</v>
      </c>
      <c r="Q5950" t="n">
        <v>0</v>
      </c>
      <c r="R5950" s="2" t="inlineStr"/>
    </row>
    <row r="5951" ht="15" customHeight="1">
      <c r="A5951" t="inlineStr">
        <is>
          <t>A 20316-2023</t>
        </is>
      </c>
      <c r="B5951" s="1" t="n">
        <v>45056</v>
      </c>
      <c r="C5951" s="1" t="n">
        <v>45962</v>
      </c>
      <c r="D5951" t="inlineStr">
        <is>
          <t>JÖNKÖPINGS LÄN</t>
        </is>
      </c>
      <c r="E5951" t="inlineStr">
        <is>
          <t>VÄRNAMO</t>
        </is>
      </c>
      <c r="G5951" t="n">
        <v>0.5</v>
      </c>
      <c r="H5951" t="n">
        <v>0</v>
      </c>
      <c r="I5951" t="n">
        <v>0</v>
      </c>
      <c r="J5951" t="n">
        <v>0</v>
      </c>
      <c r="K5951" t="n">
        <v>0</v>
      </c>
      <c r="L5951" t="n">
        <v>0</v>
      </c>
      <c r="M5951" t="n">
        <v>0</v>
      </c>
      <c r="N5951" t="n">
        <v>0</v>
      </c>
      <c r="O5951" t="n">
        <v>0</v>
      </c>
      <c r="P5951" t="n">
        <v>0</v>
      </c>
      <c r="Q5951" t="n">
        <v>0</v>
      </c>
      <c r="R5951" s="2" t="inlineStr"/>
    </row>
    <row r="5952" ht="15" customHeight="1">
      <c r="A5952" t="inlineStr">
        <is>
          <t>A 35573-2025</t>
        </is>
      </c>
      <c r="B5952" s="1" t="n">
        <v>45856.60353009259</v>
      </c>
      <c r="C5952" s="1" t="n">
        <v>45962</v>
      </c>
      <c r="D5952" t="inlineStr">
        <is>
          <t>JÖNKÖPINGS LÄN</t>
        </is>
      </c>
      <c r="E5952" t="inlineStr">
        <is>
          <t>VAGGERYD</t>
        </is>
      </c>
      <c r="G5952" t="n">
        <v>1.6</v>
      </c>
      <c r="H5952" t="n">
        <v>0</v>
      </c>
      <c r="I5952" t="n">
        <v>0</v>
      </c>
      <c r="J5952" t="n">
        <v>0</v>
      </c>
      <c r="K5952" t="n">
        <v>0</v>
      </c>
      <c r="L5952" t="n">
        <v>0</v>
      </c>
      <c r="M5952" t="n">
        <v>0</v>
      </c>
      <c r="N5952" t="n">
        <v>0</v>
      </c>
      <c r="O5952" t="n">
        <v>0</v>
      </c>
      <c r="P5952" t="n">
        <v>0</v>
      </c>
      <c r="Q5952" t="n">
        <v>0</v>
      </c>
      <c r="R5952" s="2" t="inlineStr"/>
    </row>
    <row r="5953" ht="15" customHeight="1">
      <c r="A5953" t="inlineStr">
        <is>
          <t>A 1876-2022</t>
        </is>
      </c>
      <c r="B5953" s="1" t="n">
        <v>44575.29486111111</v>
      </c>
      <c r="C5953" s="1" t="n">
        <v>45962</v>
      </c>
      <c r="D5953" t="inlineStr">
        <is>
          <t>JÖNKÖPINGS LÄN</t>
        </is>
      </c>
      <c r="E5953" t="inlineStr">
        <is>
          <t>HABO</t>
        </is>
      </c>
      <c r="G5953" t="n">
        <v>1.4</v>
      </c>
      <c r="H5953" t="n">
        <v>0</v>
      </c>
      <c r="I5953" t="n">
        <v>0</v>
      </c>
      <c r="J5953" t="n">
        <v>0</v>
      </c>
      <c r="K5953" t="n">
        <v>0</v>
      </c>
      <c r="L5953" t="n">
        <v>0</v>
      </c>
      <c r="M5953" t="n">
        <v>0</v>
      </c>
      <c r="N5953" t="n">
        <v>0</v>
      </c>
      <c r="O5953" t="n">
        <v>0</v>
      </c>
      <c r="P5953" t="n">
        <v>0</v>
      </c>
      <c r="Q5953" t="n">
        <v>0</v>
      </c>
      <c r="R5953" s="2" t="inlineStr"/>
    </row>
    <row r="5954" ht="15" customHeight="1">
      <c r="A5954" t="inlineStr">
        <is>
          <t>A 11524-2024</t>
        </is>
      </c>
      <c r="B5954" s="1" t="n">
        <v>45372.87263888889</v>
      </c>
      <c r="C5954" s="1" t="n">
        <v>45962</v>
      </c>
      <c r="D5954" t="inlineStr">
        <is>
          <t>JÖNKÖPINGS LÄN</t>
        </is>
      </c>
      <c r="E5954" t="inlineStr">
        <is>
          <t>VETLANDA</t>
        </is>
      </c>
      <c r="G5954" t="n">
        <v>0.9</v>
      </c>
      <c r="H5954" t="n">
        <v>0</v>
      </c>
      <c r="I5954" t="n">
        <v>0</v>
      </c>
      <c r="J5954" t="n">
        <v>0</v>
      </c>
      <c r="K5954" t="n">
        <v>0</v>
      </c>
      <c r="L5954" t="n">
        <v>0</v>
      </c>
      <c r="M5954" t="n">
        <v>0</v>
      </c>
      <c r="N5954" t="n">
        <v>0</v>
      </c>
      <c r="O5954" t="n">
        <v>0</v>
      </c>
      <c r="P5954" t="n">
        <v>0</v>
      </c>
      <c r="Q5954" t="n">
        <v>0</v>
      </c>
      <c r="R5954" s="2" t="inlineStr"/>
    </row>
    <row r="5955" ht="15" customHeight="1">
      <c r="A5955" t="inlineStr">
        <is>
          <t>A 33006-2025</t>
        </is>
      </c>
      <c r="B5955" s="1" t="n">
        <v>45840.35839120371</v>
      </c>
      <c r="C5955" s="1" t="n">
        <v>45962</v>
      </c>
      <c r="D5955" t="inlineStr">
        <is>
          <t>JÖNKÖPINGS LÄN</t>
        </is>
      </c>
      <c r="E5955" t="inlineStr">
        <is>
          <t>TRANÅS</t>
        </is>
      </c>
      <c r="G5955" t="n">
        <v>2.2</v>
      </c>
      <c r="H5955" t="n">
        <v>0</v>
      </c>
      <c r="I5955" t="n">
        <v>0</v>
      </c>
      <c r="J5955" t="n">
        <v>0</v>
      </c>
      <c r="K5955" t="n">
        <v>0</v>
      </c>
      <c r="L5955" t="n">
        <v>0</v>
      </c>
      <c r="M5955" t="n">
        <v>0</v>
      </c>
      <c r="N5955" t="n">
        <v>0</v>
      </c>
      <c r="O5955" t="n">
        <v>0</v>
      </c>
      <c r="P5955" t="n">
        <v>0</v>
      </c>
      <c r="Q5955" t="n">
        <v>0</v>
      </c>
      <c r="R5955" s="2" t="inlineStr"/>
    </row>
    <row r="5956" ht="15" customHeight="1">
      <c r="A5956" t="inlineStr">
        <is>
          <t>A 31561-2025</t>
        </is>
      </c>
      <c r="B5956" s="1" t="n">
        <v>45833.65434027778</v>
      </c>
      <c r="C5956" s="1" t="n">
        <v>45962</v>
      </c>
      <c r="D5956" t="inlineStr">
        <is>
          <t>JÖNKÖPINGS LÄN</t>
        </is>
      </c>
      <c r="E5956" t="inlineStr">
        <is>
          <t>JÖNKÖPING</t>
        </is>
      </c>
      <c r="G5956" t="n">
        <v>5</v>
      </c>
      <c r="H5956" t="n">
        <v>0</v>
      </c>
      <c r="I5956" t="n">
        <v>0</v>
      </c>
      <c r="J5956" t="n">
        <v>0</v>
      </c>
      <c r="K5956" t="n">
        <v>0</v>
      </c>
      <c r="L5956" t="n">
        <v>0</v>
      </c>
      <c r="M5956" t="n">
        <v>0</v>
      </c>
      <c r="N5956" t="n">
        <v>0</v>
      </c>
      <c r="O5956" t="n">
        <v>0</v>
      </c>
      <c r="P5956" t="n">
        <v>0</v>
      </c>
      <c r="Q5956" t="n">
        <v>0</v>
      </c>
      <c r="R5956" s="2" t="inlineStr"/>
    </row>
    <row r="5957" ht="15" customHeight="1">
      <c r="A5957" t="inlineStr">
        <is>
          <t>A 27077-2023</t>
        </is>
      </c>
      <c r="B5957" s="1" t="n">
        <v>45096.35758101852</v>
      </c>
      <c r="C5957" s="1" t="n">
        <v>45962</v>
      </c>
      <c r="D5957" t="inlineStr">
        <is>
          <t>JÖNKÖPINGS LÄN</t>
        </is>
      </c>
      <c r="E5957" t="inlineStr">
        <is>
          <t>EKSJÖ</t>
        </is>
      </c>
      <c r="G5957" t="n">
        <v>0.5</v>
      </c>
      <c r="H5957" t="n">
        <v>0</v>
      </c>
      <c r="I5957" t="n">
        <v>0</v>
      </c>
      <c r="J5957" t="n">
        <v>0</v>
      </c>
      <c r="K5957" t="n">
        <v>0</v>
      </c>
      <c r="L5957" t="n">
        <v>0</v>
      </c>
      <c r="M5957" t="n">
        <v>0</v>
      </c>
      <c r="N5957" t="n">
        <v>0</v>
      </c>
      <c r="O5957" t="n">
        <v>0</v>
      </c>
      <c r="P5957" t="n">
        <v>0</v>
      </c>
      <c r="Q5957" t="n">
        <v>0</v>
      </c>
      <c r="R5957" s="2" t="inlineStr"/>
    </row>
    <row r="5958" ht="15" customHeight="1">
      <c r="A5958" t="inlineStr">
        <is>
          <t>A 33428-2021</t>
        </is>
      </c>
      <c r="B5958" s="1" t="n">
        <v>44377</v>
      </c>
      <c r="C5958" s="1" t="n">
        <v>45962</v>
      </c>
      <c r="D5958" t="inlineStr">
        <is>
          <t>JÖNKÖPINGS LÄN</t>
        </is>
      </c>
      <c r="E5958" t="inlineStr">
        <is>
          <t>VÄRNAMO</t>
        </is>
      </c>
      <c r="G5958" t="n">
        <v>4.6</v>
      </c>
      <c r="H5958" t="n">
        <v>0</v>
      </c>
      <c r="I5958" t="n">
        <v>0</v>
      </c>
      <c r="J5958" t="n">
        <v>0</v>
      </c>
      <c r="K5958" t="n">
        <v>0</v>
      </c>
      <c r="L5958" t="n">
        <v>0</v>
      </c>
      <c r="M5958" t="n">
        <v>0</v>
      </c>
      <c r="N5958" t="n">
        <v>0</v>
      </c>
      <c r="O5958" t="n">
        <v>0</v>
      </c>
      <c r="P5958" t="n">
        <v>0</v>
      </c>
      <c r="Q5958" t="n">
        <v>0</v>
      </c>
      <c r="R5958" s="2" t="inlineStr"/>
    </row>
    <row r="5959" ht="15" customHeight="1">
      <c r="A5959" t="inlineStr">
        <is>
          <t>A 49925-2023</t>
        </is>
      </c>
      <c r="B5959" s="1" t="n">
        <v>45214.86449074074</v>
      </c>
      <c r="C5959" s="1" t="n">
        <v>45962</v>
      </c>
      <c r="D5959" t="inlineStr">
        <is>
          <t>JÖNKÖPINGS LÄN</t>
        </is>
      </c>
      <c r="E5959" t="inlineStr">
        <is>
          <t>MULLSJÖ</t>
        </is>
      </c>
      <c r="G5959" t="n">
        <v>0.3</v>
      </c>
      <c r="H5959" t="n">
        <v>0</v>
      </c>
      <c r="I5959" t="n">
        <v>0</v>
      </c>
      <c r="J5959" t="n">
        <v>0</v>
      </c>
      <c r="K5959" t="n">
        <v>0</v>
      </c>
      <c r="L5959" t="n">
        <v>0</v>
      </c>
      <c r="M5959" t="n">
        <v>0</v>
      </c>
      <c r="N5959" t="n">
        <v>0</v>
      </c>
      <c r="O5959" t="n">
        <v>0</v>
      </c>
      <c r="P5959" t="n">
        <v>0</v>
      </c>
      <c r="Q5959" t="n">
        <v>0</v>
      </c>
      <c r="R5959" s="2" t="inlineStr"/>
    </row>
    <row r="5960" ht="15" customHeight="1">
      <c r="A5960" t="inlineStr">
        <is>
          <t>A 5528-2024</t>
        </is>
      </c>
      <c r="B5960" s="1" t="n">
        <v>45334.39123842592</v>
      </c>
      <c r="C5960" s="1" t="n">
        <v>45962</v>
      </c>
      <c r="D5960" t="inlineStr">
        <is>
          <t>JÖNKÖPINGS LÄN</t>
        </is>
      </c>
      <c r="E5960" t="inlineStr">
        <is>
          <t>EKSJÖ</t>
        </is>
      </c>
      <c r="F5960" t="inlineStr">
        <is>
          <t>Kommuner</t>
        </is>
      </c>
      <c r="G5960" t="n">
        <v>2.4</v>
      </c>
      <c r="H5960" t="n">
        <v>0</v>
      </c>
      <c r="I5960" t="n">
        <v>0</v>
      </c>
      <c r="J5960" t="n">
        <v>0</v>
      </c>
      <c r="K5960" t="n">
        <v>0</v>
      </c>
      <c r="L5960" t="n">
        <v>0</v>
      </c>
      <c r="M5960" t="n">
        <v>0</v>
      </c>
      <c r="N5960" t="n">
        <v>0</v>
      </c>
      <c r="O5960" t="n">
        <v>0</v>
      </c>
      <c r="P5960" t="n">
        <v>0</v>
      </c>
      <c r="Q5960" t="n">
        <v>0</v>
      </c>
      <c r="R5960" s="2" t="inlineStr"/>
    </row>
    <row r="5961" ht="15" customHeight="1">
      <c r="A5961" t="inlineStr">
        <is>
          <t>A 3815-2022</t>
        </is>
      </c>
      <c r="B5961" s="1" t="n">
        <v>44587.32568287037</v>
      </c>
      <c r="C5961" s="1" t="n">
        <v>45962</v>
      </c>
      <c r="D5961" t="inlineStr">
        <is>
          <t>JÖNKÖPINGS LÄN</t>
        </is>
      </c>
      <c r="E5961" t="inlineStr">
        <is>
          <t>VETLANDA</t>
        </is>
      </c>
      <c r="G5961" t="n">
        <v>3.3</v>
      </c>
      <c r="H5961" t="n">
        <v>0</v>
      </c>
      <c r="I5961" t="n">
        <v>0</v>
      </c>
      <c r="J5961" t="n">
        <v>0</v>
      </c>
      <c r="K5961" t="n">
        <v>0</v>
      </c>
      <c r="L5961" t="n">
        <v>0</v>
      </c>
      <c r="M5961" t="n">
        <v>0</v>
      </c>
      <c r="N5961" t="n">
        <v>0</v>
      </c>
      <c r="O5961" t="n">
        <v>0</v>
      </c>
      <c r="P5961" t="n">
        <v>0</v>
      </c>
      <c r="Q5961" t="n">
        <v>0</v>
      </c>
      <c r="R5961" s="2" t="inlineStr"/>
    </row>
    <row r="5962" ht="15" customHeight="1">
      <c r="A5962" t="inlineStr">
        <is>
          <t>A 7067-2025</t>
        </is>
      </c>
      <c r="B5962" s="1" t="n">
        <v>45701.66265046296</v>
      </c>
      <c r="C5962" s="1" t="n">
        <v>45962</v>
      </c>
      <c r="D5962" t="inlineStr">
        <is>
          <t>JÖNKÖPINGS LÄN</t>
        </is>
      </c>
      <c r="E5962" t="inlineStr">
        <is>
          <t>GISLAVED</t>
        </is>
      </c>
      <c r="G5962" t="n">
        <v>5</v>
      </c>
      <c r="H5962" t="n">
        <v>0</v>
      </c>
      <c r="I5962" t="n">
        <v>0</v>
      </c>
      <c r="J5962" t="n">
        <v>0</v>
      </c>
      <c r="K5962" t="n">
        <v>0</v>
      </c>
      <c r="L5962" t="n">
        <v>0</v>
      </c>
      <c r="M5962" t="n">
        <v>0</v>
      </c>
      <c r="N5962" t="n">
        <v>0</v>
      </c>
      <c r="O5962" t="n">
        <v>0</v>
      </c>
      <c r="P5962" t="n">
        <v>0</v>
      </c>
      <c r="Q5962" t="n">
        <v>0</v>
      </c>
      <c r="R5962" s="2" t="inlineStr"/>
    </row>
    <row r="5963" ht="15" customHeight="1">
      <c r="A5963" t="inlineStr">
        <is>
          <t>A 3866-2022</t>
        </is>
      </c>
      <c r="B5963" s="1" t="n">
        <v>44587.44241898148</v>
      </c>
      <c r="C5963" s="1" t="n">
        <v>45962</v>
      </c>
      <c r="D5963" t="inlineStr">
        <is>
          <t>JÖNKÖPINGS LÄN</t>
        </is>
      </c>
      <c r="E5963" t="inlineStr">
        <is>
          <t>VÄRNAMO</t>
        </is>
      </c>
      <c r="G5963" t="n">
        <v>1.1</v>
      </c>
      <c r="H5963" t="n">
        <v>0</v>
      </c>
      <c r="I5963" t="n">
        <v>0</v>
      </c>
      <c r="J5963" t="n">
        <v>0</v>
      </c>
      <c r="K5963" t="n">
        <v>0</v>
      </c>
      <c r="L5963" t="n">
        <v>0</v>
      </c>
      <c r="M5963" t="n">
        <v>0</v>
      </c>
      <c r="N5963" t="n">
        <v>0</v>
      </c>
      <c r="O5963" t="n">
        <v>0</v>
      </c>
      <c r="P5963" t="n">
        <v>0</v>
      </c>
      <c r="Q5963" t="n">
        <v>0</v>
      </c>
      <c r="R5963" s="2" t="inlineStr"/>
    </row>
    <row r="5964" ht="15" customHeight="1">
      <c r="A5964" t="inlineStr">
        <is>
          <t>A 5634-2024</t>
        </is>
      </c>
      <c r="B5964" s="1" t="n">
        <v>45334.61032407408</v>
      </c>
      <c r="C5964" s="1" t="n">
        <v>45962</v>
      </c>
      <c r="D5964" t="inlineStr">
        <is>
          <t>JÖNKÖPINGS LÄN</t>
        </is>
      </c>
      <c r="E5964" t="inlineStr">
        <is>
          <t>EKSJÖ</t>
        </is>
      </c>
      <c r="F5964" t="inlineStr">
        <is>
          <t>Sveaskog</t>
        </is>
      </c>
      <c r="G5964" t="n">
        <v>0.6</v>
      </c>
      <c r="H5964" t="n">
        <v>0</v>
      </c>
      <c r="I5964" t="n">
        <v>0</v>
      </c>
      <c r="J5964" t="n">
        <v>0</v>
      </c>
      <c r="K5964" t="n">
        <v>0</v>
      </c>
      <c r="L5964" t="n">
        <v>0</v>
      </c>
      <c r="M5964" t="n">
        <v>0</v>
      </c>
      <c r="N5964" t="n">
        <v>0</v>
      </c>
      <c r="O5964" t="n">
        <v>0</v>
      </c>
      <c r="P5964" t="n">
        <v>0</v>
      </c>
      <c r="Q5964" t="n">
        <v>0</v>
      </c>
      <c r="R5964" s="2" t="inlineStr"/>
    </row>
    <row r="5965" ht="15" customHeight="1">
      <c r="A5965" t="inlineStr">
        <is>
          <t>A 1950-2025</t>
        </is>
      </c>
      <c r="B5965" s="1" t="n">
        <v>45672.34774305556</v>
      </c>
      <c r="C5965" s="1" t="n">
        <v>45962</v>
      </c>
      <c r="D5965" t="inlineStr">
        <is>
          <t>JÖNKÖPINGS LÄN</t>
        </is>
      </c>
      <c r="E5965" t="inlineStr">
        <is>
          <t>VETLANDA</t>
        </is>
      </c>
      <c r="G5965" t="n">
        <v>2.2</v>
      </c>
      <c r="H5965" t="n">
        <v>0</v>
      </c>
      <c r="I5965" t="n">
        <v>0</v>
      </c>
      <c r="J5965" t="n">
        <v>0</v>
      </c>
      <c r="K5965" t="n">
        <v>0</v>
      </c>
      <c r="L5965" t="n">
        <v>0</v>
      </c>
      <c r="M5965" t="n">
        <v>0</v>
      </c>
      <c r="N5965" t="n">
        <v>0</v>
      </c>
      <c r="O5965" t="n">
        <v>0</v>
      </c>
      <c r="P5965" t="n">
        <v>0</v>
      </c>
      <c r="Q5965" t="n">
        <v>0</v>
      </c>
      <c r="R5965" s="2" t="inlineStr"/>
    </row>
    <row r="5966" ht="15" customHeight="1">
      <c r="A5966" t="inlineStr">
        <is>
          <t>A 30162-2023</t>
        </is>
      </c>
      <c r="B5966" s="1" t="n">
        <v>45110</v>
      </c>
      <c r="C5966" s="1" t="n">
        <v>45962</v>
      </c>
      <c r="D5966" t="inlineStr">
        <is>
          <t>JÖNKÖPINGS LÄN</t>
        </is>
      </c>
      <c r="E5966" t="inlineStr">
        <is>
          <t>SÄVSJÖ</t>
        </is>
      </c>
      <c r="F5966" t="inlineStr">
        <is>
          <t>Kommuner</t>
        </is>
      </c>
      <c r="G5966" t="n">
        <v>4.4</v>
      </c>
      <c r="H5966" t="n">
        <v>0</v>
      </c>
      <c r="I5966" t="n">
        <v>0</v>
      </c>
      <c r="J5966" t="n">
        <v>0</v>
      </c>
      <c r="K5966" t="n">
        <v>0</v>
      </c>
      <c r="L5966" t="n">
        <v>0</v>
      </c>
      <c r="M5966" t="n">
        <v>0</v>
      </c>
      <c r="N5966" t="n">
        <v>0</v>
      </c>
      <c r="O5966" t="n">
        <v>0</v>
      </c>
      <c r="P5966" t="n">
        <v>0</v>
      </c>
      <c r="Q5966" t="n">
        <v>0</v>
      </c>
      <c r="R5966" s="2" t="inlineStr"/>
    </row>
    <row r="5967" ht="15" customHeight="1">
      <c r="A5967" t="inlineStr">
        <is>
          <t>A 18506-2021</t>
        </is>
      </c>
      <c r="B5967" s="1" t="n">
        <v>44306.40375</v>
      </c>
      <c r="C5967" s="1" t="n">
        <v>45962</v>
      </c>
      <c r="D5967" t="inlineStr">
        <is>
          <t>JÖNKÖPINGS LÄN</t>
        </is>
      </c>
      <c r="E5967" t="inlineStr">
        <is>
          <t>VETLANDA</t>
        </is>
      </c>
      <c r="G5967" t="n">
        <v>1.2</v>
      </c>
      <c r="H5967" t="n">
        <v>0</v>
      </c>
      <c r="I5967" t="n">
        <v>0</v>
      </c>
      <c r="J5967" t="n">
        <v>0</v>
      </c>
      <c r="K5967" t="n">
        <v>0</v>
      </c>
      <c r="L5967" t="n">
        <v>0</v>
      </c>
      <c r="M5967" t="n">
        <v>0</v>
      </c>
      <c r="N5967" t="n">
        <v>0</v>
      </c>
      <c r="O5967" t="n">
        <v>0</v>
      </c>
      <c r="P5967" t="n">
        <v>0</v>
      </c>
      <c r="Q5967" t="n">
        <v>0</v>
      </c>
      <c r="R5967" s="2" t="inlineStr"/>
    </row>
    <row r="5968" ht="15" customHeight="1">
      <c r="A5968" t="inlineStr">
        <is>
          <t>A 16221-2023</t>
        </is>
      </c>
      <c r="B5968" s="1" t="n">
        <v>45028.3874074074</v>
      </c>
      <c r="C5968" s="1" t="n">
        <v>45962</v>
      </c>
      <c r="D5968" t="inlineStr">
        <is>
          <t>JÖNKÖPINGS LÄN</t>
        </is>
      </c>
      <c r="E5968" t="inlineStr">
        <is>
          <t>VAGGERYD</t>
        </is>
      </c>
      <c r="G5968" t="n">
        <v>0.6</v>
      </c>
      <c r="H5968" t="n">
        <v>0</v>
      </c>
      <c r="I5968" t="n">
        <v>0</v>
      </c>
      <c r="J5968" t="n">
        <v>0</v>
      </c>
      <c r="K5968" t="n">
        <v>0</v>
      </c>
      <c r="L5968" t="n">
        <v>0</v>
      </c>
      <c r="M5968" t="n">
        <v>0</v>
      </c>
      <c r="N5968" t="n">
        <v>0</v>
      </c>
      <c r="O5968" t="n">
        <v>0</v>
      </c>
      <c r="P5968" t="n">
        <v>0</v>
      </c>
      <c r="Q5968" t="n">
        <v>0</v>
      </c>
      <c r="R5968" s="2" t="inlineStr"/>
    </row>
    <row r="5969" ht="15" customHeight="1">
      <c r="A5969" t="inlineStr">
        <is>
          <t>A 35785-2025</t>
        </is>
      </c>
      <c r="B5969" s="1" t="n">
        <v>45860.96251157407</v>
      </c>
      <c r="C5969" s="1" t="n">
        <v>45962</v>
      </c>
      <c r="D5969" t="inlineStr">
        <is>
          <t>JÖNKÖPINGS LÄN</t>
        </is>
      </c>
      <c r="E5969" t="inlineStr">
        <is>
          <t>EKSJÖ</t>
        </is>
      </c>
      <c r="G5969" t="n">
        <v>0.7</v>
      </c>
      <c r="H5969" t="n">
        <v>0</v>
      </c>
      <c r="I5969" t="n">
        <v>0</v>
      </c>
      <c r="J5969" t="n">
        <v>0</v>
      </c>
      <c r="K5969" t="n">
        <v>0</v>
      </c>
      <c r="L5969" t="n">
        <v>0</v>
      </c>
      <c r="M5969" t="n">
        <v>0</v>
      </c>
      <c r="N5969" t="n">
        <v>0</v>
      </c>
      <c r="O5969" t="n">
        <v>0</v>
      </c>
      <c r="P5969" t="n">
        <v>0</v>
      </c>
      <c r="Q5969" t="n">
        <v>0</v>
      </c>
      <c r="R5969" s="2" t="inlineStr"/>
    </row>
    <row r="5970" ht="15" customHeight="1">
      <c r="A5970" t="inlineStr">
        <is>
          <t>A 56402-2023</t>
        </is>
      </c>
      <c r="B5970" s="1" t="n">
        <v>45243.43180555556</v>
      </c>
      <c r="C5970" s="1" t="n">
        <v>45962</v>
      </c>
      <c r="D5970" t="inlineStr">
        <is>
          <t>JÖNKÖPINGS LÄN</t>
        </is>
      </c>
      <c r="E5970" t="inlineStr">
        <is>
          <t>VÄRNAMO</t>
        </is>
      </c>
      <c r="G5970" t="n">
        <v>5.4</v>
      </c>
      <c r="H5970" t="n">
        <v>0</v>
      </c>
      <c r="I5970" t="n">
        <v>0</v>
      </c>
      <c r="J5970" t="n">
        <v>0</v>
      </c>
      <c r="K5970" t="n">
        <v>0</v>
      </c>
      <c r="L5970" t="n">
        <v>0</v>
      </c>
      <c r="M5970" t="n">
        <v>0</v>
      </c>
      <c r="N5970" t="n">
        <v>0</v>
      </c>
      <c r="O5970" t="n">
        <v>0</v>
      </c>
      <c r="P5970" t="n">
        <v>0</v>
      </c>
      <c r="Q5970" t="n">
        <v>0</v>
      </c>
      <c r="R5970" s="2" t="inlineStr"/>
    </row>
    <row r="5971" ht="15" customHeight="1">
      <c r="A5971" t="inlineStr">
        <is>
          <t>A 56421-2023</t>
        </is>
      </c>
      <c r="B5971" s="1" t="n">
        <v>45243.44850694444</v>
      </c>
      <c r="C5971" s="1" t="n">
        <v>45962</v>
      </c>
      <c r="D5971" t="inlineStr">
        <is>
          <t>JÖNKÖPINGS LÄN</t>
        </is>
      </c>
      <c r="E5971" t="inlineStr">
        <is>
          <t>VÄRNAMO</t>
        </is>
      </c>
      <c r="G5971" t="n">
        <v>0.7</v>
      </c>
      <c r="H5971" t="n">
        <v>0</v>
      </c>
      <c r="I5971" t="n">
        <v>0</v>
      </c>
      <c r="J5971" t="n">
        <v>0</v>
      </c>
      <c r="K5971" t="n">
        <v>0</v>
      </c>
      <c r="L5971" t="n">
        <v>0</v>
      </c>
      <c r="M5971" t="n">
        <v>0</v>
      </c>
      <c r="N5971" t="n">
        <v>0</v>
      </c>
      <c r="O5971" t="n">
        <v>0</v>
      </c>
      <c r="P5971" t="n">
        <v>0</v>
      </c>
      <c r="Q5971" t="n">
        <v>0</v>
      </c>
      <c r="R5971" s="2" t="inlineStr"/>
    </row>
    <row r="5972" ht="15" customHeight="1">
      <c r="A5972" t="inlineStr">
        <is>
          <t>A 22820-2022</t>
        </is>
      </c>
      <c r="B5972" s="1" t="n">
        <v>44715.42476851852</v>
      </c>
      <c r="C5972" s="1" t="n">
        <v>45962</v>
      </c>
      <c r="D5972" t="inlineStr">
        <is>
          <t>JÖNKÖPINGS LÄN</t>
        </is>
      </c>
      <c r="E5972" t="inlineStr">
        <is>
          <t>VETLANDA</t>
        </is>
      </c>
      <c r="G5972" t="n">
        <v>3</v>
      </c>
      <c r="H5972" t="n">
        <v>0</v>
      </c>
      <c r="I5972" t="n">
        <v>0</v>
      </c>
      <c r="J5972" t="n">
        <v>0</v>
      </c>
      <c r="K5972" t="n">
        <v>0</v>
      </c>
      <c r="L5972" t="n">
        <v>0</v>
      </c>
      <c r="M5972" t="n">
        <v>0</v>
      </c>
      <c r="N5972" t="n">
        <v>0</v>
      </c>
      <c r="O5972" t="n">
        <v>0</v>
      </c>
      <c r="P5972" t="n">
        <v>0</v>
      </c>
      <c r="Q5972" t="n">
        <v>0</v>
      </c>
      <c r="R5972" s="2" t="inlineStr"/>
    </row>
    <row r="5973" ht="15" customHeight="1">
      <c r="A5973" t="inlineStr">
        <is>
          <t>A 56441-2023</t>
        </is>
      </c>
      <c r="B5973" s="1" t="n">
        <v>45243</v>
      </c>
      <c r="C5973" s="1" t="n">
        <v>45962</v>
      </c>
      <c r="D5973" t="inlineStr">
        <is>
          <t>JÖNKÖPINGS LÄN</t>
        </is>
      </c>
      <c r="E5973" t="inlineStr">
        <is>
          <t>JÖNKÖPING</t>
        </is>
      </c>
      <c r="F5973" t="inlineStr">
        <is>
          <t>Övriga Aktiebolag</t>
        </is>
      </c>
      <c r="G5973" t="n">
        <v>1.6</v>
      </c>
      <c r="H5973" t="n">
        <v>0</v>
      </c>
      <c r="I5973" t="n">
        <v>0</v>
      </c>
      <c r="J5973" t="n">
        <v>0</v>
      </c>
      <c r="K5973" t="n">
        <v>0</v>
      </c>
      <c r="L5973" t="n">
        <v>0</v>
      </c>
      <c r="M5973" t="n">
        <v>0</v>
      </c>
      <c r="N5973" t="n">
        <v>0</v>
      </c>
      <c r="O5973" t="n">
        <v>0</v>
      </c>
      <c r="P5973" t="n">
        <v>0</v>
      </c>
      <c r="Q5973" t="n">
        <v>0</v>
      </c>
      <c r="R5973" s="2" t="inlineStr"/>
    </row>
    <row r="5974" ht="15" customHeight="1">
      <c r="A5974" t="inlineStr">
        <is>
          <t>A 38998-2023</t>
        </is>
      </c>
      <c r="B5974" s="1" t="n">
        <v>45163.67015046296</v>
      </c>
      <c r="C5974" s="1" t="n">
        <v>45962</v>
      </c>
      <c r="D5974" t="inlineStr">
        <is>
          <t>JÖNKÖPINGS LÄN</t>
        </is>
      </c>
      <c r="E5974" t="inlineStr">
        <is>
          <t>VETLANDA</t>
        </is>
      </c>
      <c r="G5974" t="n">
        <v>1.9</v>
      </c>
      <c r="H5974" t="n">
        <v>0</v>
      </c>
      <c r="I5974" t="n">
        <v>0</v>
      </c>
      <c r="J5974" t="n">
        <v>0</v>
      </c>
      <c r="K5974" t="n">
        <v>0</v>
      </c>
      <c r="L5974" t="n">
        <v>0</v>
      </c>
      <c r="M5974" t="n">
        <v>0</v>
      </c>
      <c r="N5974" t="n">
        <v>0</v>
      </c>
      <c r="O5974" t="n">
        <v>0</v>
      </c>
      <c r="P5974" t="n">
        <v>0</v>
      </c>
      <c r="Q5974" t="n">
        <v>0</v>
      </c>
      <c r="R5974" s="2" t="inlineStr"/>
    </row>
    <row r="5975" ht="15" customHeight="1">
      <c r="A5975" t="inlineStr">
        <is>
          <t>A 23375-2023</t>
        </is>
      </c>
      <c r="B5975" s="1" t="n">
        <v>45076.44001157407</v>
      </c>
      <c r="C5975" s="1" t="n">
        <v>45962</v>
      </c>
      <c r="D5975" t="inlineStr">
        <is>
          <t>JÖNKÖPINGS LÄN</t>
        </is>
      </c>
      <c r="E5975" t="inlineStr">
        <is>
          <t>VETLANDA</t>
        </is>
      </c>
      <c r="G5975" t="n">
        <v>1</v>
      </c>
      <c r="H5975" t="n">
        <v>0</v>
      </c>
      <c r="I5975" t="n">
        <v>0</v>
      </c>
      <c r="J5975" t="n">
        <v>0</v>
      </c>
      <c r="K5975" t="n">
        <v>0</v>
      </c>
      <c r="L5975" t="n">
        <v>0</v>
      </c>
      <c r="M5975" t="n">
        <v>0</v>
      </c>
      <c r="N5975" t="n">
        <v>0</v>
      </c>
      <c r="O5975" t="n">
        <v>0</v>
      </c>
      <c r="P5975" t="n">
        <v>0</v>
      </c>
      <c r="Q5975" t="n">
        <v>0</v>
      </c>
      <c r="R5975" s="2" t="inlineStr"/>
    </row>
    <row r="5976" ht="15" customHeight="1">
      <c r="A5976" t="inlineStr">
        <is>
          <t>A 38827-2022</t>
        </is>
      </c>
      <c r="B5976" s="1" t="n">
        <v>44813</v>
      </c>
      <c r="C5976" s="1" t="n">
        <v>45962</v>
      </c>
      <c r="D5976" t="inlineStr">
        <is>
          <t>JÖNKÖPINGS LÄN</t>
        </is>
      </c>
      <c r="E5976" t="inlineStr">
        <is>
          <t>VETLANDA</t>
        </is>
      </c>
      <c r="G5976" t="n">
        <v>2.5</v>
      </c>
      <c r="H5976" t="n">
        <v>0</v>
      </c>
      <c r="I5976" t="n">
        <v>0</v>
      </c>
      <c r="J5976" t="n">
        <v>0</v>
      </c>
      <c r="K5976" t="n">
        <v>0</v>
      </c>
      <c r="L5976" t="n">
        <v>0</v>
      </c>
      <c r="M5976" t="n">
        <v>0</v>
      </c>
      <c r="N5976" t="n">
        <v>0</v>
      </c>
      <c r="O5976" t="n">
        <v>0</v>
      </c>
      <c r="P5976" t="n">
        <v>0</v>
      </c>
      <c r="Q5976" t="n">
        <v>0</v>
      </c>
      <c r="R5976" s="2" t="inlineStr"/>
    </row>
    <row r="5977" ht="15" customHeight="1">
      <c r="A5977" t="inlineStr">
        <is>
          <t>A 2796-2024</t>
        </is>
      </c>
      <c r="B5977" s="1" t="n">
        <v>45314.66820601852</v>
      </c>
      <c r="C5977" s="1" t="n">
        <v>45962</v>
      </c>
      <c r="D5977" t="inlineStr">
        <is>
          <t>JÖNKÖPINGS LÄN</t>
        </is>
      </c>
      <c r="E5977" t="inlineStr">
        <is>
          <t>VAGGERYD</t>
        </is>
      </c>
      <c r="G5977" t="n">
        <v>4.3</v>
      </c>
      <c r="H5977" t="n">
        <v>0</v>
      </c>
      <c r="I5977" t="n">
        <v>0</v>
      </c>
      <c r="J5977" t="n">
        <v>0</v>
      </c>
      <c r="K5977" t="n">
        <v>0</v>
      </c>
      <c r="L5977" t="n">
        <v>0</v>
      </c>
      <c r="M5977" t="n">
        <v>0</v>
      </c>
      <c r="N5977" t="n">
        <v>0</v>
      </c>
      <c r="O5977" t="n">
        <v>0</v>
      </c>
      <c r="P5977" t="n">
        <v>0</v>
      </c>
      <c r="Q5977" t="n">
        <v>0</v>
      </c>
      <c r="R5977" s="2" t="inlineStr"/>
    </row>
    <row r="5978" ht="15" customHeight="1">
      <c r="A5978" t="inlineStr">
        <is>
          <t>A 27416-2025</t>
        </is>
      </c>
      <c r="B5978" s="1" t="n">
        <v>45812.86350694444</v>
      </c>
      <c r="C5978" s="1" t="n">
        <v>45962</v>
      </c>
      <c r="D5978" t="inlineStr">
        <is>
          <t>JÖNKÖPINGS LÄN</t>
        </is>
      </c>
      <c r="E5978" t="inlineStr">
        <is>
          <t>VÄRNAMO</t>
        </is>
      </c>
      <c r="G5978" t="n">
        <v>8.699999999999999</v>
      </c>
      <c r="H5978" t="n">
        <v>0</v>
      </c>
      <c r="I5978" t="n">
        <v>0</v>
      </c>
      <c r="J5978" t="n">
        <v>0</v>
      </c>
      <c r="K5978" t="n">
        <v>0</v>
      </c>
      <c r="L5978" t="n">
        <v>0</v>
      </c>
      <c r="M5978" t="n">
        <v>0</v>
      </c>
      <c r="N5978" t="n">
        <v>0</v>
      </c>
      <c r="O5978" t="n">
        <v>0</v>
      </c>
      <c r="P5978" t="n">
        <v>0</v>
      </c>
      <c r="Q5978" t="n">
        <v>0</v>
      </c>
      <c r="R5978" s="2" t="inlineStr"/>
    </row>
    <row r="5979" ht="15" customHeight="1">
      <c r="A5979" t="inlineStr">
        <is>
          <t>A 54827-2021</t>
        </is>
      </c>
      <c r="B5979" s="1" t="n">
        <v>44474</v>
      </c>
      <c r="C5979" s="1" t="n">
        <v>45962</v>
      </c>
      <c r="D5979" t="inlineStr">
        <is>
          <t>JÖNKÖPINGS LÄN</t>
        </is>
      </c>
      <c r="E5979" t="inlineStr">
        <is>
          <t>SÄVSJÖ</t>
        </is>
      </c>
      <c r="G5979" t="n">
        <v>3.2</v>
      </c>
      <c r="H5979" t="n">
        <v>0</v>
      </c>
      <c r="I5979" t="n">
        <v>0</v>
      </c>
      <c r="J5979" t="n">
        <v>0</v>
      </c>
      <c r="K5979" t="n">
        <v>0</v>
      </c>
      <c r="L5979" t="n">
        <v>0</v>
      </c>
      <c r="M5979" t="n">
        <v>0</v>
      </c>
      <c r="N5979" t="n">
        <v>0</v>
      </c>
      <c r="O5979" t="n">
        <v>0</v>
      </c>
      <c r="P5979" t="n">
        <v>0</v>
      </c>
      <c r="Q5979" t="n">
        <v>0</v>
      </c>
      <c r="R5979" s="2" t="inlineStr"/>
    </row>
    <row r="5980" ht="15" customHeight="1">
      <c r="A5980" t="inlineStr">
        <is>
          <t>A 53311-2024</t>
        </is>
      </c>
      <c r="B5980" s="1" t="n">
        <v>45614.39525462963</v>
      </c>
      <c r="C5980" s="1" t="n">
        <v>45962</v>
      </c>
      <c r="D5980" t="inlineStr">
        <is>
          <t>JÖNKÖPINGS LÄN</t>
        </is>
      </c>
      <c r="E5980" t="inlineStr">
        <is>
          <t>GISLAVED</t>
        </is>
      </c>
      <c r="G5980" t="n">
        <v>3.4</v>
      </c>
      <c r="H5980" t="n">
        <v>0</v>
      </c>
      <c r="I5980" t="n">
        <v>0</v>
      </c>
      <c r="J5980" t="n">
        <v>0</v>
      </c>
      <c r="K5980" t="n">
        <v>0</v>
      </c>
      <c r="L5980" t="n">
        <v>0</v>
      </c>
      <c r="M5980" t="n">
        <v>0</v>
      </c>
      <c r="N5980" t="n">
        <v>0</v>
      </c>
      <c r="O5980" t="n">
        <v>0</v>
      </c>
      <c r="P5980" t="n">
        <v>0</v>
      </c>
      <c r="Q5980" t="n">
        <v>0</v>
      </c>
      <c r="R5980" s="2" t="inlineStr"/>
    </row>
    <row r="5981" ht="15" customHeight="1">
      <c r="A5981" t="inlineStr">
        <is>
          <t>A 28261-2022</t>
        </is>
      </c>
      <c r="B5981" s="1" t="n">
        <v>44746.79146990741</v>
      </c>
      <c r="C5981" s="1" t="n">
        <v>45962</v>
      </c>
      <c r="D5981" t="inlineStr">
        <is>
          <t>JÖNKÖPINGS LÄN</t>
        </is>
      </c>
      <c r="E5981" t="inlineStr">
        <is>
          <t>EKSJÖ</t>
        </is>
      </c>
      <c r="G5981" t="n">
        <v>0.6</v>
      </c>
      <c r="H5981" t="n">
        <v>0</v>
      </c>
      <c r="I5981" t="n">
        <v>0</v>
      </c>
      <c r="J5981" t="n">
        <v>0</v>
      </c>
      <c r="K5981" t="n">
        <v>0</v>
      </c>
      <c r="L5981" t="n">
        <v>0</v>
      </c>
      <c r="M5981" t="n">
        <v>0</v>
      </c>
      <c r="N5981" t="n">
        <v>0</v>
      </c>
      <c r="O5981" t="n">
        <v>0</v>
      </c>
      <c r="P5981" t="n">
        <v>0</v>
      </c>
      <c r="Q5981" t="n">
        <v>0</v>
      </c>
      <c r="R5981" s="2" t="inlineStr"/>
    </row>
    <row r="5982" ht="15" customHeight="1">
      <c r="A5982" t="inlineStr">
        <is>
          <t>A 50488-2024</t>
        </is>
      </c>
      <c r="B5982" s="1" t="n">
        <v>45601.49810185185</v>
      </c>
      <c r="C5982" s="1" t="n">
        <v>45962</v>
      </c>
      <c r="D5982" t="inlineStr">
        <is>
          <t>JÖNKÖPINGS LÄN</t>
        </is>
      </c>
      <c r="E5982" t="inlineStr">
        <is>
          <t>NÄSSJÖ</t>
        </is>
      </c>
      <c r="G5982" t="n">
        <v>4.3</v>
      </c>
      <c r="H5982" t="n">
        <v>0</v>
      </c>
      <c r="I5982" t="n">
        <v>0</v>
      </c>
      <c r="J5982" t="n">
        <v>0</v>
      </c>
      <c r="K5982" t="n">
        <v>0</v>
      </c>
      <c r="L5982" t="n">
        <v>0</v>
      </c>
      <c r="M5982" t="n">
        <v>0</v>
      </c>
      <c r="N5982" t="n">
        <v>0</v>
      </c>
      <c r="O5982" t="n">
        <v>0</v>
      </c>
      <c r="P5982" t="n">
        <v>0</v>
      </c>
      <c r="Q5982" t="n">
        <v>0</v>
      </c>
      <c r="R5982" s="2" t="inlineStr"/>
    </row>
    <row r="5983" ht="15" customHeight="1">
      <c r="A5983" t="inlineStr">
        <is>
          <t>A 35740-2025</t>
        </is>
      </c>
      <c r="B5983" s="1" t="n">
        <v>45860.53292824074</v>
      </c>
      <c r="C5983" s="1" t="n">
        <v>45962</v>
      </c>
      <c r="D5983" t="inlineStr">
        <is>
          <t>JÖNKÖPINGS LÄN</t>
        </is>
      </c>
      <c r="E5983" t="inlineStr">
        <is>
          <t>ANEBY</t>
        </is>
      </c>
      <c r="G5983" t="n">
        <v>1.8</v>
      </c>
      <c r="H5983" t="n">
        <v>0</v>
      </c>
      <c r="I5983" t="n">
        <v>0</v>
      </c>
      <c r="J5983" t="n">
        <v>0</v>
      </c>
      <c r="K5983" t="n">
        <v>0</v>
      </c>
      <c r="L5983" t="n">
        <v>0</v>
      </c>
      <c r="M5983" t="n">
        <v>0</v>
      </c>
      <c r="N5983" t="n">
        <v>0</v>
      </c>
      <c r="O5983" t="n">
        <v>0</v>
      </c>
      <c r="P5983" t="n">
        <v>0</v>
      </c>
      <c r="Q5983" t="n">
        <v>0</v>
      </c>
      <c r="R5983" s="2" t="inlineStr"/>
    </row>
    <row r="5984" ht="15" customHeight="1">
      <c r="A5984" t="inlineStr">
        <is>
          <t>A 35744-2025</t>
        </is>
      </c>
      <c r="B5984" s="1" t="n">
        <v>45860.54674768518</v>
      </c>
      <c r="C5984" s="1" t="n">
        <v>45962</v>
      </c>
      <c r="D5984" t="inlineStr">
        <is>
          <t>JÖNKÖPINGS LÄN</t>
        </is>
      </c>
      <c r="E5984" t="inlineStr">
        <is>
          <t>JÖNKÖPING</t>
        </is>
      </c>
      <c r="G5984" t="n">
        <v>1.4</v>
      </c>
      <c r="H5984" t="n">
        <v>0</v>
      </c>
      <c r="I5984" t="n">
        <v>0</v>
      </c>
      <c r="J5984" t="n">
        <v>0</v>
      </c>
      <c r="K5984" t="n">
        <v>0</v>
      </c>
      <c r="L5984" t="n">
        <v>0</v>
      </c>
      <c r="M5984" t="n">
        <v>0</v>
      </c>
      <c r="N5984" t="n">
        <v>0</v>
      </c>
      <c r="O5984" t="n">
        <v>0</v>
      </c>
      <c r="P5984" t="n">
        <v>0</v>
      </c>
      <c r="Q5984" t="n">
        <v>0</v>
      </c>
      <c r="R5984" s="2" t="inlineStr"/>
    </row>
    <row r="5985" ht="15" customHeight="1">
      <c r="A5985" t="inlineStr">
        <is>
          <t>A 54508-2021</t>
        </is>
      </c>
      <c r="B5985" s="1" t="n">
        <v>44473.51526620371</v>
      </c>
      <c r="C5985" s="1" t="n">
        <v>45962</v>
      </c>
      <c r="D5985" t="inlineStr">
        <is>
          <t>JÖNKÖPINGS LÄN</t>
        </is>
      </c>
      <c r="E5985" t="inlineStr">
        <is>
          <t>VETLANDA</t>
        </is>
      </c>
      <c r="G5985" t="n">
        <v>0.8</v>
      </c>
      <c r="H5985" t="n">
        <v>0</v>
      </c>
      <c r="I5985" t="n">
        <v>0</v>
      </c>
      <c r="J5985" t="n">
        <v>0</v>
      </c>
      <c r="K5985" t="n">
        <v>0</v>
      </c>
      <c r="L5985" t="n">
        <v>0</v>
      </c>
      <c r="M5985" t="n">
        <v>0</v>
      </c>
      <c r="N5985" t="n">
        <v>0</v>
      </c>
      <c r="O5985" t="n">
        <v>0</v>
      </c>
      <c r="P5985" t="n">
        <v>0</v>
      </c>
      <c r="Q5985" t="n">
        <v>0</v>
      </c>
      <c r="R5985" s="2" t="inlineStr"/>
    </row>
    <row r="5986" ht="15" customHeight="1">
      <c r="A5986" t="inlineStr">
        <is>
          <t>A 54519-2021</t>
        </is>
      </c>
      <c r="B5986" s="1" t="n">
        <v>44473</v>
      </c>
      <c r="C5986" s="1" t="n">
        <v>45962</v>
      </c>
      <c r="D5986" t="inlineStr">
        <is>
          <t>JÖNKÖPINGS LÄN</t>
        </is>
      </c>
      <c r="E5986" t="inlineStr">
        <is>
          <t>VÄRNAMO</t>
        </is>
      </c>
      <c r="G5986" t="n">
        <v>5.9</v>
      </c>
      <c r="H5986" t="n">
        <v>0</v>
      </c>
      <c r="I5986" t="n">
        <v>0</v>
      </c>
      <c r="J5986" t="n">
        <v>0</v>
      </c>
      <c r="K5986" t="n">
        <v>0</v>
      </c>
      <c r="L5986" t="n">
        <v>0</v>
      </c>
      <c r="M5986" t="n">
        <v>0</v>
      </c>
      <c r="N5986" t="n">
        <v>0</v>
      </c>
      <c r="O5986" t="n">
        <v>0</v>
      </c>
      <c r="P5986" t="n">
        <v>0</v>
      </c>
      <c r="Q5986" t="n">
        <v>0</v>
      </c>
      <c r="R5986" s="2" t="inlineStr"/>
    </row>
    <row r="5987" ht="15" customHeight="1">
      <c r="A5987" t="inlineStr">
        <is>
          <t>A 39197-2023</t>
        </is>
      </c>
      <c r="B5987" s="1" t="n">
        <v>45162</v>
      </c>
      <c r="C5987" s="1" t="n">
        <v>45962</v>
      </c>
      <c r="D5987" t="inlineStr">
        <is>
          <t>JÖNKÖPINGS LÄN</t>
        </is>
      </c>
      <c r="E5987" t="inlineStr">
        <is>
          <t>NÄSSJÖ</t>
        </is>
      </c>
      <c r="G5987" t="n">
        <v>5.3</v>
      </c>
      <c r="H5987" t="n">
        <v>0</v>
      </c>
      <c r="I5987" t="n">
        <v>0</v>
      </c>
      <c r="J5987" t="n">
        <v>0</v>
      </c>
      <c r="K5987" t="n">
        <v>0</v>
      </c>
      <c r="L5987" t="n">
        <v>0</v>
      </c>
      <c r="M5987" t="n">
        <v>0</v>
      </c>
      <c r="N5987" t="n">
        <v>0</v>
      </c>
      <c r="O5987" t="n">
        <v>0</v>
      </c>
      <c r="P5987" t="n">
        <v>0</v>
      </c>
      <c r="Q5987" t="n">
        <v>0</v>
      </c>
      <c r="R5987" s="2" t="inlineStr"/>
    </row>
    <row r="5988" ht="15" customHeight="1">
      <c r="A5988" t="inlineStr">
        <is>
          <t>A 40615-2023</t>
        </is>
      </c>
      <c r="B5988" s="1" t="n">
        <v>45170.51591435185</v>
      </c>
      <c r="C5988" s="1" t="n">
        <v>45962</v>
      </c>
      <c r="D5988" t="inlineStr">
        <is>
          <t>JÖNKÖPINGS LÄN</t>
        </is>
      </c>
      <c r="E5988" t="inlineStr">
        <is>
          <t>VETLANDA</t>
        </is>
      </c>
      <c r="G5988" t="n">
        <v>1.4</v>
      </c>
      <c r="H5988" t="n">
        <v>0</v>
      </c>
      <c r="I5988" t="n">
        <v>0</v>
      </c>
      <c r="J5988" t="n">
        <v>0</v>
      </c>
      <c r="K5988" t="n">
        <v>0</v>
      </c>
      <c r="L5988" t="n">
        <v>0</v>
      </c>
      <c r="M5988" t="n">
        <v>0</v>
      </c>
      <c r="N5988" t="n">
        <v>0</v>
      </c>
      <c r="O5988" t="n">
        <v>0</v>
      </c>
      <c r="P5988" t="n">
        <v>0</v>
      </c>
      <c r="Q5988" t="n">
        <v>0</v>
      </c>
      <c r="R5988" s="2" t="inlineStr"/>
    </row>
    <row r="5989" ht="15" customHeight="1">
      <c r="A5989" t="inlineStr">
        <is>
          <t>A 41206-2023</t>
        </is>
      </c>
      <c r="B5989" s="1" t="n">
        <v>45174</v>
      </c>
      <c r="C5989" s="1" t="n">
        <v>45962</v>
      </c>
      <c r="D5989" t="inlineStr">
        <is>
          <t>JÖNKÖPINGS LÄN</t>
        </is>
      </c>
      <c r="E5989" t="inlineStr">
        <is>
          <t>VÄRNAMO</t>
        </is>
      </c>
      <c r="G5989" t="n">
        <v>3.1</v>
      </c>
      <c r="H5989" t="n">
        <v>0</v>
      </c>
      <c r="I5989" t="n">
        <v>0</v>
      </c>
      <c r="J5989" t="n">
        <v>0</v>
      </c>
      <c r="K5989" t="n">
        <v>0</v>
      </c>
      <c r="L5989" t="n">
        <v>0</v>
      </c>
      <c r="M5989" t="n">
        <v>0</v>
      </c>
      <c r="N5989" t="n">
        <v>0</v>
      </c>
      <c r="O5989" t="n">
        <v>0</v>
      </c>
      <c r="P5989" t="n">
        <v>0</v>
      </c>
      <c r="Q5989" t="n">
        <v>0</v>
      </c>
      <c r="R5989" s="2" t="inlineStr"/>
    </row>
    <row r="5990" ht="15" customHeight="1">
      <c r="A5990" t="inlineStr">
        <is>
          <t>A 47387-2024</t>
        </is>
      </c>
      <c r="B5990" s="1" t="n">
        <v>45587.46800925926</v>
      </c>
      <c r="C5990" s="1" t="n">
        <v>45962</v>
      </c>
      <c r="D5990" t="inlineStr">
        <is>
          <t>JÖNKÖPINGS LÄN</t>
        </is>
      </c>
      <c r="E5990" t="inlineStr">
        <is>
          <t>VETLANDA</t>
        </is>
      </c>
      <c r="G5990" t="n">
        <v>7.7</v>
      </c>
      <c r="H5990" t="n">
        <v>0</v>
      </c>
      <c r="I5990" t="n">
        <v>0</v>
      </c>
      <c r="J5990" t="n">
        <v>0</v>
      </c>
      <c r="K5990" t="n">
        <v>0</v>
      </c>
      <c r="L5990" t="n">
        <v>0</v>
      </c>
      <c r="M5990" t="n">
        <v>0</v>
      </c>
      <c r="N5990" t="n">
        <v>0</v>
      </c>
      <c r="O5990" t="n">
        <v>0</v>
      </c>
      <c r="P5990" t="n">
        <v>0</v>
      </c>
      <c r="Q5990" t="n">
        <v>0</v>
      </c>
      <c r="R5990" s="2" t="inlineStr"/>
    </row>
    <row r="5991" ht="15" customHeight="1">
      <c r="A5991" t="inlineStr">
        <is>
          <t>A 54399-2024</t>
        </is>
      </c>
      <c r="B5991" s="1" t="n">
        <v>45617.46487268519</v>
      </c>
      <c r="C5991" s="1" t="n">
        <v>45962</v>
      </c>
      <c r="D5991" t="inlineStr">
        <is>
          <t>JÖNKÖPINGS LÄN</t>
        </is>
      </c>
      <c r="E5991" t="inlineStr">
        <is>
          <t>ANEBY</t>
        </is>
      </c>
      <c r="G5991" t="n">
        <v>2.2</v>
      </c>
      <c r="H5991" t="n">
        <v>0</v>
      </c>
      <c r="I5991" t="n">
        <v>0</v>
      </c>
      <c r="J5991" t="n">
        <v>0</v>
      </c>
      <c r="K5991" t="n">
        <v>0</v>
      </c>
      <c r="L5991" t="n">
        <v>0</v>
      </c>
      <c r="M5991" t="n">
        <v>0</v>
      </c>
      <c r="N5991" t="n">
        <v>0</v>
      </c>
      <c r="O5991" t="n">
        <v>0</v>
      </c>
      <c r="P5991" t="n">
        <v>0</v>
      </c>
      <c r="Q5991" t="n">
        <v>0</v>
      </c>
      <c r="R5991" s="2" t="inlineStr"/>
    </row>
    <row r="5992" ht="15" customHeight="1">
      <c r="A5992" t="inlineStr">
        <is>
          <t>A 72980-2021</t>
        </is>
      </c>
      <c r="B5992" s="1" t="n">
        <v>44549</v>
      </c>
      <c r="C5992" s="1" t="n">
        <v>45962</v>
      </c>
      <c r="D5992" t="inlineStr">
        <is>
          <t>JÖNKÖPINGS LÄN</t>
        </is>
      </c>
      <c r="E5992" t="inlineStr">
        <is>
          <t>VETLANDA</t>
        </is>
      </c>
      <c r="G5992" t="n">
        <v>1</v>
      </c>
      <c r="H5992" t="n">
        <v>0</v>
      </c>
      <c r="I5992" t="n">
        <v>0</v>
      </c>
      <c r="J5992" t="n">
        <v>0</v>
      </c>
      <c r="K5992" t="n">
        <v>0</v>
      </c>
      <c r="L5992" t="n">
        <v>0</v>
      </c>
      <c r="M5992" t="n">
        <v>0</v>
      </c>
      <c r="N5992" t="n">
        <v>0</v>
      </c>
      <c r="O5992" t="n">
        <v>0</v>
      </c>
      <c r="P5992" t="n">
        <v>0</v>
      </c>
      <c r="Q5992" t="n">
        <v>0</v>
      </c>
      <c r="R5992" s="2" t="inlineStr"/>
    </row>
    <row r="5993" ht="15" customHeight="1">
      <c r="A5993" t="inlineStr">
        <is>
          <t>A 52524-2024</t>
        </is>
      </c>
      <c r="B5993" s="1" t="n">
        <v>45609.60405092593</v>
      </c>
      <c r="C5993" s="1" t="n">
        <v>45962</v>
      </c>
      <c r="D5993" t="inlineStr">
        <is>
          <t>JÖNKÖPINGS LÄN</t>
        </is>
      </c>
      <c r="E5993" t="inlineStr">
        <is>
          <t>VAGGERYD</t>
        </is>
      </c>
      <c r="F5993" t="inlineStr">
        <is>
          <t>Sveaskog</t>
        </is>
      </c>
      <c r="G5993" t="n">
        <v>8</v>
      </c>
      <c r="H5993" t="n">
        <v>0</v>
      </c>
      <c r="I5993" t="n">
        <v>0</v>
      </c>
      <c r="J5993" t="n">
        <v>0</v>
      </c>
      <c r="K5993" t="n">
        <v>0</v>
      </c>
      <c r="L5993" t="n">
        <v>0</v>
      </c>
      <c r="M5993" t="n">
        <v>0</v>
      </c>
      <c r="N5993" t="n">
        <v>0</v>
      </c>
      <c r="O5993" t="n">
        <v>0</v>
      </c>
      <c r="P5993" t="n">
        <v>0</v>
      </c>
      <c r="Q5993" t="n">
        <v>0</v>
      </c>
      <c r="R5993" s="2" t="inlineStr"/>
    </row>
    <row r="5994" ht="15" customHeight="1">
      <c r="A5994" t="inlineStr">
        <is>
          <t>A 11355-2024</t>
        </is>
      </c>
      <c r="B5994" s="1" t="n">
        <v>45372</v>
      </c>
      <c r="C5994" s="1" t="n">
        <v>45962</v>
      </c>
      <c r="D5994" t="inlineStr">
        <is>
          <t>JÖNKÖPINGS LÄN</t>
        </is>
      </c>
      <c r="E5994" t="inlineStr">
        <is>
          <t>NÄSSJÖ</t>
        </is>
      </c>
      <c r="G5994" t="n">
        <v>0.6</v>
      </c>
      <c r="H5994" t="n">
        <v>0</v>
      </c>
      <c r="I5994" t="n">
        <v>0</v>
      </c>
      <c r="J5994" t="n">
        <v>0</v>
      </c>
      <c r="K5994" t="n">
        <v>0</v>
      </c>
      <c r="L5994" t="n">
        <v>0</v>
      </c>
      <c r="M5994" t="n">
        <v>0</v>
      </c>
      <c r="N5994" t="n">
        <v>0</v>
      </c>
      <c r="O5994" t="n">
        <v>0</v>
      </c>
      <c r="P5994" t="n">
        <v>0</v>
      </c>
      <c r="Q5994" t="n">
        <v>0</v>
      </c>
      <c r="R5994" s="2" t="inlineStr"/>
    </row>
    <row r="5995" ht="15" customHeight="1">
      <c r="A5995" t="inlineStr">
        <is>
          <t>A 3724-2025</t>
        </is>
      </c>
      <c r="B5995" s="1" t="n">
        <v>45681.53460648148</v>
      </c>
      <c r="C5995" s="1" t="n">
        <v>45962</v>
      </c>
      <c r="D5995" t="inlineStr">
        <is>
          <t>JÖNKÖPINGS LÄN</t>
        </is>
      </c>
      <c r="E5995" t="inlineStr">
        <is>
          <t>JÖNKÖPING</t>
        </is>
      </c>
      <c r="G5995" t="n">
        <v>1.5</v>
      </c>
      <c r="H5995" t="n">
        <v>0</v>
      </c>
      <c r="I5995" t="n">
        <v>0</v>
      </c>
      <c r="J5995" t="n">
        <v>0</v>
      </c>
      <c r="K5995" t="n">
        <v>0</v>
      </c>
      <c r="L5995" t="n">
        <v>0</v>
      </c>
      <c r="M5995" t="n">
        <v>0</v>
      </c>
      <c r="N5995" t="n">
        <v>0</v>
      </c>
      <c r="O5995" t="n">
        <v>0</v>
      </c>
      <c r="P5995" t="n">
        <v>0</v>
      </c>
      <c r="Q5995" t="n">
        <v>0</v>
      </c>
      <c r="R5995" s="2" t="inlineStr"/>
    </row>
    <row r="5996" ht="15" customHeight="1">
      <c r="A5996" t="inlineStr">
        <is>
          <t>A 3925-2024</t>
        </is>
      </c>
      <c r="B5996" s="1" t="n">
        <v>45322</v>
      </c>
      <c r="C5996" s="1" t="n">
        <v>45962</v>
      </c>
      <c r="D5996" t="inlineStr">
        <is>
          <t>JÖNKÖPINGS LÄN</t>
        </is>
      </c>
      <c r="E5996" t="inlineStr">
        <is>
          <t>VETLANDA</t>
        </is>
      </c>
      <c r="G5996" t="n">
        <v>1.3</v>
      </c>
      <c r="H5996" t="n">
        <v>0</v>
      </c>
      <c r="I5996" t="n">
        <v>0</v>
      </c>
      <c r="J5996" t="n">
        <v>0</v>
      </c>
      <c r="K5996" t="n">
        <v>0</v>
      </c>
      <c r="L5996" t="n">
        <v>0</v>
      </c>
      <c r="M5996" t="n">
        <v>0</v>
      </c>
      <c r="N5996" t="n">
        <v>0</v>
      </c>
      <c r="O5996" t="n">
        <v>0</v>
      </c>
      <c r="P5996" t="n">
        <v>0</v>
      </c>
      <c r="Q5996" t="n">
        <v>0</v>
      </c>
      <c r="R5996" s="2" t="inlineStr"/>
    </row>
    <row r="5997" ht="15" customHeight="1">
      <c r="A5997" t="inlineStr">
        <is>
          <t>A 4911-2024</t>
        </is>
      </c>
      <c r="B5997" s="1" t="n">
        <v>45329</v>
      </c>
      <c r="C5997" s="1" t="n">
        <v>45962</v>
      </c>
      <c r="D5997" t="inlineStr">
        <is>
          <t>JÖNKÖPINGS LÄN</t>
        </is>
      </c>
      <c r="E5997" t="inlineStr">
        <is>
          <t>SÄVSJÖ</t>
        </is>
      </c>
      <c r="G5997" t="n">
        <v>1</v>
      </c>
      <c r="H5997" t="n">
        <v>0</v>
      </c>
      <c r="I5997" t="n">
        <v>0</v>
      </c>
      <c r="J5997" t="n">
        <v>0</v>
      </c>
      <c r="K5997" t="n">
        <v>0</v>
      </c>
      <c r="L5997" t="n">
        <v>0</v>
      </c>
      <c r="M5997" t="n">
        <v>0</v>
      </c>
      <c r="N5997" t="n">
        <v>0</v>
      </c>
      <c r="O5997" t="n">
        <v>0</v>
      </c>
      <c r="P5997" t="n">
        <v>0</v>
      </c>
      <c r="Q5997" t="n">
        <v>0</v>
      </c>
      <c r="R5997" s="2" t="inlineStr"/>
    </row>
    <row r="5998" ht="15" customHeight="1">
      <c r="A5998" t="inlineStr">
        <is>
          <t>A 11361-2024</t>
        </is>
      </c>
      <c r="B5998" s="1" t="n">
        <v>45372</v>
      </c>
      <c r="C5998" s="1" t="n">
        <v>45962</v>
      </c>
      <c r="D5998" t="inlineStr">
        <is>
          <t>JÖNKÖPINGS LÄN</t>
        </is>
      </c>
      <c r="E5998" t="inlineStr">
        <is>
          <t>NÄSSJÖ</t>
        </is>
      </c>
      <c r="G5998" t="n">
        <v>3.6</v>
      </c>
      <c r="H5998" t="n">
        <v>0</v>
      </c>
      <c r="I5998" t="n">
        <v>0</v>
      </c>
      <c r="J5998" t="n">
        <v>0</v>
      </c>
      <c r="K5998" t="n">
        <v>0</v>
      </c>
      <c r="L5998" t="n">
        <v>0</v>
      </c>
      <c r="M5998" t="n">
        <v>0</v>
      </c>
      <c r="N5998" t="n">
        <v>0</v>
      </c>
      <c r="O5998" t="n">
        <v>0</v>
      </c>
      <c r="P5998" t="n">
        <v>0</v>
      </c>
      <c r="Q5998" t="n">
        <v>0</v>
      </c>
      <c r="R5998" s="2" t="inlineStr"/>
    </row>
    <row r="5999" ht="15" customHeight="1">
      <c r="A5999" t="inlineStr">
        <is>
          <t>A 45912-2023</t>
        </is>
      </c>
      <c r="B5999" s="1" t="n">
        <v>45195.79848379629</v>
      </c>
      <c r="C5999" s="1" t="n">
        <v>45962</v>
      </c>
      <c r="D5999" t="inlineStr">
        <is>
          <t>JÖNKÖPINGS LÄN</t>
        </is>
      </c>
      <c r="E5999" t="inlineStr">
        <is>
          <t>EKSJÖ</t>
        </is>
      </c>
      <c r="G5999" t="n">
        <v>1</v>
      </c>
      <c r="H5999" t="n">
        <v>0</v>
      </c>
      <c r="I5999" t="n">
        <v>0</v>
      </c>
      <c r="J5999" t="n">
        <v>0</v>
      </c>
      <c r="K5999" t="n">
        <v>0</v>
      </c>
      <c r="L5999" t="n">
        <v>0</v>
      </c>
      <c r="M5999" t="n">
        <v>0</v>
      </c>
      <c r="N5999" t="n">
        <v>0</v>
      </c>
      <c r="O5999" t="n">
        <v>0</v>
      </c>
      <c r="P5999" t="n">
        <v>0</v>
      </c>
      <c r="Q5999" t="n">
        <v>0</v>
      </c>
      <c r="R5999" s="2" t="inlineStr"/>
    </row>
    <row r="6000" ht="15" customHeight="1">
      <c r="A6000" t="inlineStr">
        <is>
          <t>A 45913-2023</t>
        </is>
      </c>
      <c r="B6000" s="1" t="n">
        <v>45195.80072916667</v>
      </c>
      <c r="C6000" s="1" t="n">
        <v>45962</v>
      </c>
      <c r="D6000" t="inlineStr">
        <is>
          <t>JÖNKÖPINGS LÄN</t>
        </is>
      </c>
      <c r="E6000" t="inlineStr">
        <is>
          <t>EKSJÖ</t>
        </is>
      </c>
      <c r="G6000" t="n">
        <v>0.8</v>
      </c>
      <c r="H6000" t="n">
        <v>0</v>
      </c>
      <c r="I6000" t="n">
        <v>0</v>
      </c>
      <c r="J6000" t="n">
        <v>0</v>
      </c>
      <c r="K6000" t="n">
        <v>0</v>
      </c>
      <c r="L6000" t="n">
        <v>0</v>
      </c>
      <c r="M6000" t="n">
        <v>0</v>
      </c>
      <c r="N6000" t="n">
        <v>0</v>
      </c>
      <c r="O6000" t="n">
        <v>0</v>
      </c>
      <c r="P6000" t="n">
        <v>0</v>
      </c>
      <c r="Q6000" t="n">
        <v>0</v>
      </c>
      <c r="R6000" s="2" t="inlineStr"/>
    </row>
    <row r="6001" ht="15" customHeight="1">
      <c r="A6001" t="inlineStr">
        <is>
          <t>A 3840-2025</t>
        </is>
      </c>
      <c r="B6001" s="1" t="n">
        <v>45682</v>
      </c>
      <c r="C6001" s="1" t="n">
        <v>45962</v>
      </c>
      <c r="D6001" t="inlineStr">
        <is>
          <t>JÖNKÖPINGS LÄN</t>
        </is>
      </c>
      <c r="E6001" t="inlineStr">
        <is>
          <t>GISLAVED</t>
        </is>
      </c>
      <c r="G6001" t="n">
        <v>2.3</v>
      </c>
      <c r="H6001" t="n">
        <v>0</v>
      </c>
      <c r="I6001" t="n">
        <v>0</v>
      </c>
      <c r="J6001" t="n">
        <v>0</v>
      </c>
      <c r="K6001" t="n">
        <v>0</v>
      </c>
      <c r="L6001" t="n">
        <v>0</v>
      </c>
      <c r="M6001" t="n">
        <v>0</v>
      </c>
      <c r="N6001" t="n">
        <v>0</v>
      </c>
      <c r="O6001" t="n">
        <v>0</v>
      </c>
      <c r="P6001" t="n">
        <v>0</v>
      </c>
      <c r="Q6001" t="n">
        <v>0</v>
      </c>
      <c r="R6001" s="2" t="inlineStr"/>
    </row>
    <row r="6002" ht="15" customHeight="1">
      <c r="A6002" t="inlineStr">
        <is>
          <t>A 35737-2025</t>
        </is>
      </c>
      <c r="B6002" s="1" t="n">
        <v>45860.50186342592</v>
      </c>
      <c r="C6002" s="1" t="n">
        <v>45962</v>
      </c>
      <c r="D6002" t="inlineStr">
        <is>
          <t>JÖNKÖPINGS LÄN</t>
        </is>
      </c>
      <c r="E6002" t="inlineStr">
        <is>
          <t>ANEBY</t>
        </is>
      </c>
      <c r="G6002" t="n">
        <v>2.4</v>
      </c>
      <c r="H6002" t="n">
        <v>0</v>
      </c>
      <c r="I6002" t="n">
        <v>0</v>
      </c>
      <c r="J6002" t="n">
        <v>0</v>
      </c>
      <c r="K6002" t="n">
        <v>0</v>
      </c>
      <c r="L6002" t="n">
        <v>0</v>
      </c>
      <c r="M6002" t="n">
        <v>0</v>
      </c>
      <c r="N6002" t="n">
        <v>0</v>
      </c>
      <c r="O6002" t="n">
        <v>0</v>
      </c>
      <c r="P6002" t="n">
        <v>0</v>
      </c>
      <c r="Q6002" t="n">
        <v>0</v>
      </c>
      <c r="R6002" s="2" t="inlineStr"/>
    </row>
    <row r="6003" ht="15" customHeight="1">
      <c r="A6003" t="inlineStr">
        <is>
          <t>A 54270-2024</t>
        </is>
      </c>
      <c r="B6003" s="1" t="n">
        <v>45616.81366898148</v>
      </c>
      <c r="C6003" s="1" t="n">
        <v>45962</v>
      </c>
      <c r="D6003" t="inlineStr">
        <is>
          <t>JÖNKÖPINGS LÄN</t>
        </is>
      </c>
      <c r="E6003" t="inlineStr">
        <is>
          <t>HABO</t>
        </is>
      </c>
      <c r="G6003" t="n">
        <v>1.5</v>
      </c>
      <c r="H6003" t="n">
        <v>0</v>
      </c>
      <c r="I6003" t="n">
        <v>0</v>
      </c>
      <c r="J6003" t="n">
        <v>0</v>
      </c>
      <c r="K6003" t="n">
        <v>0</v>
      </c>
      <c r="L6003" t="n">
        <v>0</v>
      </c>
      <c r="M6003" t="n">
        <v>0</v>
      </c>
      <c r="N6003" t="n">
        <v>0</v>
      </c>
      <c r="O6003" t="n">
        <v>0</v>
      </c>
      <c r="P6003" t="n">
        <v>0</v>
      </c>
      <c r="Q6003" t="n">
        <v>0</v>
      </c>
      <c r="R6003" s="2" t="inlineStr"/>
    </row>
    <row r="6004" ht="15" customHeight="1">
      <c r="A6004" t="inlineStr">
        <is>
          <t>A 54381-2024</t>
        </is>
      </c>
      <c r="B6004" s="1" t="n">
        <v>45617.44506944445</v>
      </c>
      <c r="C6004" s="1" t="n">
        <v>45962</v>
      </c>
      <c r="D6004" t="inlineStr">
        <is>
          <t>JÖNKÖPINGS LÄN</t>
        </is>
      </c>
      <c r="E6004" t="inlineStr">
        <is>
          <t>NÄSSJÖ</t>
        </is>
      </c>
      <c r="G6004" t="n">
        <v>0.4</v>
      </c>
      <c r="H6004" t="n">
        <v>0</v>
      </c>
      <c r="I6004" t="n">
        <v>0</v>
      </c>
      <c r="J6004" t="n">
        <v>0</v>
      </c>
      <c r="K6004" t="n">
        <v>0</v>
      </c>
      <c r="L6004" t="n">
        <v>0</v>
      </c>
      <c r="M6004" t="n">
        <v>0</v>
      </c>
      <c r="N6004" t="n">
        <v>0</v>
      </c>
      <c r="O6004" t="n">
        <v>0</v>
      </c>
      <c r="P6004" t="n">
        <v>0</v>
      </c>
      <c r="Q6004" t="n">
        <v>0</v>
      </c>
      <c r="R6004" s="2" t="inlineStr"/>
    </row>
    <row r="6005" ht="15" customHeight="1">
      <c r="A6005" t="inlineStr">
        <is>
          <t>A 35784-2025</t>
        </is>
      </c>
      <c r="B6005" s="1" t="n">
        <v>45860.94825231482</v>
      </c>
      <c r="C6005" s="1" t="n">
        <v>45962</v>
      </c>
      <c r="D6005" t="inlineStr">
        <is>
          <t>JÖNKÖPINGS LÄN</t>
        </is>
      </c>
      <c r="E6005" t="inlineStr">
        <is>
          <t>EKSJÖ</t>
        </is>
      </c>
      <c r="G6005" t="n">
        <v>0.6</v>
      </c>
      <c r="H6005" t="n">
        <v>0</v>
      </c>
      <c r="I6005" t="n">
        <v>0</v>
      </c>
      <c r="J6005" t="n">
        <v>0</v>
      </c>
      <c r="K6005" t="n">
        <v>0</v>
      </c>
      <c r="L6005" t="n">
        <v>0</v>
      </c>
      <c r="M6005" t="n">
        <v>0</v>
      </c>
      <c r="N6005" t="n">
        <v>0</v>
      </c>
      <c r="O6005" t="n">
        <v>0</v>
      </c>
      <c r="P6005" t="n">
        <v>0</v>
      </c>
      <c r="Q6005" t="n">
        <v>0</v>
      </c>
      <c r="R6005" s="2" t="inlineStr"/>
    </row>
    <row r="6006" ht="15" customHeight="1">
      <c r="A6006" t="inlineStr">
        <is>
          <t>A 44697-2023</t>
        </is>
      </c>
      <c r="B6006" s="1" t="n">
        <v>45184</v>
      </c>
      <c r="C6006" s="1" t="n">
        <v>45962</v>
      </c>
      <c r="D6006" t="inlineStr">
        <is>
          <t>JÖNKÖPINGS LÄN</t>
        </is>
      </c>
      <c r="E6006" t="inlineStr">
        <is>
          <t>JÖNKÖPING</t>
        </is>
      </c>
      <c r="G6006" t="n">
        <v>4.4</v>
      </c>
      <c r="H6006" t="n">
        <v>0</v>
      </c>
      <c r="I6006" t="n">
        <v>0</v>
      </c>
      <c r="J6006" t="n">
        <v>0</v>
      </c>
      <c r="K6006" t="n">
        <v>0</v>
      </c>
      <c r="L6006" t="n">
        <v>0</v>
      </c>
      <c r="M6006" t="n">
        <v>0</v>
      </c>
      <c r="N6006" t="n">
        <v>0</v>
      </c>
      <c r="O6006" t="n">
        <v>0</v>
      </c>
      <c r="P6006" t="n">
        <v>0</v>
      </c>
      <c r="Q6006" t="n">
        <v>0</v>
      </c>
      <c r="R6006" s="2" t="inlineStr"/>
    </row>
    <row r="6007" ht="15" customHeight="1">
      <c r="A6007" t="inlineStr">
        <is>
          <t>A 44766-2023</t>
        </is>
      </c>
      <c r="B6007" s="1" t="n">
        <v>45190</v>
      </c>
      <c r="C6007" s="1" t="n">
        <v>45962</v>
      </c>
      <c r="D6007" t="inlineStr">
        <is>
          <t>JÖNKÖPINGS LÄN</t>
        </is>
      </c>
      <c r="E6007" t="inlineStr">
        <is>
          <t>NÄSSJÖ</t>
        </is>
      </c>
      <c r="G6007" t="n">
        <v>2.3</v>
      </c>
      <c r="H6007" t="n">
        <v>0</v>
      </c>
      <c r="I6007" t="n">
        <v>0</v>
      </c>
      <c r="J6007" t="n">
        <v>0</v>
      </c>
      <c r="K6007" t="n">
        <v>0</v>
      </c>
      <c r="L6007" t="n">
        <v>0</v>
      </c>
      <c r="M6007" t="n">
        <v>0</v>
      </c>
      <c r="N6007" t="n">
        <v>0</v>
      </c>
      <c r="O6007" t="n">
        <v>0</v>
      </c>
      <c r="P6007" t="n">
        <v>0</v>
      </c>
      <c r="Q6007" t="n">
        <v>0</v>
      </c>
      <c r="R6007" s="2" t="inlineStr"/>
    </row>
    <row r="6008" ht="15" customHeight="1">
      <c r="A6008" t="inlineStr">
        <is>
          <t>A 10500-2025</t>
        </is>
      </c>
      <c r="B6008" s="1" t="n">
        <v>45721</v>
      </c>
      <c r="C6008" s="1" t="n">
        <v>45962</v>
      </c>
      <c r="D6008" t="inlineStr">
        <is>
          <t>JÖNKÖPINGS LÄN</t>
        </is>
      </c>
      <c r="E6008" t="inlineStr">
        <is>
          <t>NÄSSJÖ</t>
        </is>
      </c>
      <c r="G6008" t="n">
        <v>2.6</v>
      </c>
      <c r="H6008" t="n">
        <v>0</v>
      </c>
      <c r="I6008" t="n">
        <v>0</v>
      </c>
      <c r="J6008" t="n">
        <v>0</v>
      </c>
      <c r="K6008" t="n">
        <v>0</v>
      </c>
      <c r="L6008" t="n">
        <v>0</v>
      </c>
      <c r="M6008" t="n">
        <v>0</v>
      </c>
      <c r="N6008" t="n">
        <v>0</v>
      </c>
      <c r="O6008" t="n">
        <v>0</v>
      </c>
      <c r="P6008" t="n">
        <v>0</v>
      </c>
      <c r="Q6008" t="n">
        <v>0</v>
      </c>
      <c r="R6008" s="2" t="inlineStr"/>
    </row>
    <row r="6009" ht="15" customHeight="1">
      <c r="A6009" t="inlineStr">
        <is>
          <t>A 53780-2021</t>
        </is>
      </c>
      <c r="B6009" s="1" t="n">
        <v>44469.58072916666</v>
      </c>
      <c r="C6009" s="1" t="n">
        <v>45962</v>
      </c>
      <c r="D6009" t="inlineStr">
        <is>
          <t>JÖNKÖPINGS LÄN</t>
        </is>
      </c>
      <c r="E6009" t="inlineStr">
        <is>
          <t>VAGGERYD</t>
        </is>
      </c>
      <c r="G6009" t="n">
        <v>1.3</v>
      </c>
      <c r="H6009" t="n">
        <v>0</v>
      </c>
      <c r="I6009" t="n">
        <v>0</v>
      </c>
      <c r="J6009" t="n">
        <v>0</v>
      </c>
      <c r="K6009" t="n">
        <v>0</v>
      </c>
      <c r="L6009" t="n">
        <v>0</v>
      </c>
      <c r="M6009" t="n">
        <v>0</v>
      </c>
      <c r="N6009" t="n">
        <v>0</v>
      </c>
      <c r="O6009" t="n">
        <v>0</v>
      </c>
      <c r="P6009" t="n">
        <v>0</v>
      </c>
      <c r="Q6009" t="n">
        <v>0</v>
      </c>
      <c r="R6009" s="2" t="inlineStr"/>
    </row>
    <row r="6010" ht="15" customHeight="1">
      <c r="A6010" t="inlineStr">
        <is>
          <t>A 3898-2025</t>
        </is>
      </c>
      <c r="B6010" s="1" t="n">
        <v>45684.38679398148</v>
      </c>
      <c r="C6010" s="1" t="n">
        <v>45962</v>
      </c>
      <c r="D6010" t="inlineStr">
        <is>
          <t>JÖNKÖPINGS LÄN</t>
        </is>
      </c>
      <c r="E6010" t="inlineStr">
        <is>
          <t>VÄRNAMO</t>
        </is>
      </c>
      <c r="G6010" t="n">
        <v>6.6</v>
      </c>
      <c r="H6010" t="n">
        <v>0</v>
      </c>
      <c r="I6010" t="n">
        <v>0</v>
      </c>
      <c r="J6010" t="n">
        <v>0</v>
      </c>
      <c r="K6010" t="n">
        <v>0</v>
      </c>
      <c r="L6010" t="n">
        <v>0</v>
      </c>
      <c r="M6010" t="n">
        <v>0</v>
      </c>
      <c r="N6010" t="n">
        <v>0</v>
      </c>
      <c r="O6010" t="n">
        <v>0</v>
      </c>
      <c r="P6010" t="n">
        <v>0</v>
      </c>
      <c r="Q6010" t="n">
        <v>0</v>
      </c>
      <c r="R6010" s="2" t="inlineStr"/>
    </row>
    <row r="6011" ht="15" customHeight="1">
      <c r="A6011" t="inlineStr">
        <is>
          <t>A 29009-2023</t>
        </is>
      </c>
      <c r="B6011" s="1" t="n">
        <v>45104</v>
      </c>
      <c r="C6011" s="1" t="n">
        <v>45962</v>
      </c>
      <c r="D6011" t="inlineStr">
        <is>
          <t>JÖNKÖPINGS LÄN</t>
        </is>
      </c>
      <c r="E6011" t="inlineStr">
        <is>
          <t>SÄVSJÖ</t>
        </is>
      </c>
      <c r="G6011" t="n">
        <v>1.9</v>
      </c>
      <c r="H6011" t="n">
        <v>0</v>
      </c>
      <c r="I6011" t="n">
        <v>0</v>
      </c>
      <c r="J6011" t="n">
        <v>0</v>
      </c>
      <c r="K6011" t="n">
        <v>0</v>
      </c>
      <c r="L6011" t="n">
        <v>0</v>
      </c>
      <c r="M6011" t="n">
        <v>0</v>
      </c>
      <c r="N6011" t="n">
        <v>0</v>
      </c>
      <c r="O6011" t="n">
        <v>0</v>
      </c>
      <c r="P6011" t="n">
        <v>0</v>
      </c>
      <c r="Q6011" t="n">
        <v>0</v>
      </c>
      <c r="R6011" s="2" t="inlineStr"/>
    </row>
    <row r="6012" ht="15" customHeight="1">
      <c r="A6012" t="inlineStr">
        <is>
          <t>A 43100-2021</t>
        </is>
      </c>
      <c r="B6012" s="1" t="n">
        <v>44431.60414351852</v>
      </c>
      <c r="C6012" s="1" t="n">
        <v>45962</v>
      </c>
      <c r="D6012" t="inlineStr">
        <is>
          <t>JÖNKÖPINGS LÄN</t>
        </is>
      </c>
      <c r="E6012" t="inlineStr">
        <is>
          <t>EKSJÖ</t>
        </is>
      </c>
      <c r="G6012" t="n">
        <v>2.6</v>
      </c>
      <c r="H6012" t="n">
        <v>0</v>
      </c>
      <c r="I6012" t="n">
        <v>0</v>
      </c>
      <c r="J6012" t="n">
        <v>0</v>
      </c>
      <c r="K6012" t="n">
        <v>0</v>
      </c>
      <c r="L6012" t="n">
        <v>0</v>
      </c>
      <c r="M6012" t="n">
        <v>0</v>
      </c>
      <c r="N6012" t="n">
        <v>0</v>
      </c>
      <c r="O6012" t="n">
        <v>0</v>
      </c>
      <c r="P6012" t="n">
        <v>0</v>
      </c>
      <c r="Q6012" t="n">
        <v>0</v>
      </c>
      <c r="R6012" s="2" t="inlineStr"/>
    </row>
    <row r="6013" ht="15" customHeight="1">
      <c r="A6013" t="inlineStr">
        <is>
          <t>A 43015-2022</t>
        </is>
      </c>
      <c r="B6013" s="1" t="n">
        <v>44833.56226851852</v>
      </c>
      <c r="C6013" s="1" t="n">
        <v>45962</v>
      </c>
      <c r="D6013" t="inlineStr">
        <is>
          <t>JÖNKÖPINGS LÄN</t>
        </is>
      </c>
      <c r="E6013" t="inlineStr">
        <is>
          <t>SÄVSJÖ</t>
        </is>
      </c>
      <c r="G6013" t="n">
        <v>0.9</v>
      </c>
      <c r="H6013" t="n">
        <v>0</v>
      </c>
      <c r="I6013" t="n">
        <v>0</v>
      </c>
      <c r="J6013" t="n">
        <v>0</v>
      </c>
      <c r="K6013" t="n">
        <v>0</v>
      </c>
      <c r="L6013" t="n">
        <v>0</v>
      </c>
      <c r="M6013" t="n">
        <v>0</v>
      </c>
      <c r="N6013" t="n">
        <v>0</v>
      </c>
      <c r="O6013" t="n">
        <v>0</v>
      </c>
      <c r="P6013" t="n">
        <v>0</v>
      </c>
      <c r="Q6013" t="n">
        <v>0</v>
      </c>
      <c r="R6013" s="2" t="inlineStr"/>
    </row>
    <row r="6014" ht="15" customHeight="1">
      <c r="A6014" t="inlineStr">
        <is>
          <t>A 22541-2025</t>
        </is>
      </c>
      <c r="B6014" s="1" t="n">
        <v>45788.32225694445</v>
      </c>
      <c r="C6014" s="1" t="n">
        <v>45962</v>
      </c>
      <c r="D6014" t="inlineStr">
        <is>
          <t>JÖNKÖPINGS LÄN</t>
        </is>
      </c>
      <c r="E6014" t="inlineStr">
        <is>
          <t>JÖNKÖPING</t>
        </is>
      </c>
      <c r="G6014" t="n">
        <v>1.8</v>
      </c>
      <c r="H6014" t="n">
        <v>0</v>
      </c>
      <c r="I6014" t="n">
        <v>0</v>
      </c>
      <c r="J6014" t="n">
        <v>0</v>
      </c>
      <c r="K6014" t="n">
        <v>0</v>
      </c>
      <c r="L6014" t="n">
        <v>0</v>
      </c>
      <c r="M6014" t="n">
        <v>0</v>
      </c>
      <c r="N6014" t="n">
        <v>0</v>
      </c>
      <c r="O6014" t="n">
        <v>0</v>
      </c>
      <c r="P6014" t="n">
        <v>0</v>
      </c>
      <c r="Q6014" t="n">
        <v>0</v>
      </c>
      <c r="R6014" s="2" t="inlineStr"/>
    </row>
    <row r="6015" ht="15" customHeight="1">
      <c r="A6015" t="inlineStr">
        <is>
          <t>A 10355-2024</t>
        </is>
      </c>
      <c r="B6015" s="1" t="n">
        <v>45365.60123842592</v>
      </c>
      <c r="C6015" s="1" t="n">
        <v>45962</v>
      </c>
      <c r="D6015" t="inlineStr">
        <is>
          <t>JÖNKÖPINGS LÄN</t>
        </is>
      </c>
      <c r="E6015" t="inlineStr">
        <is>
          <t>ANEBY</t>
        </is>
      </c>
      <c r="F6015" t="inlineStr">
        <is>
          <t>Sveaskog</t>
        </is>
      </c>
      <c r="G6015" t="n">
        <v>2.3</v>
      </c>
      <c r="H6015" t="n">
        <v>0</v>
      </c>
      <c r="I6015" t="n">
        <v>0</v>
      </c>
      <c r="J6015" t="n">
        <v>0</v>
      </c>
      <c r="K6015" t="n">
        <v>0</v>
      </c>
      <c r="L6015" t="n">
        <v>0</v>
      </c>
      <c r="M6015" t="n">
        <v>0</v>
      </c>
      <c r="N6015" t="n">
        <v>0</v>
      </c>
      <c r="O6015" t="n">
        <v>0</v>
      </c>
      <c r="P6015" t="n">
        <v>0</v>
      </c>
      <c r="Q6015" t="n">
        <v>0</v>
      </c>
      <c r="R6015" s="2" t="inlineStr"/>
    </row>
    <row r="6016" ht="15" customHeight="1">
      <c r="A6016" t="inlineStr">
        <is>
          <t>A 10357-2024</t>
        </is>
      </c>
      <c r="B6016" s="1" t="n">
        <v>45365.60304398148</v>
      </c>
      <c r="C6016" s="1" t="n">
        <v>45962</v>
      </c>
      <c r="D6016" t="inlineStr">
        <is>
          <t>JÖNKÖPINGS LÄN</t>
        </is>
      </c>
      <c r="E6016" t="inlineStr">
        <is>
          <t>ANEBY</t>
        </is>
      </c>
      <c r="F6016" t="inlineStr">
        <is>
          <t>Sveaskog</t>
        </is>
      </c>
      <c r="G6016" t="n">
        <v>0.6</v>
      </c>
      <c r="H6016" t="n">
        <v>0</v>
      </c>
      <c r="I6016" t="n">
        <v>0</v>
      </c>
      <c r="J6016" t="n">
        <v>0</v>
      </c>
      <c r="K6016" t="n">
        <v>0</v>
      </c>
      <c r="L6016" t="n">
        <v>0</v>
      </c>
      <c r="M6016" t="n">
        <v>0</v>
      </c>
      <c r="N6016" t="n">
        <v>0</v>
      </c>
      <c r="O6016" t="n">
        <v>0</v>
      </c>
      <c r="P6016" t="n">
        <v>0</v>
      </c>
      <c r="Q6016" t="n">
        <v>0</v>
      </c>
      <c r="R6016" s="2" t="inlineStr"/>
    </row>
    <row r="6017" ht="15" customHeight="1">
      <c r="A6017" t="inlineStr">
        <is>
          <t>A 10381-2024</t>
        </is>
      </c>
      <c r="B6017" s="1" t="n">
        <v>45365.64836805555</v>
      </c>
      <c r="C6017" s="1" t="n">
        <v>45962</v>
      </c>
      <c r="D6017" t="inlineStr">
        <is>
          <t>JÖNKÖPINGS LÄN</t>
        </is>
      </c>
      <c r="E6017" t="inlineStr">
        <is>
          <t>VETLANDA</t>
        </is>
      </c>
      <c r="G6017" t="n">
        <v>1.4</v>
      </c>
      <c r="H6017" t="n">
        <v>0</v>
      </c>
      <c r="I6017" t="n">
        <v>0</v>
      </c>
      <c r="J6017" t="n">
        <v>0</v>
      </c>
      <c r="K6017" t="n">
        <v>0</v>
      </c>
      <c r="L6017" t="n">
        <v>0</v>
      </c>
      <c r="M6017" t="n">
        <v>0</v>
      </c>
      <c r="N6017" t="n">
        <v>0</v>
      </c>
      <c r="O6017" t="n">
        <v>0</v>
      </c>
      <c r="P6017" t="n">
        <v>0</v>
      </c>
      <c r="Q6017" t="n">
        <v>0</v>
      </c>
      <c r="R6017" s="2" t="inlineStr"/>
    </row>
    <row r="6018" ht="15" customHeight="1">
      <c r="A6018" t="inlineStr">
        <is>
          <t>A 35724-2025</t>
        </is>
      </c>
      <c r="B6018" s="1" t="n">
        <v>45860</v>
      </c>
      <c r="C6018" s="1" t="n">
        <v>45962</v>
      </c>
      <c r="D6018" t="inlineStr">
        <is>
          <t>JÖNKÖPINGS LÄN</t>
        </is>
      </c>
      <c r="E6018" t="inlineStr">
        <is>
          <t>VETLANDA</t>
        </is>
      </c>
      <c r="G6018" t="n">
        <v>0.3</v>
      </c>
      <c r="H6018" t="n">
        <v>0</v>
      </c>
      <c r="I6018" t="n">
        <v>0</v>
      </c>
      <c r="J6018" t="n">
        <v>0</v>
      </c>
      <c r="K6018" t="n">
        <v>0</v>
      </c>
      <c r="L6018" t="n">
        <v>0</v>
      </c>
      <c r="M6018" t="n">
        <v>0</v>
      </c>
      <c r="N6018" t="n">
        <v>0</v>
      </c>
      <c r="O6018" t="n">
        <v>0</v>
      </c>
      <c r="P6018" t="n">
        <v>0</v>
      </c>
      <c r="Q6018" t="n">
        <v>0</v>
      </c>
      <c r="R6018" s="2" t="inlineStr"/>
    </row>
    <row r="6019" ht="15" customHeight="1">
      <c r="A6019" t="inlineStr">
        <is>
          <t>A 60346-2023</t>
        </is>
      </c>
      <c r="B6019" s="1" t="n">
        <v>45259.33623842592</v>
      </c>
      <c r="C6019" s="1" t="n">
        <v>45962</v>
      </c>
      <c r="D6019" t="inlineStr">
        <is>
          <t>JÖNKÖPINGS LÄN</t>
        </is>
      </c>
      <c r="E6019" t="inlineStr">
        <is>
          <t>GISLAVED</t>
        </is>
      </c>
      <c r="G6019" t="n">
        <v>5.6</v>
      </c>
      <c r="H6019" t="n">
        <v>0</v>
      </c>
      <c r="I6019" t="n">
        <v>0</v>
      </c>
      <c r="J6019" t="n">
        <v>0</v>
      </c>
      <c r="K6019" t="n">
        <v>0</v>
      </c>
      <c r="L6019" t="n">
        <v>0</v>
      </c>
      <c r="M6019" t="n">
        <v>0</v>
      </c>
      <c r="N6019" t="n">
        <v>0</v>
      </c>
      <c r="O6019" t="n">
        <v>0</v>
      </c>
      <c r="P6019" t="n">
        <v>0</v>
      </c>
      <c r="Q6019" t="n">
        <v>0</v>
      </c>
      <c r="R6019" s="2" t="inlineStr"/>
    </row>
    <row r="6020" ht="15" customHeight="1">
      <c r="A6020" t="inlineStr">
        <is>
          <t>A 47283-2021</t>
        </is>
      </c>
      <c r="B6020" s="1" t="n">
        <v>44447</v>
      </c>
      <c r="C6020" s="1" t="n">
        <v>45962</v>
      </c>
      <c r="D6020" t="inlineStr">
        <is>
          <t>JÖNKÖPINGS LÄN</t>
        </is>
      </c>
      <c r="E6020" t="inlineStr">
        <is>
          <t>GNOSJÖ</t>
        </is>
      </c>
      <c r="G6020" t="n">
        <v>2.4</v>
      </c>
      <c r="H6020" t="n">
        <v>0</v>
      </c>
      <c r="I6020" t="n">
        <v>0</v>
      </c>
      <c r="J6020" t="n">
        <v>0</v>
      </c>
      <c r="K6020" t="n">
        <v>0</v>
      </c>
      <c r="L6020" t="n">
        <v>0</v>
      </c>
      <c r="M6020" t="n">
        <v>0</v>
      </c>
      <c r="N6020" t="n">
        <v>0</v>
      </c>
      <c r="O6020" t="n">
        <v>0</v>
      </c>
      <c r="P6020" t="n">
        <v>0</v>
      </c>
      <c r="Q6020" t="n">
        <v>0</v>
      </c>
      <c r="R6020" s="2" t="inlineStr"/>
    </row>
    <row r="6021" ht="15" customHeight="1">
      <c r="A6021" t="inlineStr">
        <is>
          <t>A 40575-2023</t>
        </is>
      </c>
      <c r="B6021" s="1" t="n">
        <v>45170</v>
      </c>
      <c r="C6021" s="1" t="n">
        <v>45962</v>
      </c>
      <c r="D6021" t="inlineStr">
        <is>
          <t>JÖNKÖPINGS LÄN</t>
        </is>
      </c>
      <c r="E6021" t="inlineStr">
        <is>
          <t>SÄVSJÖ</t>
        </is>
      </c>
      <c r="G6021" t="n">
        <v>0.7</v>
      </c>
      <c r="H6021" t="n">
        <v>0</v>
      </c>
      <c r="I6021" t="n">
        <v>0</v>
      </c>
      <c r="J6021" t="n">
        <v>0</v>
      </c>
      <c r="K6021" t="n">
        <v>0</v>
      </c>
      <c r="L6021" t="n">
        <v>0</v>
      </c>
      <c r="M6021" t="n">
        <v>0</v>
      </c>
      <c r="N6021" t="n">
        <v>0</v>
      </c>
      <c r="O6021" t="n">
        <v>0</v>
      </c>
      <c r="P6021" t="n">
        <v>0</v>
      </c>
      <c r="Q6021" t="n">
        <v>0</v>
      </c>
      <c r="R6021" s="2" t="inlineStr"/>
    </row>
    <row r="6022" ht="15" customHeight="1">
      <c r="A6022" t="inlineStr">
        <is>
          <t>A 13333-2023</t>
        </is>
      </c>
      <c r="B6022" s="1" t="n">
        <v>45005</v>
      </c>
      <c r="C6022" s="1" t="n">
        <v>45962</v>
      </c>
      <c r="D6022" t="inlineStr">
        <is>
          <t>JÖNKÖPINGS LÄN</t>
        </is>
      </c>
      <c r="E6022" t="inlineStr">
        <is>
          <t>VETLANDA</t>
        </is>
      </c>
      <c r="G6022" t="n">
        <v>1.6</v>
      </c>
      <c r="H6022" t="n">
        <v>0</v>
      </c>
      <c r="I6022" t="n">
        <v>0</v>
      </c>
      <c r="J6022" t="n">
        <v>0</v>
      </c>
      <c r="K6022" t="n">
        <v>0</v>
      </c>
      <c r="L6022" t="n">
        <v>0</v>
      </c>
      <c r="M6022" t="n">
        <v>0</v>
      </c>
      <c r="N6022" t="n">
        <v>0</v>
      </c>
      <c r="O6022" t="n">
        <v>0</v>
      </c>
      <c r="P6022" t="n">
        <v>0</v>
      </c>
      <c r="Q6022" t="n">
        <v>0</v>
      </c>
      <c r="R6022" s="2" t="inlineStr"/>
    </row>
    <row r="6023" ht="15" customHeight="1">
      <c r="A6023" t="inlineStr">
        <is>
          <t>A 17614-2025</t>
        </is>
      </c>
      <c r="B6023" s="1" t="n">
        <v>45757</v>
      </c>
      <c r="C6023" s="1" t="n">
        <v>45962</v>
      </c>
      <c r="D6023" t="inlineStr">
        <is>
          <t>JÖNKÖPINGS LÄN</t>
        </is>
      </c>
      <c r="E6023" t="inlineStr">
        <is>
          <t>JÖNKÖPING</t>
        </is>
      </c>
      <c r="G6023" t="n">
        <v>4.3</v>
      </c>
      <c r="H6023" t="n">
        <v>0</v>
      </c>
      <c r="I6023" t="n">
        <v>0</v>
      </c>
      <c r="J6023" t="n">
        <v>0</v>
      </c>
      <c r="K6023" t="n">
        <v>0</v>
      </c>
      <c r="L6023" t="n">
        <v>0</v>
      </c>
      <c r="M6023" t="n">
        <v>0</v>
      </c>
      <c r="N6023" t="n">
        <v>0</v>
      </c>
      <c r="O6023" t="n">
        <v>0</v>
      </c>
      <c r="P6023" t="n">
        <v>0</v>
      </c>
      <c r="Q6023" t="n">
        <v>0</v>
      </c>
      <c r="R6023" s="2" t="inlineStr"/>
    </row>
    <row r="6024" ht="15" customHeight="1">
      <c r="A6024" t="inlineStr">
        <is>
          <t>A 35862-2025</t>
        </is>
      </c>
      <c r="B6024" s="1" t="n">
        <v>45861.68065972222</v>
      </c>
      <c r="C6024" s="1" t="n">
        <v>45962</v>
      </c>
      <c r="D6024" t="inlineStr">
        <is>
          <t>JÖNKÖPINGS LÄN</t>
        </is>
      </c>
      <c r="E6024" t="inlineStr">
        <is>
          <t>JÖNKÖPING</t>
        </is>
      </c>
      <c r="G6024" t="n">
        <v>2.3</v>
      </c>
      <c r="H6024" t="n">
        <v>0</v>
      </c>
      <c r="I6024" t="n">
        <v>0</v>
      </c>
      <c r="J6024" t="n">
        <v>0</v>
      </c>
      <c r="K6024" t="n">
        <v>0</v>
      </c>
      <c r="L6024" t="n">
        <v>0</v>
      </c>
      <c r="M6024" t="n">
        <v>0</v>
      </c>
      <c r="N6024" t="n">
        <v>0</v>
      </c>
      <c r="O6024" t="n">
        <v>0</v>
      </c>
      <c r="P6024" t="n">
        <v>0</v>
      </c>
      <c r="Q6024" t="n">
        <v>0</v>
      </c>
      <c r="R6024" s="2" t="inlineStr"/>
    </row>
    <row r="6025" ht="15" customHeight="1">
      <c r="A6025" t="inlineStr">
        <is>
          <t>A 60859-2024</t>
        </is>
      </c>
      <c r="B6025" s="1" t="n">
        <v>45644.68480324074</v>
      </c>
      <c r="C6025" s="1" t="n">
        <v>45962</v>
      </c>
      <c r="D6025" t="inlineStr">
        <is>
          <t>JÖNKÖPINGS LÄN</t>
        </is>
      </c>
      <c r="E6025" t="inlineStr">
        <is>
          <t>GNOSJÖ</t>
        </is>
      </c>
      <c r="G6025" t="n">
        <v>3.1</v>
      </c>
      <c r="H6025" t="n">
        <v>0</v>
      </c>
      <c r="I6025" t="n">
        <v>0</v>
      </c>
      <c r="J6025" t="n">
        <v>0</v>
      </c>
      <c r="K6025" t="n">
        <v>0</v>
      </c>
      <c r="L6025" t="n">
        <v>0</v>
      </c>
      <c r="M6025" t="n">
        <v>0</v>
      </c>
      <c r="N6025" t="n">
        <v>0</v>
      </c>
      <c r="O6025" t="n">
        <v>0</v>
      </c>
      <c r="P6025" t="n">
        <v>0</v>
      </c>
      <c r="Q6025" t="n">
        <v>0</v>
      </c>
      <c r="R6025" s="2" t="inlineStr"/>
    </row>
    <row r="6026" ht="15" customHeight="1">
      <c r="A6026" t="inlineStr">
        <is>
          <t>A 74310-2021</t>
        </is>
      </c>
      <c r="B6026" s="1" t="n">
        <v>44559.38648148148</v>
      </c>
      <c r="C6026" s="1" t="n">
        <v>45962</v>
      </c>
      <c r="D6026" t="inlineStr">
        <is>
          <t>JÖNKÖPINGS LÄN</t>
        </is>
      </c>
      <c r="E6026" t="inlineStr">
        <is>
          <t>VÄRNAMO</t>
        </is>
      </c>
      <c r="F6026" t="inlineStr">
        <is>
          <t>Sveaskog</t>
        </is>
      </c>
      <c r="G6026" t="n">
        <v>1.3</v>
      </c>
      <c r="H6026" t="n">
        <v>0</v>
      </c>
      <c r="I6026" t="n">
        <v>0</v>
      </c>
      <c r="J6026" t="n">
        <v>0</v>
      </c>
      <c r="K6026" t="n">
        <v>0</v>
      </c>
      <c r="L6026" t="n">
        <v>0</v>
      </c>
      <c r="M6026" t="n">
        <v>0</v>
      </c>
      <c r="N6026" t="n">
        <v>0</v>
      </c>
      <c r="O6026" t="n">
        <v>0</v>
      </c>
      <c r="P6026" t="n">
        <v>0</v>
      </c>
      <c r="Q6026" t="n">
        <v>0</v>
      </c>
      <c r="R6026" s="2" t="inlineStr"/>
    </row>
    <row r="6027" ht="15" customHeight="1">
      <c r="A6027" t="inlineStr">
        <is>
          <t>A 35820-2025</t>
        </is>
      </c>
      <c r="B6027" s="1" t="n">
        <v>45861.46241898148</v>
      </c>
      <c r="C6027" s="1" t="n">
        <v>45962</v>
      </c>
      <c r="D6027" t="inlineStr">
        <is>
          <t>JÖNKÖPINGS LÄN</t>
        </is>
      </c>
      <c r="E6027" t="inlineStr">
        <is>
          <t>JÖNKÖPING</t>
        </is>
      </c>
      <c r="G6027" t="n">
        <v>1</v>
      </c>
      <c r="H6027" t="n">
        <v>0</v>
      </c>
      <c r="I6027" t="n">
        <v>0</v>
      </c>
      <c r="J6027" t="n">
        <v>0</v>
      </c>
      <c r="K6027" t="n">
        <v>0</v>
      </c>
      <c r="L6027" t="n">
        <v>0</v>
      </c>
      <c r="M6027" t="n">
        <v>0</v>
      </c>
      <c r="N6027" t="n">
        <v>0</v>
      </c>
      <c r="O6027" t="n">
        <v>0</v>
      </c>
      <c r="P6027" t="n">
        <v>0</v>
      </c>
      <c r="Q6027" t="n">
        <v>0</v>
      </c>
      <c r="R6027" s="2" t="inlineStr"/>
    </row>
    <row r="6028" ht="15" customHeight="1">
      <c r="A6028" t="inlineStr">
        <is>
          <t>A 7044-2025</t>
        </is>
      </c>
      <c r="B6028" s="1" t="n">
        <v>45701.64112268519</v>
      </c>
      <c r="C6028" s="1" t="n">
        <v>45962</v>
      </c>
      <c r="D6028" t="inlineStr">
        <is>
          <t>JÖNKÖPINGS LÄN</t>
        </is>
      </c>
      <c r="E6028" t="inlineStr">
        <is>
          <t>VETLANDA</t>
        </is>
      </c>
      <c r="F6028" t="inlineStr">
        <is>
          <t>Sveaskog</t>
        </is>
      </c>
      <c r="G6028" t="n">
        <v>1.5</v>
      </c>
      <c r="H6028" t="n">
        <v>0</v>
      </c>
      <c r="I6028" t="n">
        <v>0</v>
      </c>
      <c r="J6028" t="n">
        <v>0</v>
      </c>
      <c r="K6028" t="n">
        <v>0</v>
      </c>
      <c r="L6028" t="n">
        <v>0</v>
      </c>
      <c r="M6028" t="n">
        <v>0</v>
      </c>
      <c r="N6028" t="n">
        <v>0</v>
      </c>
      <c r="O6028" t="n">
        <v>0</v>
      </c>
      <c r="P6028" t="n">
        <v>0</v>
      </c>
      <c r="Q6028" t="n">
        <v>0</v>
      </c>
      <c r="R6028" s="2" t="inlineStr"/>
    </row>
    <row r="6029" ht="15" customHeight="1">
      <c r="A6029" t="inlineStr">
        <is>
          <t>A 8538-2024</t>
        </is>
      </c>
      <c r="B6029" s="1" t="n">
        <v>45355.53172453704</v>
      </c>
      <c r="C6029" s="1" t="n">
        <v>45962</v>
      </c>
      <c r="D6029" t="inlineStr">
        <is>
          <t>JÖNKÖPINGS LÄN</t>
        </is>
      </c>
      <c r="E6029" t="inlineStr">
        <is>
          <t>VAGGERYD</t>
        </is>
      </c>
      <c r="F6029" t="inlineStr">
        <is>
          <t>Sveaskog</t>
        </is>
      </c>
      <c r="G6029" t="n">
        <v>0.9</v>
      </c>
      <c r="H6029" t="n">
        <v>0</v>
      </c>
      <c r="I6029" t="n">
        <v>0</v>
      </c>
      <c r="J6029" t="n">
        <v>0</v>
      </c>
      <c r="K6029" t="n">
        <v>0</v>
      </c>
      <c r="L6029" t="n">
        <v>0</v>
      </c>
      <c r="M6029" t="n">
        <v>0</v>
      </c>
      <c r="N6029" t="n">
        <v>0</v>
      </c>
      <c r="O6029" t="n">
        <v>0</v>
      </c>
      <c r="P6029" t="n">
        <v>0</v>
      </c>
      <c r="Q6029" t="n">
        <v>0</v>
      </c>
      <c r="R6029" s="2" t="inlineStr"/>
    </row>
    <row r="6030" ht="15" customHeight="1">
      <c r="A6030" t="inlineStr">
        <is>
          <t>A 15516-2023</t>
        </is>
      </c>
      <c r="B6030" s="1" t="n">
        <v>45020</v>
      </c>
      <c r="C6030" s="1" t="n">
        <v>45962</v>
      </c>
      <c r="D6030" t="inlineStr">
        <is>
          <t>JÖNKÖPINGS LÄN</t>
        </is>
      </c>
      <c r="E6030" t="inlineStr">
        <is>
          <t>HABO</t>
        </is>
      </c>
      <c r="G6030" t="n">
        <v>1.8</v>
      </c>
      <c r="H6030" t="n">
        <v>0</v>
      </c>
      <c r="I6030" t="n">
        <v>0</v>
      </c>
      <c r="J6030" t="n">
        <v>0</v>
      </c>
      <c r="K6030" t="n">
        <v>0</v>
      </c>
      <c r="L6030" t="n">
        <v>0</v>
      </c>
      <c r="M6030" t="n">
        <v>0</v>
      </c>
      <c r="N6030" t="n">
        <v>0</v>
      </c>
      <c r="O6030" t="n">
        <v>0</v>
      </c>
      <c r="P6030" t="n">
        <v>0</v>
      </c>
      <c r="Q6030" t="n">
        <v>0</v>
      </c>
      <c r="R6030" s="2" t="inlineStr"/>
    </row>
    <row r="6031" ht="15" customHeight="1">
      <c r="A6031" t="inlineStr">
        <is>
          <t>A 15518-2023</t>
        </is>
      </c>
      <c r="B6031" s="1" t="n">
        <v>45020</v>
      </c>
      <c r="C6031" s="1" t="n">
        <v>45962</v>
      </c>
      <c r="D6031" t="inlineStr">
        <is>
          <t>JÖNKÖPINGS LÄN</t>
        </is>
      </c>
      <c r="E6031" t="inlineStr">
        <is>
          <t>HABO</t>
        </is>
      </c>
      <c r="G6031" t="n">
        <v>2.5</v>
      </c>
      <c r="H6031" t="n">
        <v>0</v>
      </c>
      <c r="I6031" t="n">
        <v>0</v>
      </c>
      <c r="J6031" t="n">
        <v>0</v>
      </c>
      <c r="K6031" t="n">
        <v>0</v>
      </c>
      <c r="L6031" t="n">
        <v>0</v>
      </c>
      <c r="M6031" t="n">
        <v>0</v>
      </c>
      <c r="N6031" t="n">
        <v>0</v>
      </c>
      <c r="O6031" t="n">
        <v>0</v>
      </c>
      <c r="P6031" t="n">
        <v>0</v>
      </c>
      <c r="Q6031" t="n">
        <v>0</v>
      </c>
      <c r="R6031" s="2" t="inlineStr"/>
    </row>
    <row r="6032" ht="15" customHeight="1">
      <c r="A6032" t="inlineStr">
        <is>
          <t>A 89-2022</t>
        </is>
      </c>
      <c r="B6032" s="1" t="n">
        <v>44564.48394675926</v>
      </c>
      <c r="C6032" s="1" t="n">
        <v>45962</v>
      </c>
      <c r="D6032" t="inlineStr">
        <is>
          <t>JÖNKÖPINGS LÄN</t>
        </is>
      </c>
      <c r="E6032" t="inlineStr">
        <is>
          <t>VETLANDA</t>
        </is>
      </c>
      <c r="G6032" t="n">
        <v>1.4</v>
      </c>
      <c r="H6032" t="n">
        <v>0</v>
      </c>
      <c r="I6032" t="n">
        <v>0</v>
      </c>
      <c r="J6032" t="n">
        <v>0</v>
      </c>
      <c r="K6032" t="n">
        <v>0</v>
      </c>
      <c r="L6032" t="n">
        <v>0</v>
      </c>
      <c r="M6032" t="n">
        <v>0</v>
      </c>
      <c r="N6032" t="n">
        <v>0</v>
      </c>
      <c r="O6032" t="n">
        <v>0</v>
      </c>
      <c r="P6032" t="n">
        <v>0</v>
      </c>
      <c r="Q6032" t="n">
        <v>0</v>
      </c>
      <c r="R6032" s="2" t="inlineStr"/>
    </row>
    <row r="6033" ht="15" customHeight="1">
      <c r="A6033" t="inlineStr">
        <is>
          <t>A 60966-2021</t>
        </is>
      </c>
      <c r="B6033" s="1" t="n">
        <v>44496</v>
      </c>
      <c r="C6033" s="1" t="n">
        <v>45962</v>
      </c>
      <c r="D6033" t="inlineStr">
        <is>
          <t>JÖNKÖPINGS LÄN</t>
        </is>
      </c>
      <c r="E6033" t="inlineStr">
        <is>
          <t>GISLAVED</t>
        </is>
      </c>
      <c r="G6033" t="n">
        <v>1.4</v>
      </c>
      <c r="H6033" t="n">
        <v>0</v>
      </c>
      <c r="I6033" t="n">
        <v>0</v>
      </c>
      <c r="J6033" t="n">
        <v>0</v>
      </c>
      <c r="K6033" t="n">
        <v>0</v>
      </c>
      <c r="L6033" t="n">
        <v>0</v>
      </c>
      <c r="M6033" t="n">
        <v>0</v>
      </c>
      <c r="N6033" t="n">
        <v>0</v>
      </c>
      <c r="O6033" t="n">
        <v>0</v>
      </c>
      <c r="P6033" t="n">
        <v>0</v>
      </c>
      <c r="Q6033" t="n">
        <v>0</v>
      </c>
      <c r="R6033" s="2" t="inlineStr"/>
    </row>
    <row r="6034" ht="15" customHeight="1">
      <c r="A6034" t="inlineStr">
        <is>
          <t>A 61723-2024</t>
        </is>
      </c>
      <c r="B6034" s="1" t="n">
        <v>45649.30744212963</v>
      </c>
      <c r="C6034" s="1" t="n">
        <v>45962</v>
      </c>
      <c r="D6034" t="inlineStr">
        <is>
          <t>JÖNKÖPINGS LÄN</t>
        </is>
      </c>
      <c r="E6034" t="inlineStr">
        <is>
          <t>VAGGERYD</t>
        </is>
      </c>
      <c r="G6034" t="n">
        <v>2.1</v>
      </c>
      <c r="H6034" t="n">
        <v>0</v>
      </c>
      <c r="I6034" t="n">
        <v>0</v>
      </c>
      <c r="J6034" t="n">
        <v>0</v>
      </c>
      <c r="K6034" t="n">
        <v>0</v>
      </c>
      <c r="L6034" t="n">
        <v>0</v>
      </c>
      <c r="M6034" t="n">
        <v>0</v>
      </c>
      <c r="N6034" t="n">
        <v>0</v>
      </c>
      <c r="O6034" t="n">
        <v>0</v>
      </c>
      <c r="P6034" t="n">
        <v>0</v>
      </c>
      <c r="Q6034" t="n">
        <v>0</v>
      </c>
      <c r="R6034" s="2" t="inlineStr"/>
    </row>
    <row r="6035" ht="15" customHeight="1">
      <c r="A6035" t="inlineStr">
        <is>
          <t>A 35599-2025</t>
        </is>
      </c>
      <c r="B6035" s="1" t="n">
        <v>45858.81921296296</v>
      </c>
      <c r="C6035" s="1" t="n">
        <v>45962</v>
      </c>
      <c r="D6035" t="inlineStr">
        <is>
          <t>JÖNKÖPINGS LÄN</t>
        </is>
      </c>
      <c r="E6035" t="inlineStr">
        <is>
          <t>SÄVSJÖ</t>
        </is>
      </c>
      <c r="G6035" t="n">
        <v>0.9</v>
      </c>
      <c r="H6035" t="n">
        <v>0</v>
      </c>
      <c r="I6035" t="n">
        <v>0</v>
      </c>
      <c r="J6035" t="n">
        <v>0</v>
      </c>
      <c r="K6035" t="n">
        <v>0</v>
      </c>
      <c r="L6035" t="n">
        <v>0</v>
      </c>
      <c r="M6035" t="n">
        <v>0</v>
      </c>
      <c r="N6035" t="n">
        <v>0</v>
      </c>
      <c r="O6035" t="n">
        <v>0</v>
      </c>
      <c r="P6035" t="n">
        <v>0</v>
      </c>
      <c r="Q6035" t="n">
        <v>0</v>
      </c>
      <c r="R6035" s="2" t="inlineStr"/>
    </row>
    <row r="6036" ht="15" customHeight="1">
      <c r="A6036" t="inlineStr">
        <is>
          <t>A 15398-2024</t>
        </is>
      </c>
      <c r="B6036" s="1" t="n">
        <v>45401.32675925926</v>
      </c>
      <c r="C6036" s="1" t="n">
        <v>45962</v>
      </c>
      <c r="D6036" t="inlineStr">
        <is>
          <t>JÖNKÖPINGS LÄN</t>
        </is>
      </c>
      <c r="E6036" t="inlineStr">
        <is>
          <t>VETLANDA</t>
        </is>
      </c>
      <c r="G6036" t="n">
        <v>1.3</v>
      </c>
      <c r="H6036" t="n">
        <v>0</v>
      </c>
      <c r="I6036" t="n">
        <v>0</v>
      </c>
      <c r="J6036" t="n">
        <v>0</v>
      </c>
      <c r="K6036" t="n">
        <v>0</v>
      </c>
      <c r="L6036" t="n">
        <v>0</v>
      </c>
      <c r="M6036" t="n">
        <v>0</v>
      </c>
      <c r="N6036" t="n">
        <v>0</v>
      </c>
      <c r="O6036" t="n">
        <v>0</v>
      </c>
      <c r="P6036" t="n">
        <v>0</v>
      </c>
      <c r="Q6036" t="n">
        <v>0</v>
      </c>
      <c r="R6036" s="2" t="inlineStr"/>
    </row>
    <row r="6037" ht="15" customHeight="1">
      <c r="A6037" t="inlineStr">
        <is>
          <t>A 2880-2024</t>
        </is>
      </c>
      <c r="B6037" s="1" t="n">
        <v>45315.47256944444</v>
      </c>
      <c r="C6037" s="1" t="n">
        <v>45962</v>
      </c>
      <c r="D6037" t="inlineStr">
        <is>
          <t>JÖNKÖPINGS LÄN</t>
        </is>
      </c>
      <c r="E6037" t="inlineStr">
        <is>
          <t>GISLAVED</t>
        </is>
      </c>
      <c r="G6037" t="n">
        <v>1</v>
      </c>
      <c r="H6037" t="n">
        <v>0</v>
      </c>
      <c r="I6037" t="n">
        <v>0</v>
      </c>
      <c r="J6037" t="n">
        <v>0</v>
      </c>
      <c r="K6037" t="n">
        <v>0</v>
      </c>
      <c r="L6037" t="n">
        <v>0</v>
      </c>
      <c r="M6037" t="n">
        <v>0</v>
      </c>
      <c r="N6037" t="n">
        <v>0</v>
      </c>
      <c r="O6037" t="n">
        <v>0</v>
      </c>
      <c r="P6037" t="n">
        <v>0</v>
      </c>
      <c r="Q6037" t="n">
        <v>0</v>
      </c>
      <c r="R6037" s="2" t="inlineStr"/>
    </row>
    <row r="6038" ht="15" customHeight="1">
      <c r="A6038" t="inlineStr">
        <is>
          <t>A 15384-2022</t>
        </is>
      </c>
      <c r="B6038" s="1" t="n">
        <v>44659</v>
      </c>
      <c r="C6038" s="1" t="n">
        <v>45962</v>
      </c>
      <c r="D6038" t="inlineStr">
        <is>
          <t>JÖNKÖPINGS LÄN</t>
        </is>
      </c>
      <c r="E6038" t="inlineStr">
        <is>
          <t>JÖNKÖPING</t>
        </is>
      </c>
      <c r="F6038" t="inlineStr">
        <is>
          <t>Sveaskog</t>
        </is>
      </c>
      <c r="G6038" t="n">
        <v>0.8</v>
      </c>
      <c r="H6038" t="n">
        <v>0</v>
      </c>
      <c r="I6038" t="n">
        <v>0</v>
      </c>
      <c r="J6038" t="n">
        <v>0</v>
      </c>
      <c r="K6038" t="n">
        <v>0</v>
      </c>
      <c r="L6038" t="n">
        <v>0</v>
      </c>
      <c r="M6038" t="n">
        <v>0</v>
      </c>
      <c r="N6038" t="n">
        <v>0</v>
      </c>
      <c r="O6038" t="n">
        <v>0</v>
      </c>
      <c r="P6038" t="n">
        <v>0</v>
      </c>
      <c r="Q6038" t="n">
        <v>0</v>
      </c>
      <c r="R6038" s="2" t="inlineStr"/>
    </row>
    <row r="6039" ht="15" customHeight="1">
      <c r="A6039" t="inlineStr">
        <is>
          <t>A 2883-2024</t>
        </is>
      </c>
      <c r="B6039" s="1" t="n">
        <v>45315</v>
      </c>
      <c r="C6039" s="1" t="n">
        <v>45962</v>
      </c>
      <c r="D6039" t="inlineStr">
        <is>
          <t>JÖNKÖPINGS LÄN</t>
        </is>
      </c>
      <c r="E6039" t="inlineStr">
        <is>
          <t>VAGGERYD</t>
        </is>
      </c>
      <c r="G6039" t="n">
        <v>12.2</v>
      </c>
      <c r="H6039" t="n">
        <v>0</v>
      </c>
      <c r="I6039" t="n">
        <v>0</v>
      </c>
      <c r="J6039" t="n">
        <v>0</v>
      </c>
      <c r="K6039" t="n">
        <v>0</v>
      </c>
      <c r="L6039" t="n">
        <v>0</v>
      </c>
      <c r="M6039" t="n">
        <v>0</v>
      </c>
      <c r="N6039" t="n">
        <v>0</v>
      </c>
      <c r="O6039" t="n">
        <v>0</v>
      </c>
      <c r="P6039" t="n">
        <v>0</v>
      </c>
      <c r="Q6039" t="n">
        <v>0</v>
      </c>
      <c r="R6039" s="2" t="inlineStr"/>
    </row>
    <row r="6040" ht="15" customHeight="1">
      <c r="A6040" t="inlineStr">
        <is>
          <t>A 36350-2024</t>
        </is>
      </c>
      <c r="B6040" s="1" t="n">
        <v>45534.6444675926</v>
      </c>
      <c r="C6040" s="1" t="n">
        <v>45962</v>
      </c>
      <c r="D6040" t="inlineStr">
        <is>
          <t>JÖNKÖPINGS LÄN</t>
        </is>
      </c>
      <c r="E6040" t="inlineStr">
        <is>
          <t>GISLAVED</t>
        </is>
      </c>
      <c r="F6040" t="inlineStr">
        <is>
          <t>Sveaskog</t>
        </is>
      </c>
      <c r="G6040" t="n">
        <v>1.9</v>
      </c>
      <c r="H6040" t="n">
        <v>0</v>
      </c>
      <c r="I6040" t="n">
        <v>0</v>
      </c>
      <c r="J6040" t="n">
        <v>0</v>
      </c>
      <c r="K6040" t="n">
        <v>0</v>
      </c>
      <c r="L6040" t="n">
        <v>0</v>
      </c>
      <c r="M6040" t="n">
        <v>0</v>
      </c>
      <c r="N6040" t="n">
        <v>0</v>
      </c>
      <c r="O6040" t="n">
        <v>0</v>
      </c>
      <c r="P6040" t="n">
        <v>0</v>
      </c>
      <c r="Q6040" t="n">
        <v>0</v>
      </c>
      <c r="R6040" s="2" t="inlineStr"/>
    </row>
    <row r="6041" ht="15" customHeight="1">
      <c r="A6041" t="inlineStr">
        <is>
          <t>A 36359-2024</t>
        </is>
      </c>
      <c r="B6041" s="1" t="n">
        <v>45534.64615740741</v>
      </c>
      <c r="C6041" s="1" t="n">
        <v>45962</v>
      </c>
      <c r="D6041" t="inlineStr">
        <is>
          <t>JÖNKÖPINGS LÄN</t>
        </is>
      </c>
      <c r="E6041" t="inlineStr">
        <is>
          <t>GISLAVED</t>
        </is>
      </c>
      <c r="F6041" t="inlineStr">
        <is>
          <t>Sveaskog</t>
        </is>
      </c>
      <c r="G6041" t="n">
        <v>1.6</v>
      </c>
      <c r="H6041" t="n">
        <v>0</v>
      </c>
      <c r="I6041" t="n">
        <v>0</v>
      </c>
      <c r="J6041" t="n">
        <v>0</v>
      </c>
      <c r="K6041" t="n">
        <v>0</v>
      </c>
      <c r="L6041" t="n">
        <v>0</v>
      </c>
      <c r="M6041" t="n">
        <v>0</v>
      </c>
      <c r="N6041" t="n">
        <v>0</v>
      </c>
      <c r="O6041" t="n">
        <v>0</v>
      </c>
      <c r="P6041" t="n">
        <v>0</v>
      </c>
      <c r="Q6041" t="n">
        <v>0</v>
      </c>
      <c r="R6041" s="2" t="inlineStr"/>
    </row>
    <row r="6042" ht="15" customHeight="1">
      <c r="A6042" t="inlineStr">
        <is>
          <t>A 24639-2025</t>
        </is>
      </c>
      <c r="B6042" s="1" t="n">
        <v>45798</v>
      </c>
      <c r="C6042" s="1" t="n">
        <v>45962</v>
      </c>
      <c r="D6042" t="inlineStr">
        <is>
          <t>JÖNKÖPINGS LÄN</t>
        </is>
      </c>
      <c r="E6042" t="inlineStr">
        <is>
          <t>VAGGERYD</t>
        </is>
      </c>
      <c r="G6042" t="n">
        <v>0.9</v>
      </c>
      <c r="H6042" t="n">
        <v>0</v>
      </c>
      <c r="I6042" t="n">
        <v>0</v>
      </c>
      <c r="J6042" t="n">
        <v>0</v>
      </c>
      <c r="K6042" t="n">
        <v>0</v>
      </c>
      <c r="L6042" t="n">
        <v>0</v>
      </c>
      <c r="M6042" t="n">
        <v>0</v>
      </c>
      <c r="N6042" t="n">
        <v>0</v>
      </c>
      <c r="O6042" t="n">
        <v>0</v>
      </c>
      <c r="P6042" t="n">
        <v>0</v>
      </c>
      <c r="Q6042" t="n">
        <v>0</v>
      </c>
      <c r="R6042" s="2" t="inlineStr"/>
    </row>
    <row r="6043" ht="15" customHeight="1">
      <c r="A6043" t="inlineStr">
        <is>
          <t>A 7509-2022</t>
        </is>
      </c>
      <c r="B6043" s="1" t="n">
        <v>44607</v>
      </c>
      <c r="C6043" s="1" t="n">
        <v>45962</v>
      </c>
      <c r="D6043" t="inlineStr">
        <is>
          <t>JÖNKÖPINGS LÄN</t>
        </is>
      </c>
      <c r="E6043" t="inlineStr">
        <is>
          <t>VETLANDA</t>
        </is>
      </c>
      <c r="G6043" t="n">
        <v>9.5</v>
      </c>
      <c r="H6043" t="n">
        <v>0</v>
      </c>
      <c r="I6043" t="n">
        <v>0</v>
      </c>
      <c r="J6043" t="n">
        <v>0</v>
      </c>
      <c r="K6043" t="n">
        <v>0</v>
      </c>
      <c r="L6043" t="n">
        <v>0</v>
      </c>
      <c r="M6043" t="n">
        <v>0</v>
      </c>
      <c r="N6043" t="n">
        <v>0</v>
      </c>
      <c r="O6043" t="n">
        <v>0</v>
      </c>
      <c r="P6043" t="n">
        <v>0</v>
      </c>
      <c r="Q6043" t="n">
        <v>0</v>
      </c>
      <c r="R6043" s="2" t="inlineStr"/>
    </row>
    <row r="6044" ht="15" customHeight="1">
      <c r="A6044" t="inlineStr">
        <is>
          <t>A 9693-2022</t>
        </is>
      </c>
      <c r="B6044" s="1" t="n">
        <v>44617</v>
      </c>
      <c r="C6044" s="1" t="n">
        <v>45962</v>
      </c>
      <c r="D6044" t="inlineStr">
        <is>
          <t>JÖNKÖPINGS LÄN</t>
        </is>
      </c>
      <c r="E6044" t="inlineStr">
        <is>
          <t>NÄSSJÖ</t>
        </is>
      </c>
      <c r="G6044" t="n">
        <v>1.3</v>
      </c>
      <c r="H6044" t="n">
        <v>0</v>
      </c>
      <c r="I6044" t="n">
        <v>0</v>
      </c>
      <c r="J6044" t="n">
        <v>0</v>
      </c>
      <c r="K6044" t="n">
        <v>0</v>
      </c>
      <c r="L6044" t="n">
        <v>0</v>
      </c>
      <c r="M6044" t="n">
        <v>0</v>
      </c>
      <c r="N6044" t="n">
        <v>0</v>
      </c>
      <c r="O6044" t="n">
        <v>0</v>
      </c>
      <c r="P6044" t="n">
        <v>0</v>
      </c>
      <c r="Q6044" t="n">
        <v>0</v>
      </c>
      <c r="R6044" s="2" t="inlineStr"/>
    </row>
    <row r="6045" ht="15" customHeight="1">
      <c r="A6045" t="inlineStr">
        <is>
          <t>A 30-2023</t>
        </is>
      </c>
      <c r="B6045" s="1" t="n">
        <v>44928</v>
      </c>
      <c r="C6045" s="1" t="n">
        <v>45962</v>
      </c>
      <c r="D6045" t="inlineStr">
        <is>
          <t>JÖNKÖPINGS LÄN</t>
        </is>
      </c>
      <c r="E6045" t="inlineStr">
        <is>
          <t>EKSJÖ</t>
        </is>
      </c>
      <c r="G6045" t="n">
        <v>2</v>
      </c>
      <c r="H6045" t="n">
        <v>0</v>
      </c>
      <c r="I6045" t="n">
        <v>0</v>
      </c>
      <c r="J6045" t="n">
        <v>0</v>
      </c>
      <c r="K6045" t="n">
        <v>0</v>
      </c>
      <c r="L6045" t="n">
        <v>0</v>
      </c>
      <c r="M6045" t="n">
        <v>0</v>
      </c>
      <c r="N6045" t="n">
        <v>0</v>
      </c>
      <c r="O6045" t="n">
        <v>0</v>
      </c>
      <c r="P6045" t="n">
        <v>0</v>
      </c>
      <c r="Q6045" t="n">
        <v>0</v>
      </c>
      <c r="R6045" s="2" t="inlineStr"/>
    </row>
    <row r="6046" ht="15" customHeight="1">
      <c r="A6046" t="inlineStr">
        <is>
          <t>A 12875-2024</t>
        </is>
      </c>
      <c r="B6046" s="1" t="n">
        <v>45385</v>
      </c>
      <c r="C6046" s="1" t="n">
        <v>45962</v>
      </c>
      <c r="D6046" t="inlineStr">
        <is>
          <t>JÖNKÖPINGS LÄN</t>
        </is>
      </c>
      <c r="E6046" t="inlineStr">
        <is>
          <t>VETLANDA</t>
        </is>
      </c>
      <c r="G6046" t="n">
        <v>0.7</v>
      </c>
      <c r="H6046" t="n">
        <v>0</v>
      </c>
      <c r="I6046" t="n">
        <v>0</v>
      </c>
      <c r="J6046" t="n">
        <v>0</v>
      </c>
      <c r="K6046" t="n">
        <v>0</v>
      </c>
      <c r="L6046" t="n">
        <v>0</v>
      </c>
      <c r="M6046" t="n">
        <v>0</v>
      </c>
      <c r="N6046" t="n">
        <v>0</v>
      </c>
      <c r="O6046" t="n">
        <v>0</v>
      </c>
      <c r="P6046" t="n">
        <v>0</v>
      </c>
      <c r="Q6046" t="n">
        <v>0</v>
      </c>
      <c r="R6046" s="2" t="inlineStr"/>
    </row>
    <row r="6047" ht="15" customHeight="1">
      <c r="A6047" t="inlineStr">
        <is>
          <t>A 7508-2023</t>
        </is>
      </c>
      <c r="B6047" s="1" t="n">
        <v>44971.844375</v>
      </c>
      <c r="C6047" s="1" t="n">
        <v>45962</v>
      </c>
      <c r="D6047" t="inlineStr">
        <is>
          <t>JÖNKÖPINGS LÄN</t>
        </is>
      </c>
      <c r="E6047" t="inlineStr">
        <is>
          <t>GISLAVED</t>
        </is>
      </c>
      <c r="G6047" t="n">
        <v>0.8</v>
      </c>
      <c r="H6047" t="n">
        <v>0</v>
      </c>
      <c r="I6047" t="n">
        <v>0</v>
      </c>
      <c r="J6047" t="n">
        <v>0</v>
      </c>
      <c r="K6047" t="n">
        <v>0</v>
      </c>
      <c r="L6047" t="n">
        <v>0</v>
      </c>
      <c r="M6047" t="n">
        <v>0</v>
      </c>
      <c r="N6047" t="n">
        <v>0</v>
      </c>
      <c r="O6047" t="n">
        <v>0</v>
      </c>
      <c r="P6047" t="n">
        <v>0</v>
      </c>
      <c r="Q6047" t="n">
        <v>0</v>
      </c>
      <c r="R6047" s="2" t="inlineStr"/>
    </row>
    <row r="6048" ht="15" customHeight="1">
      <c r="A6048" t="inlineStr">
        <is>
          <t>A 22404-2023</t>
        </is>
      </c>
      <c r="B6048" s="1" t="n">
        <v>45070</v>
      </c>
      <c r="C6048" s="1" t="n">
        <v>45962</v>
      </c>
      <c r="D6048" t="inlineStr">
        <is>
          <t>JÖNKÖPINGS LÄN</t>
        </is>
      </c>
      <c r="E6048" t="inlineStr">
        <is>
          <t>TRANÅS</t>
        </is>
      </c>
      <c r="G6048" t="n">
        <v>2.5</v>
      </c>
      <c r="H6048" t="n">
        <v>0</v>
      </c>
      <c r="I6048" t="n">
        <v>0</v>
      </c>
      <c r="J6048" t="n">
        <v>0</v>
      </c>
      <c r="K6048" t="n">
        <v>0</v>
      </c>
      <c r="L6048" t="n">
        <v>0</v>
      </c>
      <c r="M6048" t="n">
        <v>0</v>
      </c>
      <c r="N6048" t="n">
        <v>0</v>
      </c>
      <c r="O6048" t="n">
        <v>0</v>
      </c>
      <c r="P6048" t="n">
        <v>0</v>
      </c>
      <c r="Q6048" t="n">
        <v>0</v>
      </c>
      <c r="R6048" s="2" t="inlineStr"/>
    </row>
    <row r="6049" ht="15" customHeight="1">
      <c r="A6049" t="inlineStr">
        <is>
          <t>A 22491-2023</t>
        </is>
      </c>
      <c r="B6049" s="1" t="n">
        <v>45071</v>
      </c>
      <c r="C6049" s="1" t="n">
        <v>45962</v>
      </c>
      <c r="D6049" t="inlineStr">
        <is>
          <t>JÖNKÖPINGS LÄN</t>
        </is>
      </c>
      <c r="E6049" t="inlineStr">
        <is>
          <t>EKSJÖ</t>
        </is>
      </c>
      <c r="G6049" t="n">
        <v>0.5</v>
      </c>
      <c r="H6049" t="n">
        <v>0</v>
      </c>
      <c r="I6049" t="n">
        <v>0</v>
      </c>
      <c r="J6049" t="n">
        <v>0</v>
      </c>
      <c r="K6049" t="n">
        <v>0</v>
      </c>
      <c r="L6049" t="n">
        <v>0</v>
      </c>
      <c r="M6049" t="n">
        <v>0</v>
      </c>
      <c r="N6049" t="n">
        <v>0</v>
      </c>
      <c r="O6049" t="n">
        <v>0</v>
      </c>
      <c r="P6049" t="n">
        <v>0</v>
      </c>
      <c r="Q6049" t="n">
        <v>0</v>
      </c>
      <c r="R6049" s="2" t="inlineStr"/>
    </row>
    <row r="6050" ht="15" customHeight="1">
      <c r="A6050" t="inlineStr">
        <is>
          <t>A 36010-2025</t>
        </is>
      </c>
      <c r="B6050" s="1" t="n">
        <v>45863.58912037037</v>
      </c>
      <c r="C6050" s="1" t="n">
        <v>45962</v>
      </c>
      <c r="D6050" t="inlineStr">
        <is>
          <t>JÖNKÖPINGS LÄN</t>
        </is>
      </c>
      <c r="E6050" t="inlineStr">
        <is>
          <t>GISLAVED</t>
        </is>
      </c>
      <c r="F6050" t="inlineStr">
        <is>
          <t>Sveaskog</t>
        </is>
      </c>
      <c r="G6050" t="n">
        <v>1.6</v>
      </c>
      <c r="H6050" t="n">
        <v>0</v>
      </c>
      <c r="I6050" t="n">
        <v>0</v>
      </c>
      <c r="J6050" t="n">
        <v>0</v>
      </c>
      <c r="K6050" t="n">
        <v>0</v>
      </c>
      <c r="L6050" t="n">
        <v>0</v>
      </c>
      <c r="M6050" t="n">
        <v>0</v>
      </c>
      <c r="N6050" t="n">
        <v>0</v>
      </c>
      <c r="O6050" t="n">
        <v>0</v>
      </c>
      <c r="P6050" t="n">
        <v>0</v>
      </c>
      <c r="Q6050" t="n">
        <v>0</v>
      </c>
      <c r="R6050" s="2" t="inlineStr"/>
    </row>
    <row r="6051" ht="15" customHeight="1">
      <c r="A6051" t="inlineStr">
        <is>
          <t>A 35936-2025</t>
        </is>
      </c>
      <c r="B6051" s="1" t="n">
        <v>45862.63645833333</v>
      </c>
      <c r="C6051" s="1" t="n">
        <v>45962</v>
      </c>
      <c r="D6051" t="inlineStr">
        <is>
          <t>JÖNKÖPINGS LÄN</t>
        </is>
      </c>
      <c r="E6051" t="inlineStr">
        <is>
          <t>JÖNKÖPING</t>
        </is>
      </c>
      <c r="G6051" t="n">
        <v>1.7</v>
      </c>
      <c r="H6051" t="n">
        <v>0</v>
      </c>
      <c r="I6051" t="n">
        <v>0</v>
      </c>
      <c r="J6051" t="n">
        <v>0</v>
      </c>
      <c r="K6051" t="n">
        <v>0</v>
      </c>
      <c r="L6051" t="n">
        <v>0</v>
      </c>
      <c r="M6051" t="n">
        <v>0</v>
      </c>
      <c r="N6051" t="n">
        <v>0</v>
      </c>
      <c r="O6051" t="n">
        <v>0</v>
      </c>
      <c r="P6051" t="n">
        <v>0</v>
      </c>
      <c r="Q6051" t="n">
        <v>0</v>
      </c>
      <c r="R6051" s="2" t="inlineStr"/>
    </row>
    <row r="6052" ht="15" customHeight="1">
      <c r="A6052" t="inlineStr">
        <is>
          <t>A 46964-2025</t>
        </is>
      </c>
      <c r="B6052" s="1" t="n">
        <v>45929.49478009259</v>
      </c>
      <c r="C6052" s="1" t="n">
        <v>45962</v>
      </c>
      <c r="D6052" t="inlineStr">
        <is>
          <t>JÖNKÖPINGS LÄN</t>
        </is>
      </c>
      <c r="E6052" t="inlineStr">
        <is>
          <t>JÖNKÖPING</t>
        </is>
      </c>
      <c r="G6052" t="n">
        <v>2.6</v>
      </c>
      <c r="H6052" t="n">
        <v>0</v>
      </c>
      <c r="I6052" t="n">
        <v>0</v>
      </c>
      <c r="J6052" t="n">
        <v>0</v>
      </c>
      <c r="K6052" t="n">
        <v>0</v>
      </c>
      <c r="L6052" t="n">
        <v>0</v>
      </c>
      <c r="M6052" t="n">
        <v>0</v>
      </c>
      <c r="N6052" t="n">
        <v>0</v>
      </c>
      <c r="O6052" t="n">
        <v>0</v>
      </c>
      <c r="P6052" t="n">
        <v>0</v>
      </c>
      <c r="Q6052" t="n">
        <v>0</v>
      </c>
      <c r="R6052" s="2" t="inlineStr"/>
    </row>
    <row r="6053" ht="15" customHeight="1">
      <c r="A6053" t="inlineStr">
        <is>
          <t>A 39444-2023</t>
        </is>
      </c>
      <c r="B6053" s="1" t="n">
        <v>45163</v>
      </c>
      <c r="C6053" s="1" t="n">
        <v>45962</v>
      </c>
      <c r="D6053" t="inlineStr">
        <is>
          <t>JÖNKÖPINGS LÄN</t>
        </is>
      </c>
      <c r="E6053" t="inlineStr">
        <is>
          <t>NÄSSJÖ</t>
        </is>
      </c>
      <c r="G6053" t="n">
        <v>2.4</v>
      </c>
      <c r="H6053" t="n">
        <v>0</v>
      </c>
      <c r="I6053" t="n">
        <v>0</v>
      </c>
      <c r="J6053" t="n">
        <v>0</v>
      </c>
      <c r="K6053" t="n">
        <v>0</v>
      </c>
      <c r="L6053" t="n">
        <v>0</v>
      </c>
      <c r="M6053" t="n">
        <v>0</v>
      </c>
      <c r="N6053" t="n">
        <v>0</v>
      </c>
      <c r="O6053" t="n">
        <v>0</v>
      </c>
      <c r="P6053" t="n">
        <v>0</v>
      </c>
      <c r="Q6053" t="n">
        <v>0</v>
      </c>
      <c r="R6053" s="2" t="inlineStr"/>
    </row>
    <row r="6054" ht="15" customHeight="1">
      <c r="A6054" t="inlineStr">
        <is>
          <t>A 637-2025</t>
        </is>
      </c>
      <c r="B6054" s="1" t="n">
        <v>45660</v>
      </c>
      <c r="C6054" s="1" t="n">
        <v>45962</v>
      </c>
      <c r="D6054" t="inlineStr">
        <is>
          <t>JÖNKÖPINGS LÄN</t>
        </is>
      </c>
      <c r="E6054" t="inlineStr">
        <is>
          <t>VETLANDA</t>
        </is>
      </c>
      <c r="G6054" t="n">
        <v>1.7</v>
      </c>
      <c r="H6054" t="n">
        <v>0</v>
      </c>
      <c r="I6054" t="n">
        <v>0</v>
      </c>
      <c r="J6054" t="n">
        <v>0</v>
      </c>
      <c r="K6054" t="n">
        <v>0</v>
      </c>
      <c r="L6054" t="n">
        <v>0</v>
      </c>
      <c r="M6054" t="n">
        <v>0</v>
      </c>
      <c r="N6054" t="n">
        <v>0</v>
      </c>
      <c r="O6054" t="n">
        <v>0</v>
      </c>
      <c r="P6054" t="n">
        <v>0</v>
      </c>
      <c r="Q6054" t="n">
        <v>0</v>
      </c>
      <c r="R6054" s="2" t="inlineStr"/>
    </row>
    <row r="6055" ht="15" customHeight="1">
      <c r="A6055" t="inlineStr">
        <is>
          <t>A 679-2025</t>
        </is>
      </c>
      <c r="B6055" s="1" t="n">
        <v>45664.84519675926</v>
      </c>
      <c r="C6055" s="1" t="n">
        <v>45962</v>
      </c>
      <c r="D6055" t="inlineStr">
        <is>
          <t>JÖNKÖPINGS LÄN</t>
        </is>
      </c>
      <c r="E6055" t="inlineStr">
        <is>
          <t>HABO</t>
        </is>
      </c>
      <c r="G6055" t="n">
        <v>3.2</v>
      </c>
      <c r="H6055" t="n">
        <v>0</v>
      </c>
      <c r="I6055" t="n">
        <v>0</v>
      </c>
      <c r="J6055" t="n">
        <v>0</v>
      </c>
      <c r="K6055" t="n">
        <v>0</v>
      </c>
      <c r="L6055" t="n">
        <v>0</v>
      </c>
      <c r="M6055" t="n">
        <v>0</v>
      </c>
      <c r="N6055" t="n">
        <v>0</v>
      </c>
      <c r="O6055" t="n">
        <v>0</v>
      </c>
      <c r="P6055" t="n">
        <v>0</v>
      </c>
      <c r="Q6055" t="n">
        <v>0</v>
      </c>
      <c r="R6055" s="2" t="inlineStr"/>
    </row>
    <row r="6056" ht="15" customHeight="1">
      <c r="A6056" t="inlineStr">
        <is>
          <t>A 27725-2025</t>
        </is>
      </c>
      <c r="B6056" s="1" t="n">
        <v>45814</v>
      </c>
      <c r="C6056" s="1" t="n">
        <v>45962</v>
      </c>
      <c r="D6056" t="inlineStr">
        <is>
          <t>JÖNKÖPINGS LÄN</t>
        </is>
      </c>
      <c r="E6056" t="inlineStr">
        <is>
          <t>VETLANDA</t>
        </is>
      </c>
      <c r="G6056" t="n">
        <v>1.7</v>
      </c>
      <c r="H6056" t="n">
        <v>0</v>
      </c>
      <c r="I6056" t="n">
        <v>0</v>
      </c>
      <c r="J6056" t="n">
        <v>0</v>
      </c>
      <c r="K6056" t="n">
        <v>0</v>
      </c>
      <c r="L6056" t="n">
        <v>0</v>
      </c>
      <c r="M6056" t="n">
        <v>0</v>
      </c>
      <c r="N6056" t="n">
        <v>0</v>
      </c>
      <c r="O6056" t="n">
        <v>0</v>
      </c>
      <c r="P6056" t="n">
        <v>0</v>
      </c>
      <c r="Q6056" t="n">
        <v>0</v>
      </c>
      <c r="R6056" s="2" t="inlineStr"/>
    </row>
    <row r="6057" ht="15" customHeight="1">
      <c r="A6057" t="inlineStr">
        <is>
          <t>A 47009-2025</t>
        </is>
      </c>
      <c r="B6057" s="1" t="n">
        <v>45929.57009259259</v>
      </c>
      <c r="C6057" s="1" t="n">
        <v>45962</v>
      </c>
      <c r="D6057" t="inlineStr">
        <is>
          <t>JÖNKÖPINGS LÄN</t>
        </is>
      </c>
      <c r="E6057" t="inlineStr">
        <is>
          <t>JÖNKÖPING</t>
        </is>
      </c>
      <c r="G6057" t="n">
        <v>1.1</v>
      </c>
      <c r="H6057" t="n">
        <v>0</v>
      </c>
      <c r="I6057" t="n">
        <v>0</v>
      </c>
      <c r="J6057" t="n">
        <v>0</v>
      </c>
      <c r="K6057" t="n">
        <v>0</v>
      </c>
      <c r="L6057" t="n">
        <v>0</v>
      </c>
      <c r="M6057" t="n">
        <v>0</v>
      </c>
      <c r="N6057" t="n">
        <v>0</v>
      </c>
      <c r="O6057" t="n">
        <v>0</v>
      </c>
      <c r="P6057" t="n">
        <v>0</v>
      </c>
      <c r="Q6057" t="n">
        <v>0</v>
      </c>
      <c r="R6057" s="2" t="inlineStr"/>
    </row>
    <row r="6058" ht="15" customHeight="1">
      <c r="A6058" t="inlineStr">
        <is>
          <t>A 32864-2025</t>
        </is>
      </c>
      <c r="B6058" s="1" t="n">
        <v>45839.58662037037</v>
      </c>
      <c r="C6058" s="1" t="n">
        <v>45962</v>
      </c>
      <c r="D6058" t="inlineStr">
        <is>
          <t>JÖNKÖPINGS LÄN</t>
        </is>
      </c>
      <c r="E6058" t="inlineStr">
        <is>
          <t>VETLANDA</t>
        </is>
      </c>
      <c r="G6058" t="n">
        <v>2.1</v>
      </c>
      <c r="H6058" t="n">
        <v>0</v>
      </c>
      <c r="I6058" t="n">
        <v>0</v>
      </c>
      <c r="J6058" t="n">
        <v>0</v>
      </c>
      <c r="K6058" t="n">
        <v>0</v>
      </c>
      <c r="L6058" t="n">
        <v>0</v>
      </c>
      <c r="M6058" t="n">
        <v>0</v>
      </c>
      <c r="N6058" t="n">
        <v>0</v>
      </c>
      <c r="O6058" t="n">
        <v>0</v>
      </c>
      <c r="P6058" t="n">
        <v>0</v>
      </c>
      <c r="Q6058" t="n">
        <v>0</v>
      </c>
      <c r="R6058" s="2" t="inlineStr"/>
    </row>
    <row r="6059" ht="15" customHeight="1">
      <c r="A6059" t="inlineStr">
        <is>
          <t>A 26610-2024</t>
        </is>
      </c>
      <c r="B6059" s="1" t="n">
        <v>45469.71810185185</v>
      </c>
      <c r="C6059" s="1" t="n">
        <v>45962</v>
      </c>
      <c r="D6059" t="inlineStr">
        <is>
          <t>JÖNKÖPINGS LÄN</t>
        </is>
      </c>
      <c r="E6059" t="inlineStr">
        <is>
          <t>VAGGERYD</t>
        </is>
      </c>
      <c r="F6059" t="inlineStr">
        <is>
          <t>Sveaskog</t>
        </is>
      </c>
      <c r="G6059" t="n">
        <v>0.7</v>
      </c>
      <c r="H6059" t="n">
        <v>0</v>
      </c>
      <c r="I6059" t="n">
        <v>0</v>
      </c>
      <c r="J6059" t="n">
        <v>0</v>
      </c>
      <c r="K6059" t="n">
        <v>0</v>
      </c>
      <c r="L6059" t="n">
        <v>0</v>
      </c>
      <c r="M6059" t="n">
        <v>0</v>
      </c>
      <c r="N6059" t="n">
        <v>0</v>
      </c>
      <c r="O6059" t="n">
        <v>0</v>
      </c>
      <c r="P6059" t="n">
        <v>0</v>
      </c>
      <c r="Q6059" t="n">
        <v>0</v>
      </c>
      <c r="R6059" s="2" t="inlineStr"/>
    </row>
    <row r="6060" ht="15" customHeight="1">
      <c r="A6060" t="inlineStr">
        <is>
          <t>A 35991-2025</t>
        </is>
      </c>
      <c r="B6060" s="1" t="n">
        <v>45863.47493055555</v>
      </c>
      <c r="C6060" s="1" t="n">
        <v>45962</v>
      </c>
      <c r="D6060" t="inlineStr">
        <is>
          <t>JÖNKÖPINGS LÄN</t>
        </is>
      </c>
      <c r="E6060" t="inlineStr">
        <is>
          <t>GISLAVED</t>
        </is>
      </c>
      <c r="F6060" t="inlineStr">
        <is>
          <t>Sveaskog</t>
        </is>
      </c>
      <c r="G6060" t="n">
        <v>2.3</v>
      </c>
      <c r="H6060" t="n">
        <v>0</v>
      </c>
      <c r="I6060" t="n">
        <v>0</v>
      </c>
      <c r="J6060" t="n">
        <v>0</v>
      </c>
      <c r="K6060" t="n">
        <v>0</v>
      </c>
      <c r="L6060" t="n">
        <v>0</v>
      </c>
      <c r="M6060" t="n">
        <v>0</v>
      </c>
      <c r="N6060" t="n">
        <v>0</v>
      </c>
      <c r="O6060" t="n">
        <v>0</v>
      </c>
      <c r="P6060" t="n">
        <v>0</v>
      </c>
      <c r="Q6060" t="n">
        <v>0</v>
      </c>
      <c r="R6060" s="2" t="inlineStr"/>
    </row>
    <row r="6061" ht="15" customHeight="1">
      <c r="A6061" t="inlineStr">
        <is>
          <t>A 1724-2025</t>
        </is>
      </c>
      <c r="B6061" s="1" t="n">
        <v>45671.3547337963</v>
      </c>
      <c r="C6061" s="1" t="n">
        <v>45962</v>
      </c>
      <c r="D6061" t="inlineStr">
        <is>
          <t>JÖNKÖPINGS LÄN</t>
        </is>
      </c>
      <c r="E6061" t="inlineStr">
        <is>
          <t>NÄSSJÖ</t>
        </is>
      </c>
      <c r="G6061" t="n">
        <v>3.5</v>
      </c>
      <c r="H6061" t="n">
        <v>0</v>
      </c>
      <c r="I6061" t="n">
        <v>0</v>
      </c>
      <c r="J6061" t="n">
        <v>0</v>
      </c>
      <c r="K6061" t="n">
        <v>0</v>
      </c>
      <c r="L6061" t="n">
        <v>0</v>
      </c>
      <c r="M6061" t="n">
        <v>0</v>
      </c>
      <c r="N6061" t="n">
        <v>0</v>
      </c>
      <c r="O6061" t="n">
        <v>0</v>
      </c>
      <c r="P6061" t="n">
        <v>0</v>
      </c>
      <c r="Q6061" t="n">
        <v>0</v>
      </c>
      <c r="R6061" s="2" t="inlineStr"/>
    </row>
    <row r="6062" ht="15" customHeight="1">
      <c r="A6062" t="inlineStr">
        <is>
          <t>A 1979-2025</t>
        </is>
      </c>
      <c r="B6062" s="1" t="n">
        <v>45672.39876157408</v>
      </c>
      <c r="C6062" s="1" t="n">
        <v>45962</v>
      </c>
      <c r="D6062" t="inlineStr">
        <is>
          <t>JÖNKÖPINGS LÄN</t>
        </is>
      </c>
      <c r="E6062" t="inlineStr">
        <is>
          <t>GISLAVED</t>
        </is>
      </c>
      <c r="G6062" t="n">
        <v>0.6</v>
      </c>
      <c r="H6062" t="n">
        <v>0</v>
      </c>
      <c r="I6062" t="n">
        <v>0</v>
      </c>
      <c r="J6062" t="n">
        <v>0</v>
      </c>
      <c r="K6062" t="n">
        <v>0</v>
      </c>
      <c r="L6062" t="n">
        <v>0</v>
      </c>
      <c r="M6062" t="n">
        <v>0</v>
      </c>
      <c r="N6062" t="n">
        <v>0</v>
      </c>
      <c r="O6062" t="n">
        <v>0</v>
      </c>
      <c r="P6062" t="n">
        <v>0</v>
      </c>
      <c r="Q6062" t="n">
        <v>0</v>
      </c>
      <c r="R6062" s="2" t="inlineStr"/>
    </row>
    <row r="6063" ht="15" customHeight="1">
      <c r="A6063" t="inlineStr">
        <is>
          <t>A 56092-2024</t>
        </is>
      </c>
      <c r="B6063" s="1" t="n">
        <v>45624.41041666667</v>
      </c>
      <c r="C6063" s="1" t="n">
        <v>45962</v>
      </c>
      <c r="D6063" t="inlineStr">
        <is>
          <t>JÖNKÖPINGS LÄN</t>
        </is>
      </c>
      <c r="E6063" t="inlineStr">
        <is>
          <t>JÖNKÖPING</t>
        </is>
      </c>
      <c r="G6063" t="n">
        <v>3.3</v>
      </c>
      <c r="H6063" t="n">
        <v>0</v>
      </c>
      <c r="I6063" t="n">
        <v>0</v>
      </c>
      <c r="J6063" t="n">
        <v>0</v>
      </c>
      <c r="K6063" t="n">
        <v>0</v>
      </c>
      <c r="L6063" t="n">
        <v>0</v>
      </c>
      <c r="M6063" t="n">
        <v>0</v>
      </c>
      <c r="N6063" t="n">
        <v>0</v>
      </c>
      <c r="O6063" t="n">
        <v>0</v>
      </c>
      <c r="P6063" t="n">
        <v>0</v>
      </c>
      <c r="Q6063" t="n">
        <v>0</v>
      </c>
      <c r="R6063" s="2" t="inlineStr"/>
    </row>
    <row r="6064" ht="15" customHeight="1">
      <c r="A6064" t="inlineStr">
        <is>
          <t>A 38901-2025</t>
        </is>
      </c>
      <c r="B6064" s="1" t="n">
        <v>45887</v>
      </c>
      <c r="C6064" s="1" t="n">
        <v>45962</v>
      </c>
      <c r="D6064" t="inlineStr">
        <is>
          <t>JÖNKÖPINGS LÄN</t>
        </is>
      </c>
      <c r="E6064" t="inlineStr">
        <is>
          <t>JÖNKÖPING</t>
        </is>
      </c>
      <c r="G6064" t="n">
        <v>4.1</v>
      </c>
      <c r="H6064" t="n">
        <v>0</v>
      </c>
      <c r="I6064" t="n">
        <v>0</v>
      </c>
      <c r="J6064" t="n">
        <v>0</v>
      </c>
      <c r="K6064" t="n">
        <v>0</v>
      </c>
      <c r="L6064" t="n">
        <v>0</v>
      </c>
      <c r="M6064" t="n">
        <v>0</v>
      </c>
      <c r="N6064" t="n">
        <v>0</v>
      </c>
      <c r="O6064" t="n">
        <v>0</v>
      </c>
      <c r="P6064" t="n">
        <v>0</v>
      </c>
      <c r="Q6064" t="n">
        <v>0</v>
      </c>
      <c r="R6064" s="2" t="inlineStr"/>
    </row>
    <row r="6065" ht="15" customHeight="1">
      <c r="A6065" t="inlineStr">
        <is>
          <t>A 38904-2025</t>
        </is>
      </c>
      <c r="B6065" s="1" t="n">
        <v>45884</v>
      </c>
      <c r="C6065" s="1" t="n">
        <v>45962</v>
      </c>
      <c r="D6065" t="inlineStr">
        <is>
          <t>JÖNKÖPINGS LÄN</t>
        </is>
      </c>
      <c r="E6065" t="inlineStr">
        <is>
          <t>JÖNKÖPING</t>
        </is>
      </c>
      <c r="G6065" t="n">
        <v>7.9</v>
      </c>
      <c r="H6065" t="n">
        <v>0</v>
      </c>
      <c r="I6065" t="n">
        <v>0</v>
      </c>
      <c r="J6065" t="n">
        <v>0</v>
      </c>
      <c r="K6065" t="n">
        <v>0</v>
      </c>
      <c r="L6065" t="n">
        <v>0</v>
      </c>
      <c r="M6065" t="n">
        <v>0</v>
      </c>
      <c r="N6065" t="n">
        <v>0</v>
      </c>
      <c r="O6065" t="n">
        <v>0</v>
      </c>
      <c r="P6065" t="n">
        <v>0</v>
      </c>
      <c r="Q6065" t="n">
        <v>0</v>
      </c>
      <c r="R6065" s="2" t="inlineStr"/>
    </row>
    <row r="6066" ht="15" customHeight="1">
      <c r="A6066" t="inlineStr">
        <is>
          <t>A 47113-2023</t>
        </is>
      </c>
      <c r="B6066" s="1" t="n">
        <v>45201.67354166666</v>
      </c>
      <c r="C6066" s="1" t="n">
        <v>45962</v>
      </c>
      <c r="D6066" t="inlineStr">
        <is>
          <t>JÖNKÖPINGS LÄN</t>
        </is>
      </c>
      <c r="E6066" t="inlineStr">
        <is>
          <t>VETLANDA</t>
        </is>
      </c>
      <c r="G6066" t="n">
        <v>2.1</v>
      </c>
      <c r="H6066" t="n">
        <v>0</v>
      </c>
      <c r="I6066" t="n">
        <v>0</v>
      </c>
      <c r="J6066" t="n">
        <v>0</v>
      </c>
      <c r="K6066" t="n">
        <v>0</v>
      </c>
      <c r="L6066" t="n">
        <v>0</v>
      </c>
      <c r="M6066" t="n">
        <v>0</v>
      </c>
      <c r="N6066" t="n">
        <v>0</v>
      </c>
      <c r="O6066" t="n">
        <v>0</v>
      </c>
      <c r="P6066" t="n">
        <v>0</v>
      </c>
      <c r="Q6066" t="n">
        <v>0</v>
      </c>
      <c r="R6066" s="2" t="inlineStr"/>
    </row>
    <row r="6067" ht="15" customHeight="1">
      <c r="A6067" t="inlineStr">
        <is>
          <t>A 28171-2021</t>
        </is>
      </c>
      <c r="B6067" s="1" t="n">
        <v>44355.60153935185</v>
      </c>
      <c r="C6067" s="1" t="n">
        <v>45962</v>
      </c>
      <c r="D6067" t="inlineStr">
        <is>
          <t>JÖNKÖPINGS LÄN</t>
        </is>
      </c>
      <c r="E6067" t="inlineStr">
        <is>
          <t>JÖNKÖPING</t>
        </is>
      </c>
      <c r="G6067" t="n">
        <v>5</v>
      </c>
      <c r="H6067" t="n">
        <v>0</v>
      </c>
      <c r="I6067" t="n">
        <v>0</v>
      </c>
      <c r="J6067" t="n">
        <v>0</v>
      </c>
      <c r="K6067" t="n">
        <v>0</v>
      </c>
      <c r="L6067" t="n">
        <v>0</v>
      </c>
      <c r="M6067" t="n">
        <v>0</v>
      </c>
      <c r="N6067" t="n">
        <v>0</v>
      </c>
      <c r="O6067" t="n">
        <v>0</v>
      </c>
      <c r="P6067" t="n">
        <v>0</v>
      </c>
      <c r="Q6067" t="n">
        <v>0</v>
      </c>
      <c r="R6067" s="2" t="inlineStr"/>
    </row>
    <row r="6068" ht="15" customHeight="1">
      <c r="A6068" t="inlineStr">
        <is>
          <t>A 53078-2021</t>
        </is>
      </c>
      <c r="B6068" s="1" t="n">
        <v>44467</v>
      </c>
      <c r="C6068" s="1" t="n">
        <v>45962</v>
      </c>
      <c r="D6068" t="inlineStr">
        <is>
          <t>JÖNKÖPINGS LÄN</t>
        </is>
      </c>
      <c r="E6068" t="inlineStr">
        <is>
          <t>GNOSJÖ</t>
        </is>
      </c>
      <c r="G6068" t="n">
        <v>1.1</v>
      </c>
      <c r="H6068" t="n">
        <v>0</v>
      </c>
      <c r="I6068" t="n">
        <v>0</v>
      </c>
      <c r="J6068" t="n">
        <v>0</v>
      </c>
      <c r="K6068" t="n">
        <v>0</v>
      </c>
      <c r="L6068" t="n">
        <v>0</v>
      </c>
      <c r="M6068" t="n">
        <v>0</v>
      </c>
      <c r="N6068" t="n">
        <v>0</v>
      </c>
      <c r="O6068" t="n">
        <v>0</v>
      </c>
      <c r="P6068" t="n">
        <v>0</v>
      </c>
      <c r="Q6068" t="n">
        <v>0</v>
      </c>
      <c r="R6068" s="2" t="inlineStr"/>
    </row>
    <row r="6069" ht="15" customHeight="1">
      <c r="A6069" t="inlineStr">
        <is>
          <t>A 36094-2025</t>
        </is>
      </c>
      <c r="B6069" s="1" t="n">
        <v>45866.4878587963</v>
      </c>
      <c r="C6069" s="1" t="n">
        <v>45962</v>
      </c>
      <c r="D6069" t="inlineStr">
        <is>
          <t>JÖNKÖPINGS LÄN</t>
        </is>
      </c>
      <c r="E6069" t="inlineStr">
        <is>
          <t>VETLANDA</t>
        </is>
      </c>
      <c r="G6069" t="n">
        <v>0.3</v>
      </c>
      <c r="H6069" t="n">
        <v>0</v>
      </c>
      <c r="I6069" t="n">
        <v>0</v>
      </c>
      <c r="J6069" t="n">
        <v>0</v>
      </c>
      <c r="K6069" t="n">
        <v>0</v>
      </c>
      <c r="L6069" t="n">
        <v>0</v>
      </c>
      <c r="M6069" t="n">
        <v>0</v>
      </c>
      <c r="N6069" t="n">
        <v>0</v>
      </c>
      <c r="O6069" t="n">
        <v>0</v>
      </c>
      <c r="P6069" t="n">
        <v>0</v>
      </c>
      <c r="Q6069" t="n">
        <v>0</v>
      </c>
      <c r="R6069" s="2" t="inlineStr"/>
    </row>
    <row r="6070" ht="15" customHeight="1">
      <c r="A6070" t="inlineStr">
        <is>
          <t>A 36148-2025</t>
        </is>
      </c>
      <c r="B6070" s="1" t="n">
        <v>45866.95427083333</v>
      </c>
      <c r="C6070" s="1" t="n">
        <v>45962</v>
      </c>
      <c r="D6070" t="inlineStr">
        <is>
          <t>JÖNKÖPINGS LÄN</t>
        </is>
      </c>
      <c r="E6070" t="inlineStr">
        <is>
          <t>EKSJÖ</t>
        </is>
      </c>
      <c r="G6070" t="n">
        <v>1</v>
      </c>
      <c r="H6070" t="n">
        <v>0</v>
      </c>
      <c r="I6070" t="n">
        <v>0</v>
      </c>
      <c r="J6070" t="n">
        <v>0</v>
      </c>
      <c r="K6070" t="n">
        <v>0</v>
      </c>
      <c r="L6070" t="n">
        <v>0</v>
      </c>
      <c r="M6070" t="n">
        <v>0</v>
      </c>
      <c r="N6070" t="n">
        <v>0</v>
      </c>
      <c r="O6070" t="n">
        <v>0</v>
      </c>
      <c r="P6070" t="n">
        <v>0</v>
      </c>
      <c r="Q6070" t="n">
        <v>0</v>
      </c>
      <c r="R6070" s="2" t="inlineStr"/>
    </row>
    <row r="6071" ht="15" customHeight="1">
      <c r="A6071" t="inlineStr">
        <is>
          <t>A 35459-2024</t>
        </is>
      </c>
      <c r="B6071" s="1" t="n">
        <v>45531</v>
      </c>
      <c r="C6071" s="1" t="n">
        <v>45962</v>
      </c>
      <c r="D6071" t="inlineStr">
        <is>
          <t>JÖNKÖPINGS LÄN</t>
        </is>
      </c>
      <c r="E6071" t="inlineStr">
        <is>
          <t>VAGGERYD</t>
        </is>
      </c>
      <c r="G6071" t="n">
        <v>0.5</v>
      </c>
      <c r="H6071" t="n">
        <v>0</v>
      </c>
      <c r="I6071" t="n">
        <v>0</v>
      </c>
      <c r="J6071" t="n">
        <v>0</v>
      </c>
      <c r="K6071" t="n">
        <v>0</v>
      </c>
      <c r="L6071" t="n">
        <v>0</v>
      </c>
      <c r="M6071" t="n">
        <v>0</v>
      </c>
      <c r="N6071" t="n">
        <v>0</v>
      </c>
      <c r="O6071" t="n">
        <v>0</v>
      </c>
      <c r="P6071" t="n">
        <v>0</v>
      </c>
      <c r="Q6071" t="n">
        <v>0</v>
      </c>
      <c r="R6071" s="2" t="inlineStr"/>
    </row>
    <row r="6072" ht="15" customHeight="1">
      <c r="A6072" t="inlineStr">
        <is>
          <t>A 36040-2025</t>
        </is>
      </c>
      <c r="B6072" s="1" t="n">
        <v>45866.33217592593</v>
      </c>
      <c r="C6072" s="1" t="n">
        <v>45962</v>
      </c>
      <c r="D6072" t="inlineStr">
        <is>
          <t>JÖNKÖPINGS LÄN</t>
        </is>
      </c>
      <c r="E6072" t="inlineStr">
        <is>
          <t>VETLANDA</t>
        </is>
      </c>
      <c r="G6072" t="n">
        <v>1.2</v>
      </c>
      <c r="H6072" t="n">
        <v>0</v>
      </c>
      <c r="I6072" t="n">
        <v>0</v>
      </c>
      <c r="J6072" t="n">
        <v>0</v>
      </c>
      <c r="K6072" t="n">
        <v>0</v>
      </c>
      <c r="L6072" t="n">
        <v>0</v>
      </c>
      <c r="M6072" t="n">
        <v>0</v>
      </c>
      <c r="N6072" t="n">
        <v>0</v>
      </c>
      <c r="O6072" t="n">
        <v>0</v>
      </c>
      <c r="P6072" t="n">
        <v>0</v>
      </c>
      <c r="Q6072" t="n">
        <v>0</v>
      </c>
      <c r="R6072" s="2" t="inlineStr"/>
    </row>
    <row r="6073" ht="15" customHeight="1">
      <c r="A6073" t="inlineStr">
        <is>
          <t>A 65154-2023</t>
        </is>
      </c>
      <c r="B6073" s="1" t="n">
        <v>45288</v>
      </c>
      <c r="C6073" s="1" t="n">
        <v>45962</v>
      </c>
      <c r="D6073" t="inlineStr">
        <is>
          <t>JÖNKÖPINGS LÄN</t>
        </is>
      </c>
      <c r="E6073" t="inlineStr">
        <is>
          <t>VETLANDA</t>
        </is>
      </c>
      <c r="G6073" t="n">
        <v>5.4</v>
      </c>
      <c r="H6073" t="n">
        <v>0</v>
      </c>
      <c r="I6073" t="n">
        <v>0</v>
      </c>
      <c r="J6073" t="n">
        <v>0</v>
      </c>
      <c r="K6073" t="n">
        <v>0</v>
      </c>
      <c r="L6073" t="n">
        <v>0</v>
      </c>
      <c r="M6073" t="n">
        <v>0</v>
      </c>
      <c r="N6073" t="n">
        <v>0</v>
      </c>
      <c r="O6073" t="n">
        <v>0</v>
      </c>
      <c r="P6073" t="n">
        <v>0</v>
      </c>
      <c r="Q6073" t="n">
        <v>0</v>
      </c>
      <c r="R6073" s="2" t="inlineStr"/>
    </row>
    <row r="6074" ht="15" customHeight="1">
      <c r="A6074" t="inlineStr">
        <is>
          <t>A 54916-2023</t>
        </is>
      </c>
      <c r="B6074" s="1" t="n">
        <v>45236</v>
      </c>
      <c r="C6074" s="1" t="n">
        <v>45962</v>
      </c>
      <c r="D6074" t="inlineStr">
        <is>
          <t>JÖNKÖPINGS LÄN</t>
        </is>
      </c>
      <c r="E6074" t="inlineStr">
        <is>
          <t>EKSJÖ</t>
        </is>
      </c>
      <c r="F6074" t="inlineStr">
        <is>
          <t>Övriga Aktiebolag</t>
        </is>
      </c>
      <c r="G6074" t="n">
        <v>3.9</v>
      </c>
      <c r="H6074" t="n">
        <v>0</v>
      </c>
      <c r="I6074" t="n">
        <v>0</v>
      </c>
      <c r="J6074" t="n">
        <v>0</v>
      </c>
      <c r="K6074" t="n">
        <v>0</v>
      </c>
      <c r="L6074" t="n">
        <v>0</v>
      </c>
      <c r="M6074" t="n">
        <v>0</v>
      </c>
      <c r="N6074" t="n">
        <v>0</v>
      </c>
      <c r="O6074" t="n">
        <v>0</v>
      </c>
      <c r="P6074" t="n">
        <v>0</v>
      </c>
      <c r="Q6074" t="n">
        <v>0</v>
      </c>
      <c r="R6074" s="2" t="inlineStr"/>
    </row>
    <row r="6075" ht="15" customHeight="1">
      <c r="A6075" t="inlineStr">
        <is>
          <t>A 18711-2025</t>
        </is>
      </c>
      <c r="B6075" s="1" t="n">
        <v>45763.63662037037</v>
      </c>
      <c r="C6075" s="1" t="n">
        <v>45962</v>
      </c>
      <c r="D6075" t="inlineStr">
        <is>
          <t>JÖNKÖPINGS LÄN</t>
        </is>
      </c>
      <c r="E6075" t="inlineStr">
        <is>
          <t>VÄRNAMO</t>
        </is>
      </c>
      <c r="G6075" t="n">
        <v>6</v>
      </c>
      <c r="H6075" t="n">
        <v>0</v>
      </c>
      <c r="I6075" t="n">
        <v>0</v>
      </c>
      <c r="J6075" t="n">
        <v>0</v>
      </c>
      <c r="K6075" t="n">
        <v>0</v>
      </c>
      <c r="L6075" t="n">
        <v>0</v>
      </c>
      <c r="M6075" t="n">
        <v>0</v>
      </c>
      <c r="N6075" t="n">
        <v>0</v>
      </c>
      <c r="O6075" t="n">
        <v>0</v>
      </c>
      <c r="P6075" t="n">
        <v>0</v>
      </c>
      <c r="Q6075" t="n">
        <v>0</v>
      </c>
      <c r="R6075" s="2" t="inlineStr"/>
    </row>
    <row r="6076" ht="15" customHeight="1">
      <c r="A6076" t="inlineStr">
        <is>
          <t>A 38631-2025</t>
        </is>
      </c>
      <c r="B6076" s="1" t="n">
        <v>45884.56103009259</v>
      </c>
      <c r="C6076" s="1" t="n">
        <v>45962</v>
      </c>
      <c r="D6076" t="inlineStr">
        <is>
          <t>JÖNKÖPINGS LÄN</t>
        </is>
      </c>
      <c r="E6076" t="inlineStr">
        <is>
          <t>GISLAVED</t>
        </is>
      </c>
      <c r="G6076" t="n">
        <v>2.6</v>
      </c>
      <c r="H6076" t="n">
        <v>0</v>
      </c>
      <c r="I6076" t="n">
        <v>0</v>
      </c>
      <c r="J6076" t="n">
        <v>0</v>
      </c>
      <c r="K6076" t="n">
        <v>0</v>
      </c>
      <c r="L6076" t="n">
        <v>0</v>
      </c>
      <c r="M6076" t="n">
        <v>0</v>
      </c>
      <c r="N6076" t="n">
        <v>0</v>
      </c>
      <c r="O6076" t="n">
        <v>0</v>
      </c>
      <c r="P6076" t="n">
        <v>0</v>
      </c>
      <c r="Q6076" t="n">
        <v>0</v>
      </c>
      <c r="R6076" s="2" t="inlineStr"/>
    </row>
    <row r="6077" ht="15" customHeight="1">
      <c r="A6077" t="inlineStr">
        <is>
          <t>A 57243-2024</t>
        </is>
      </c>
      <c r="B6077" s="1" t="n">
        <v>45629.55097222222</v>
      </c>
      <c r="C6077" s="1" t="n">
        <v>45962</v>
      </c>
      <c r="D6077" t="inlineStr">
        <is>
          <t>JÖNKÖPINGS LÄN</t>
        </is>
      </c>
      <c r="E6077" t="inlineStr">
        <is>
          <t>GISLAVED</t>
        </is>
      </c>
      <c r="G6077" t="n">
        <v>1.1</v>
      </c>
      <c r="H6077" t="n">
        <v>0</v>
      </c>
      <c r="I6077" t="n">
        <v>0</v>
      </c>
      <c r="J6077" t="n">
        <v>0</v>
      </c>
      <c r="K6077" t="n">
        <v>0</v>
      </c>
      <c r="L6077" t="n">
        <v>0</v>
      </c>
      <c r="M6077" t="n">
        <v>0</v>
      </c>
      <c r="N6077" t="n">
        <v>0</v>
      </c>
      <c r="O6077" t="n">
        <v>0</v>
      </c>
      <c r="P6077" t="n">
        <v>0</v>
      </c>
      <c r="Q6077" t="n">
        <v>0</v>
      </c>
      <c r="R6077" s="2" t="inlineStr"/>
    </row>
    <row r="6078" ht="15" customHeight="1">
      <c r="A6078" t="inlineStr">
        <is>
          <t>A 35266-2025</t>
        </is>
      </c>
      <c r="B6078" s="1" t="n">
        <v>45853.83719907407</v>
      </c>
      <c r="C6078" s="1" t="n">
        <v>45962</v>
      </c>
      <c r="D6078" t="inlineStr">
        <is>
          <t>JÖNKÖPINGS LÄN</t>
        </is>
      </c>
      <c r="E6078" t="inlineStr">
        <is>
          <t>VÄRNAMO</t>
        </is>
      </c>
      <c r="G6078" t="n">
        <v>1.7</v>
      </c>
      <c r="H6078" t="n">
        <v>0</v>
      </c>
      <c r="I6078" t="n">
        <v>0</v>
      </c>
      <c r="J6078" t="n">
        <v>0</v>
      </c>
      <c r="K6078" t="n">
        <v>0</v>
      </c>
      <c r="L6078" t="n">
        <v>0</v>
      </c>
      <c r="M6078" t="n">
        <v>0</v>
      </c>
      <c r="N6078" t="n">
        <v>0</v>
      </c>
      <c r="O6078" t="n">
        <v>0</v>
      </c>
      <c r="P6078" t="n">
        <v>0</v>
      </c>
      <c r="Q6078" t="n">
        <v>0</v>
      </c>
      <c r="R6078" s="2" t="inlineStr"/>
    </row>
    <row r="6079" ht="15" customHeight="1">
      <c r="A6079" t="inlineStr">
        <is>
          <t>A 30186-2025</t>
        </is>
      </c>
      <c r="B6079" s="1" t="n">
        <v>45827.34717592593</v>
      </c>
      <c r="C6079" s="1" t="n">
        <v>45962</v>
      </c>
      <c r="D6079" t="inlineStr">
        <is>
          <t>JÖNKÖPINGS LÄN</t>
        </is>
      </c>
      <c r="E6079" t="inlineStr">
        <is>
          <t>NÄSSJÖ</t>
        </is>
      </c>
      <c r="G6079" t="n">
        <v>2.1</v>
      </c>
      <c r="H6079" t="n">
        <v>0</v>
      </c>
      <c r="I6079" t="n">
        <v>0</v>
      </c>
      <c r="J6079" t="n">
        <v>0</v>
      </c>
      <c r="K6079" t="n">
        <v>0</v>
      </c>
      <c r="L6079" t="n">
        <v>0</v>
      </c>
      <c r="M6079" t="n">
        <v>0</v>
      </c>
      <c r="N6079" t="n">
        <v>0</v>
      </c>
      <c r="O6079" t="n">
        <v>0</v>
      </c>
      <c r="P6079" t="n">
        <v>0</v>
      </c>
      <c r="Q6079" t="n">
        <v>0</v>
      </c>
      <c r="R6079" s="2" t="inlineStr"/>
    </row>
    <row r="6080" ht="15" customHeight="1">
      <c r="A6080" t="inlineStr">
        <is>
          <t>A 40131-2021</t>
        </is>
      </c>
      <c r="B6080" s="1" t="n">
        <v>44418.6292824074</v>
      </c>
      <c r="C6080" s="1" t="n">
        <v>45962</v>
      </c>
      <c r="D6080" t="inlineStr">
        <is>
          <t>JÖNKÖPINGS LÄN</t>
        </is>
      </c>
      <c r="E6080" t="inlineStr">
        <is>
          <t>NÄSSJÖ</t>
        </is>
      </c>
      <c r="G6080" t="n">
        <v>3.3</v>
      </c>
      <c r="H6080" t="n">
        <v>0</v>
      </c>
      <c r="I6080" t="n">
        <v>0</v>
      </c>
      <c r="J6080" t="n">
        <v>0</v>
      </c>
      <c r="K6080" t="n">
        <v>0</v>
      </c>
      <c r="L6080" t="n">
        <v>0</v>
      </c>
      <c r="M6080" t="n">
        <v>0</v>
      </c>
      <c r="N6080" t="n">
        <v>0</v>
      </c>
      <c r="O6080" t="n">
        <v>0</v>
      </c>
      <c r="P6080" t="n">
        <v>0</v>
      </c>
      <c r="Q6080" t="n">
        <v>0</v>
      </c>
      <c r="R6080" s="2" t="inlineStr"/>
    </row>
    <row r="6081" ht="15" customHeight="1">
      <c r="A6081" t="inlineStr">
        <is>
          <t>A 23598-2022</t>
        </is>
      </c>
      <c r="B6081" s="1" t="n">
        <v>44721</v>
      </c>
      <c r="C6081" s="1" t="n">
        <v>45962</v>
      </c>
      <c r="D6081" t="inlineStr">
        <is>
          <t>JÖNKÖPINGS LÄN</t>
        </is>
      </c>
      <c r="E6081" t="inlineStr">
        <is>
          <t>GISLAVED</t>
        </is>
      </c>
      <c r="G6081" t="n">
        <v>2.2</v>
      </c>
      <c r="H6081" t="n">
        <v>0</v>
      </c>
      <c r="I6081" t="n">
        <v>0</v>
      </c>
      <c r="J6081" t="n">
        <v>0</v>
      </c>
      <c r="K6081" t="n">
        <v>0</v>
      </c>
      <c r="L6081" t="n">
        <v>0</v>
      </c>
      <c r="M6081" t="n">
        <v>0</v>
      </c>
      <c r="N6081" t="n">
        <v>0</v>
      </c>
      <c r="O6081" t="n">
        <v>0</v>
      </c>
      <c r="P6081" t="n">
        <v>0</v>
      </c>
      <c r="Q6081" t="n">
        <v>0</v>
      </c>
      <c r="R6081" s="2" t="inlineStr"/>
    </row>
    <row r="6082" ht="15" customHeight="1">
      <c r="A6082" t="inlineStr">
        <is>
          <t>A 23384-2025</t>
        </is>
      </c>
      <c r="B6082" s="1" t="n">
        <v>45791.82179398148</v>
      </c>
      <c r="C6082" s="1" t="n">
        <v>45962</v>
      </c>
      <c r="D6082" t="inlineStr">
        <is>
          <t>JÖNKÖPINGS LÄN</t>
        </is>
      </c>
      <c r="E6082" t="inlineStr">
        <is>
          <t>NÄSSJÖ</t>
        </is>
      </c>
      <c r="G6082" t="n">
        <v>3.2</v>
      </c>
      <c r="H6082" t="n">
        <v>0</v>
      </c>
      <c r="I6082" t="n">
        <v>0</v>
      </c>
      <c r="J6082" t="n">
        <v>0</v>
      </c>
      <c r="K6082" t="n">
        <v>0</v>
      </c>
      <c r="L6082" t="n">
        <v>0</v>
      </c>
      <c r="M6082" t="n">
        <v>0</v>
      </c>
      <c r="N6082" t="n">
        <v>0</v>
      </c>
      <c r="O6082" t="n">
        <v>0</v>
      </c>
      <c r="P6082" t="n">
        <v>0</v>
      </c>
      <c r="Q6082" t="n">
        <v>0</v>
      </c>
      <c r="R6082" s="2" t="inlineStr"/>
    </row>
    <row r="6083" ht="15" customHeight="1">
      <c r="A6083" t="inlineStr">
        <is>
          <t>A 36054-2025</t>
        </is>
      </c>
      <c r="B6083" s="1" t="n">
        <v>45866.37359953704</v>
      </c>
      <c r="C6083" s="1" t="n">
        <v>45962</v>
      </c>
      <c r="D6083" t="inlineStr">
        <is>
          <t>JÖNKÖPINGS LÄN</t>
        </is>
      </c>
      <c r="E6083" t="inlineStr">
        <is>
          <t>VETLANDA</t>
        </is>
      </c>
      <c r="G6083" t="n">
        <v>0.9</v>
      </c>
      <c r="H6083" t="n">
        <v>0</v>
      </c>
      <c r="I6083" t="n">
        <v>0</v>
      </c>
      <c r="J6083" t="n">
        <v>0</v>
      </c>
      <c r="K6083" t="n">
        <v>0</v>
      </c>
      <c r="L6083" t="n">
        <v>0</v>
      </c>
      <c r="M6083" t="n">
        <v>0</v>
      </c>
      <c r="N6083" t="n">
        <v>0</v>
      </c>
      <c r="O6083" t="n">
        <v>0</v>
      </c>
      <c r="P6083" t="n">
        <v>0</v>
      </c>
      <c r="Q6083" t="n">
        <v>0</v>
      </c>
      <c r="R6083" s="2" t="inlineStr"/>
    </row>
    <row r="6084" ht="15" customHeight="1">
      <c r="A6084" t="inlineStr">
        <is>
          <t>A 38749-2025</t>
        </is>
      </c>
      <c r="B6084" s="1" t="n">
        <v>45887.38887731481</v>
      </c>
      <c r="C6084" s="1" t="n">
        <v>45962</v>
      </c>
      <c r="D6084" t="inlineStr">
        <is>
          <t>JÖNKÖPINGS LÄN</t>
        </is>
      </c>
      <c r="E6084" t="inlineStr">
        <is>
          <t>HABO</t>
        </is>
      </c>
      <c r="G6084" t="n">
        <v>1</v>
      </c>
      <c r="H6084" t="n">
        <v>0</v>
      </c>
      <c r="I6084" t="n">
        <v>0</v>
      </c>
      <c r="J6084" t="n">
        <v>0</v>
      </c>
      <c r="K6084" t="n">
        <v>0</v>
      </c>
      <c r="L6084" t="n">
        <v>0</v>
      </c>
      <c r="M6084" t="n">
        <v>0</v>
      </c>
      <c r="N6084" t="n">
        <v>0</v>
      </c>
      <c r="O6084" t="n">
        <v>0</v>
      </c>
      <c r="P6084" t="n">
        <v>0</v>
      </c>
      <c r="Q6084" t="n">
        <v>0</v>
      </c>
      <c r="R6084" s="2" t="inlineStr"/>
    </row>
    <row r="6085" ht="15" customHeight="1">
      <c r="A6085" t="inlineStr">
        <is>
          <t>A 36026-2025</t>
        </is>
      </c>
      <c r="B6085" s="1" t="n">
        <v>45864.57112268519</v>
      </c>
      <c r="C6085" s="1" t="n">
        <v>45962</v>
      </c>
      <c r="D6085" t="inlineStr">
        <is>
          <t>JÖNKÖPINGS LÄN</t>
        </is>
      </c>
      <c r="E6085" t="inlineStr">
        <is>
          <t>VÄRNAMO</t>
        </is>
      </c>
      <c r="G6085" t="n">
        <v>0.5</v>
      </c>
      <c r="H6085" t="n">
        <v>0</v>
      </c>
      <c r="I6085" t="n">
        <v>0</v>
      </c>
      <c r="J6085" t="n">
        <v>0</v>
      </c>
      <c r="K6085" t="n">
        <v>0</v>
      </c>
      <c r="L6085" t="n">
        <v>0</v>
      </c>
      <c r="M6085" t="n">
        <v>0</v>
      </c>
      <c r="N6085" t="n">
        <v>0</v>
      </c>
      <c r="O6085" t="n">
        <v>0</v>
      </c>
      <c r="P6085" t="n">
        <v>0</v>
      </c>
      <c r="Q6085" t="n">
        <v>0</v>
      </c>
      <c r="R6085" s="2" t="inlineStr"/>
    </row>
    <row r="6086" ht="15" customHeight="1">
      <c r="A6086" t="inlineStr">
        <is>
          <t>A 36505-2024</t>
        </is>
      </c>
      <c r="B6086" s="1" t="n">
        <v>45537.41849537037</v>
      </c>
      <c r="C6086" s="1" t="n">
        <v>45962</v>
      </c>
      <c r="D6086" t="inlineStr">
        <is>
          <t>JÖNKÖPINGS LÄN</t>
        </is>
      </c>
      <c r="E6086" t="inlineStr">
        <is>
          <t>EKSJÖ</t>
        </is>
      </c>
      <c r="G6086" t="n">
        <v>2</v>
      </c>
      <c r="H6086" t="n">
        <v>0</v>
      </c>
      <c r="I6086" t="n">
        <v>0</v>
      </c>
      <c r="J6086" t="n">
        <v>0</v>
      </c>
      <c r="K6086" t="n">
        <v>0</v>
      </c>
      <c r="L6086" t="n">
        <v>0</v>
      </c>
      <c r="M6086" t="n">
        <v>0</v>
      </c>
      <c r="N6086" t="n">
        <v>0</v>
      </c>
      <c r="O6086" t="n">
        <v>0</v>
      </c>
      <c r="P6086" t="n">
        <v>0</v>
      </c>
      <c r="Q6086" t="n">
        <v>0</v>
      </c>
      <c r="R6086" s="2" t="inlineStr"/>
    </row>
    <row r="6087" ht="15" customHeight="1">
      <c r="A6087" t="inlineStr">
        <is>
          <t>A 12744-2025</t>
        </is>
      </c>
      <c r="B6087" s="1" t="n">
        <v>45733.55030092593</v>
      </c>
      <c r="C6087" s="1" t="n">
        <v>45962</v>
      </c>
      <c r="D6087" t="inlineStr">
        <is>
          <t>JÖNKÖPINGS LÄN</t>
        </is>
      </c>
      <c r="E6087" t="inlineStr">
        <is>
          <t>VETLANDA</t>
        </is>
      </c>
      <c r="G6087" t="n">
        <v>1</v>
      </c>
      <c r="H6087" t="n">
        <v>0</v>
      </c>
      <c r="I6087" t="n">
        <v>0</v>
      </c>
      <c r="J6087" t="n">
        <v>0</v>
      </c>
      <c r="K6087" t="n">
        <v>0</v>
      </c>
      <c r="L6087" t="n">
        <v>0</v>
      </c>
      <c r="M6087" t="n">
        <v>0</v>
      </c>
      <c r="N6087" t="n">
        <v>0</v>
      </c>
      <c r="O6087" t="n">
        <v>0</v>
      </c>
      <c r="P6087" t="n">
        <v>0</v>
      </c>
      <c r="Q6087" t="n">
        <v>0</v>
      </c>
      <c r="R6087" s="2" t="inlineStr"/>
    </row>
    <row r="6088" ht="15" customHeight="1">
      <c r="A6088" t="inlineStr">
        <is>
          <t>A 36052-2025</t>
        </is>
      </c>
      <c r="B6088" s="1" t="n">
        <v>45866.37274305556</v>
      </c>
      <c r="C6088" s="1" t="n">
        <v>45962</v>
      </c>
      <c r="D6088" t="inlineStr">
        <is>
          <t>JÖNKÖPINGS LÄN</t>
        </is>
      </c>
      <c r="E6088" t="inlineStr">
        <is>
          <t>VETLANDA</t>
        </is>
      </c>
      <c r="G6088" t="n">
        <v>0.8</v>
      </c>
      <c r="H6088" t="n">
        <v>0</v>
      </c>
      <c r="I6088" t="n">
        <v>0</v>
      </c>
      <c r="J6088" t="n">
        <v>0</v>
      </c>
      <c r="K6088" t="n">
        <v>0</v>
      </c>
      <c r="L6088" t="n">
        <v>0</v>
      </c>
      <c r="M6088" t="n">
        <v>0</v>
      </c>
      <c r="N6088" t="n">
        <v>0</v>
      </c>
      <c r="O6088" t="n">
        <v>0</v>
      </c>
      <c r="P6088" t="n">
        <v>0</v>
      </c>
      <c r="Q6088" t="n">
        <v>0</v>
      </c>
      <c r="R6088" s="2" t="inlineStr"/>
    </row>
    <row r="6089" ht="15" customHeight="1">
      <c r="A6089" t="inlineStr">
        <is>
          <t>A 36093-2025</t>
        </is>
      </c>
      <c r="B6089" s="1" t="n">
        <v>45866.48642361111</v>
      </c>
      <c r="C6089" s="1" t="n">
        <v>45962</v>
      </c>
      <c r="D6089" t="inlineStr">
        <is>
          <t>JÖNKÖPINGS LÄN</t>
        </is>
      </c>
      <c r="E6089" t="inlineStr">
        <is>
          <t>VETLANDA</t>
        </is>
      </c>
      <c r="G6089" t="n">
        <v>1.3</v>
      </c>
      <c r="H6089" t="n">
        <v>0</v>
      </c>
      <c r="I6089" t="n">
        <v>0</v>
      </c>
      <c r="J6089" t="n">
        <v>0</v>
      </c>
      <c r="K6089" t="n">
        <v>0</v>
      </c>
      <c r="L6089" t="n">
        <v>0</v>
      </c>
      <c r="M6089" t="n">
        <v>0</v>
      </c>
      <c r="N6089" t="n">
        <v>0</v>
      </c>
      <c r="O6089" t="n">
        <v>0</v>
      </c>
      <c r="P6089" t="n">
        <v>0</v>
      </c>
      <c r="Q6089" t="n">
        <v>0</v>
      </c>
      <c r="R6089" s="2" t="inlineStr"/>
    </row>
    <row r="6090" ht="15" customHeight="1">
      <c r="A6090" t="inlineStr">
        <is>
          <t>A 8698-2025</t>
        </is>
      </c>
      <c r="B6090" s="1" t="n">
        <v>45712.4794212963</v>
      </c>
      <c r="C6090" s="1" t="n">
        <v>45962</v>
      </c>
      <c r="D6090" t="inlineStr">
        <is>
          <t>JÖNKÖPINGS LÄN</t>
        </is>
      </c>
      <c r="E6090" t="inlineStr">
        <is>
          <t>GNOSJÖ</t>
        </is>
      </c>
      <c r="G6090" t="n">
        <v>1.5</v>
      </c>
      <c r="H6090" t="n">
        <v>0</v>
      </c>
      <c r="I6090" t="n">
        <v>0</v>
      </c>
      <c r="J6090" t="n">
        <v>0</v>
      </c>
      <c r="K6090" t="n">
        <v>0</v>
      </c>
      <c r="L6090" t="n">
        <v>0</v>
      </c>
      <c r="M6090" t="n">
        <v>0</v>
      </c>
      <c r="N6090" t="n">
        <v>0</v>
      </c>
      <c r="O6090" t="n">
        <v>0</v>
      </c>
      <c r="P6090" t="n">
        <v>0</v>
      </c>
      <c r="Q6090" t="n">
        <v>0</v>
      </c>
      <c r="R6090" s="2" t="inlineStr"/>
    </row>
    <row r="6091" ht="15" customHeight="1">
      <c r="A6091" t="inlineStr">
        <is>
          <t>A 38640-2025</t>
        </is>
      </c>
      <c r="B6091" s="1" t="n">
        <v>45884.57325231482</v>
      </c>
      <c r="C6091" s="1" t="n">
        <v>45962</v>
      </c>
      <c r="D6091" t="inlineStr">
        <is>
          <t>JÖNKÖPINGS LÄN</t>
        </is>
      </c>
      <c r="E6091" t="inlineStr">
        <is>
          <t>GISLAVED</t>
        </is>
      </c>
      <c r="G6091" t="n">
        <v>2.5</v>
      </c>
      <c r="H6091" t="n">
        <v>0</v>
      </c>
      <c r="I6091" t="n">
        <v>0</v>
      </c>
      <c r="J6091" t="n">
        <v>0</v>
      </c>
      <c r="K6091" t="n">
        <v>0</v>
      </c>
      <c r="L6091" t="n">
        <v>0</v>
      </c>
      <c r="M6091" t="n">
        <v>0</v>
      </c>
      <c r="N6091" t="n">
        <v>0</v>
      </c>
      <c r="O6091" t="n">
        <v>0</v>
      </c>
      <c r="P6091" t="n">
        <v>0</v>
      </c>
      <c r="Q6091" t="n">
        <v>0</v>
      </c>
      <c r="R6091" s="2" t="inlineStr"/>
    </row>
    <row r="6092" ht="15" customHeight="1">
      <c r="A6092" t="inlineStr">
        <is>
          <t>A 36290-2025</t>
        </is>
      </c>
      <c r="B6092" s="1" t="n">
        <v>45867.66349537037</v>
      </c>
      <c r="C6092" s="1" t="n">
        <v>45962</v>
      </c>
      <c r="D6092" t="inlineStr">
        <is>
          <t>JÖNKÖPINGS LÄN</t>
        </is>
      </c>
      <c r="E6092" t="inlineStr">
        <is>
          <t>JÖNKÖPING</t>
        </is>
      </c>
      <c r="G6092" t="n">
        <v>13.8</v>
      </c>
      <c r="H6092" t="n">
        <v>0</v>
      </c>
      <c r="I6092" t="n">
        <v>0</v>
      </c>
      <c r="J6092" t="n">
        <v>0</v>
      </c>
      <c r="K6092" t="n">
        <v>0</v>
      </c>
      <c r="L6092" t="n">
        <v>0</v>
      </c>
      <c r="M6092" t="n">
        <v>0</v>
      </c>
      <c r="N6092" t="n">
        <v>0</v>
      </c>
      <c r="O6092" t="n">
        <v>0</v>
      </c>
      <c r="P6092" t="n">
        <v>0</v>
      </c>
      <c r="Q6092" t="n">
        <v>0</v>
      </c>
      <c r="R6092" s="2" t="inlineStr"/>
    </row>
    <row r="6093" ht="15" customHeight="1">
      <c r="A6093" t="inlineStr">
        <is>
          <t>A 3519-2023</t>
        </is>
      </c>
      <c r="B6093" s="1" t="n">
        <v>44950</v>
      </c>
      <c r="C6093" s="1" t="n">
        <v>45962</v>
      </c>
      <c r="D6093" t="inlineStr">
        <is>
          <t>JÖNKÖPINGS LÄN</t>
        </is>
      </c>
      <c r="E6093" t="inlineStr">
        <is>
          <t>JÖNKÖPING</t>
        </is>
      </c>
      <c r="G6093" t="n">
        <v>0.4</v>
      </c>
      <c r="H6093" t="n">
        <v>0</v>
      </c>
      <c r="I6093" t="n">
        <v>0</v>
      </c>
      <c r="J6093" t="n">
        <v>0</v>
      </c>
      <c r="K6093" t="n">
        <v>0</v>
      </c>
      <c r="L6093" t="n">
        <v>0</v>
      </c>
      <c r="M6093" t="n">
        <v>0</v>
      </c>
      <c r="N6093" t="n">
        <v>0</v>
      </c>
      <c r="O6093" t="n">
        <v>0</v>
      </c>
      <c r="P6093" t="n">
        <v>0</v>
      </c>
      <c r="Q6093" t="n">
        <v>0</v>
      </c>
      <c r="R6093" s="2" t="inlineStr"/>
    </row>
    <row r="6094" ht="15" customHeight="1">
      <c r="A6094" t="inlineStr">
        <is>
          <t>A 38792-2025</t>
        </is>
      </c>
      <c r="B6094" s="1" t="n">
        <v>45887.44935185185</v>
      </c>
      <c r="C6094" s="1" t="n">
        <v>45962</v>
      </c>
      <c r="D6094" t="inlineStr">
        <is>
          <t>JÖNKÖPINGS LÄN</t>
        </is>
      </c>
      <c r="E6094" t="inlineStr">
        <is>
          <t>NÄSSJÖ</t>
        </is>
      </c>
      <c r="G6094" t="n">
        <v>2.5</v>
      </c>
      <c r="H6094" t="n">
        <v>0</v>
      </c>
      <c r="I6094" t="n">
        <v>0</v>
      </c>
      <c r="J6094" t="n">
        <v>0</v>
      </c>
      <c r="K6094" t="n">
        <v>0</v>
      </c>
      <c r="L6094" t="n">
        <v>0</v>
      </c>
      <c r="M6094" t="n">
        <v>0</v>
      </c>
      <c r="N6094" t="n">
        <v>0</v>
      </c>
      <c r="O6094" t="n">
        <v>0</v>
      </c>
      <c r="P6094" t="n">
        <v>0</v>
      </c>
      <c r="Q6094" t="n">
        <v>0</v>
      </c>
      <c r="R6094" s="2" t="inlineStr"/>
    </row>
    <row r="6095" ht="15" customHeight="1">
      <c r="A6095" t="inlineStr">
        <is>
          <t>A 3522-2023</t>
        </is>
      </c>
      <c r="B6095" s="1" t="n">
        <v>44950</v>
      </c>
      <c r="C6095" s="1" t="n">
        <v>45962</v>
      </c>
      <c r="D6095" t="inlineStr">
        <is>
          <t>JÖNKÖPINGS LÄN</t>
        </is>
      </c>
      <c r="E6095" t="inlineStr">
        <is>
          <t>JÖNKÖPING</t>
        </is>
      </c>
      <c r="G6095" t="n">
        <v>1</v>
      </c>
      <c r="H6095" t="n">
        <v>0</v>
      </c>
      <c r="I6095" t="n">
        <v>0</v>
      </c>
      <c r="J6095" t="n">
        <v>0</v>
      </c>
      <c r="K6095" t="n">
        <v>0</v>
      </c>
      <c r="L6095" t="n">
        <v>0</v>
      </c>
      <c r="M6095" t="n">
        <v>0</v>
      </c>
      <c r="N6095" t="n">
        <v>0</v>
      </c>
      <c r="O6095" t="n">
        <v>0</v>
      </c>
      <c r="P6095" t="n">
        <v>0</v>
      </c>
      <c r="Q6095" t="n">
        <v>0</v>
      </c>
      <c r="R6095" s="2" t="inlineStr"/>
    </row>
    <row r="6096" ht="15" customHeight="1">
      <c r="A6096" t="inlineStr">
        <is>
          <t>A 3541-2023</t>
        </is>
      </c>
      <c r="B6096" s="1" t="n">
        <v>44946</v>
      </c>
      <c r="C6096" s="1" t="n">
        <v>45962</v>
      </c>
      <c r="D6096" t="inlineStr">
        <is>
          <t>JÖNKÖPINGS LÄN</t>
        </is>
      </c>
      <c r="E6096" t="inlineStr">
        <is>
          <t>VETLANDA</t>
        </is>
      </c>
      <c r="G6096" t="n">
        <v>2.4</v>
      </c>
      <c r="H6096" t="n">
        <v>0</v>
      </c>
      <c r="I6096" t="n">
        <v>0</v>
      </c>
      <c r="J6096" t="n">
        <v>0</v>
      </c>
      <c r="K6096" t="n">
        <v>0</v>
      </c>
      <c r="L6096" t="n">
        <v>0</v>
      </c>
      <c r="M6096" t="n">
        <v>0</v>
      </c>
      <c r="N6096" t="n">
        <v>0</v>
      </c>
      <c r="O6096" t="n">
        <v>0</v>
      </c>
      <c r="P6096" t="n">
        <v>0</v>
      </c>
      <c r="Q6096" t="n">
        <v>0</v>
      </c>
      <c r="R6096" s="2" t="inlineStr"/>
    </row>
    <row r="6097" ht="15" customHeight="1">
      <c r="A6097" t="inlineStr">
        <is>
          <t>A 38801-2025</t>
        </is>
      </c>
      <c r="B6097" s="1" t="n">
        <v>45887.46252314815</v>
      </c>
      <c r="C6097" s="1" t="n">
        <v>45962</v>
      </c>
      <c r="D6097" t="inlineStr">
        <is>
          <t>JÖNKÖPINGS LÄN</t>
        </is>
      </c>
      <c r="E6097" t="inlineStr">
        <is>
          <t>NÄSSJÖ</t>
        </is>
      </c>
      <c r="G6097" t="n">
        <v>12.4</v>
      </c>
      <c r="H6097" t="n">
        <v>0</v>
      </c>
      <c r="I6097" t="n">
        <v>0</v>
      </c>
      <c r="J6097" t="n">
        <v>0</v>
      </c>
      <c r="K6097" t="n">
        <v>0</v>
      </c>
      <c r="L6097" t="n">
        <v>0</v>
      </c>
      <c r="M6097" t="n">
        <v>0</v>
      </c>
      <c r="N6097" t="n">
        <v>0</v>
      </c>
      <c r="O6097" t="n">
        <v>0</v>
      </c>
      <c r="P6097" t="n">
        <v>0</v>
      </c>
      <c r="Q6097" t="n">
        <v>0</v>
      </c>
      <c r="R6097" s="2" t="inlineStr"/>
      <c r="U6097">
        <f>HYPERLINK("https://klasma.github.io/Logging_0682/knärot/A 38801-2025 karta knärot.png", "A 38801-2025")</f>
        <v/>
      </c>
      <c r="V6097">
        <f>HYPERLINK("https://klasma.github.io/Logging_0682/klagomål/A 38801-2025 FSC-klagomål.docx", "A 38801-2025")</f>
        <v/>
      </c>
      <c r="W6097">
        <f>HYPERLINK("https://klasma.github.io/Logging_0682/klagomålsmail/A 38801-2025 FSC-klagomål mail.docx", "A 38801-2025")</f>
        <v/>
      </c>
      <c r="X6097">
        <f>HYPERLINK("https://klasma.github.io/Logging_0682/tillsyn/A 38801-2025 tillsynsbegäran.docx", "A 38801-2025")</f>
        <v/>
      </c>
      <c r="Y6097">
        <f>HYPERLINK("https://klasma.github.io/Logging_0682/tillsynsmail/A 38801-2025 tillsynsbegäran mail.docx", "A 38801-2025")</f>
        <v/>
      </c>
    </row>
    <row r="6098" ht="15" customHeight="1">
      <c r="A6098" t="inlineStr">
        <is>
          <t>A 51820-2024</t>
        </is>
      </c>
      <c r="B6098" s="1" t="n">
        <v>45607.49489583333</v>
      </c>
      <c r="C6098" s="1" t="n">
        <v>45962</v>
      </c>
      <c r="D6098" t="inlineStr">
        <is>
          <t>JÖNKÖPINGS LÄN</t>
        </is>
      </c>
      <c r="E6098" t="inlineStr">
        <is>
          <t>GISLAVED</t>
        </is>
      </c>
      <c r="G6098" t="n">
        <v>1.7</v>
      </c>
      <c r="H6098" t="n">
        <v>0</v>
      </c>
      <c r="I6098" t="n">
        <v>0</v>
      </c>
      <c r="J6098" t="n">
        <v>0</v>
      </c>
      <c r="K6098" t="n">
        <v>0</v>
      </c>
      <c r="L6098" t="n">
        <v>0</v>
      </c>
      <c r="M6098" t="n">
        <v>0</v>
      </c>
      <c r="N6098" t="n">
        <v>0</v>
      </c>
      <c r="O6098" t="n">
        <v>0</v>
      </c>
      <c r="P6098" t="n">
        <v>0</v>
      </c>
      <c r="Q6098" t="n">
        <v>0</v>
      </c>
      <c r="R6098" s="2" t="inlineStr"/>
    </row>
    <row r="6099" ht="15" customHeight="1">
      <c r="A6099" t="inlineStr">
        <is>
          <t>A 58452-2021</t>
        </is>
      </c>
      <c r="B6099" s="1" t="n">
        <v>44488</v>
      </c>
      <c r="C6099" s="1" t="n">
        <v>45962</v>
      </c>
      <c r="D6099" t="inlineStr">
        <is>
          <t>JÖNKÖPINGS LÄN</t>
        </is>
      </c>
      <c r="E6099" t="inlineStr">
        <is>
          <t>HABO</t>
        </is>
      </c>
      <c r="G6099" t="n">
        <v>2.1</v>
      </c>
      <c r="H6099" t="n">
        <v>0</v>
      </c>
      <c r="I6099" t="n">
        <v>0</v>
      </c>
      <c r="J6099" t="n">
        <v>0</v>
      </c>
      <c r="K6099" t="n">
        <v>0</v>
      </c>
      <c r="L6099" t="n">
        <v>0</v>
      </c>
      <c r="M6099" t="n">
        <v>0</v>
      </c>
      <c r="N6099" t="n">
        <v>0</v>
      </c>
      <c r="O6099" t="n">
        <v>0</v>
      </c>
      <c r="P6099" t="n">
        <v>0</v>
      </c>
      <c r="Q6099" t="n">
        <v>0</v>
      </c>
      <c r="R6099" s="2" t="inlineStr"/>
    </row>
    <row r="6100" ht="15" customHeight="1">
      <c r="A6100" t="inlineStr">
        <is>
          <t>A 26364-2025</t>
        </is>
      </c>
      <c r="B6100" s="1" t="n">
        <v>45806.33793981482</v>
      </c>
      <c r="C6100" s="1" t="n">
        <v>45962</v>
      </c>
      <c r="D6100" t="inlineStr">
        <is>
          <t>JÖNKÖPINGS LÄN</t>
        </is>
      </c>
      <c r="E6100" t="inlineStr">
        <is>
          <t>HABO</t>
        </is>
      </c>
      <c r="G6100" t="n">
        <v>3</v>
      </c>
      <c r="H6100" t="n">
        <v>0</v>
      </c>
      <c r="I6100" t="n">
        <v>0</v>
      </c>
      <c r="J6100" t="n">
        <v>0</v>
      </c>
      <c r="K6100" t="n">
        <v>0</v>
      </c>
      <c r="L6100" t="n">
        <v>0</v>
      </c>
      <c r="M6100" t="n">
        <v>0</v>
      </c>
      <c r="N6100" t="n">
        <v>0</v>
      </c>
      <c r="O6100" t="n">
        <v>0</v>
      </c>
      <c r="P6100" t="n">
        <v>0</v>
      </c>
      <c r="Q6100" t="n">
        <v>0</v>
      </c>
      <c r="R6100" s="2" t="inlineStr"/>
    </row>
    <row r="6101" ht="15" customHeight="1">
      <c r="A6101" t="inlineStr">
        <is>
          <t>A 2073-2023</t>
        </is>
      </c>
      <c r="B6101" s="1" t="n">
        <v>44939</v>
      </c>
      <c r="C6101" s="1" t="n">
        <v>45962</v>
      </c>
      <c r="D6101" t="inlineStr">
        <is>
          <t>JÖNKÖPINGS LÄN</t>
        </is>
      </c>
      <c r="E6101" t="inlineStr">
        <is>
          <t>HABO</t>
        </is>
      </c>
      <c r="G6101" t="n">
        <v>4.3</v>
      </c>
      <c r="H6101" t="n">
        <v>0</v>
      </c>
      <c r="I6101" t="n">
        <v>0</v>
      </c>
      <c r="J6101" t="n">
        <v>0</v>
      </c>
      <c r="K6101" t="n">
        <v>0</v>
      </c>
      <c r="L6101" t="n">
        <v>0</v>
      </c>
      <c r="M6101" t="n">
        <v>0</v>
      </c>
      <c r="N6101" t="n">
        <v>0</v>
      </c>
      <c r="O6101" t="n">
        <v>0</v>
      </c>
      <c r="P6101" t="n">
        <v>0</v>
      </c>
      <c r="Q6101" t="n">
        <v>0</v>
      </c>
      <c r="R6101" s="2" t="inlineStr"/>
    </row>
    <row r="6102" ht="15" customHeight="1">
      <c r="A6102" t="inlineStr">
        <is>
          <t>A 32193-2025</t>
        </is>
      </c>
      <c r="B6102" s="1" t="n">
        <v>45835.57190972222</v>
      </c>
      <c r="C6102" s="1" t="n">
        <v>45962</v>
      </c>
      <c r="D6102" t="inlineStr">
        <is>
          <t>JÖNKÖPINGS LÄN</t>
        </is>
      </c>
      <c r="E6102" t="inlineStr">
        <is>
          <t>VETLANDA</t>
        </is>
      </c>
      <c r="G6102" t="n">
        <v>1</v>
      </c>
      <c r="H6102" t="n">
        <v>0</v>
      </c>
      <c r="I6102" t="n">
        <v>0</v>
      </c>
      <c r="J6102" t="n">
        <v>0</v>
      </c>
      <c r="K6102" t="n">
        <v>0</v>
      </c>
      <c r="L6102" t="n">
        <v>0</v>
      </c>
      <c r="M6102" t="n">
        <v>0</v>
      </c>
      <c r="N6102" t="n">
        <v>0</v>
      </c>
      <c r="O6102" t="n">
        <v>0</v>
      </c>
      <c r="P6102" t="n">
        <v>0</v>
      </c>
      <c r="Q6102" t="n">
        <v>0</v>
      </c>
      <c r="R6102" s="2" t="inlineStr"/>
    </row>
    <row r="6103" ht="15" customHeight="1">
      <c r="A6103" t="inlineStr">
        <is>
          <t>A 38475-2025</t>
        </is>
      </c>
      <c r="B6103" s="1" t="n">
        <v>45884.31612268519</v>
      </c>
      <c r="C6103" s="1" t="n">
        <v>45962</v>
      </c>
      <c r="D6103" t="inlineStr">
        <is>
          <t>JÖNKÖPINGS LÄN</t>
        </is>
      </c>
      <c r="E6103" t="inlineStr">
        <is>
          <t>VETLANDA</t>
        </is>
      </c>
      <c r="G6103" t="n">
        <v>0.9</v>
      </c>
      <c r="H6103" t="n">
        <v>0</v>
      </c>
      <c r="I6103" t="n">
        <v>0</v>
      </c>
      <c r="J6103" t="n">
        <v>0</v>
      </c>
      <c r="K6103" t="n">
        <v>0</v>
      </c>
      <c r="L6103" t="n">
        <v>0</v>
      </c>
      <c r="M6103" t="n">
        <v>0</v>
      </c>
      <c r="N6103" t="n">
        <v>0</v>
      </c>
      <c r="O6103" t="n">
        <v>0</v>
      </c>
      <c r="P6103" t="n">
        <v>0</v>
      </c>
      <c r="Q6103" t="n">
        <v>0</v>
      </c>
      <c r="R6103" s="2" t="inlineStr"/>
    </row>
    <row r="6104" ht="15" customHeight="1">
      <c r="A6104" t="inlineStr">
        <is>
          <t>A 38484-2025</t>
        </is>
      </c>
      <c r="B6104" s="1" t="n">
        <v>45884.34023148148</v>
      </c>
      <c r="C6104" s="1" t="n">
        <v>45962</v>
      </c>
      <c r="D6104" t="inlineStr">
        <is>
          <t>JÖNKÖPINGS LÄN</t>
        </is>
      </c>
      <c r="E6104" t="inlineStr">
        <is>
          <t>SÄVSJÖ</t>
        </is>
      </c>
      <c r="G6104" t="n">
        <v>1.1</v>
      </c>
      <c r="H6104" t="n">
        <v>0</v>
      </c>
      <c r="I6104" t="n">
        <v>0</v>
      </c>
      <c r="J6104" t="n">
        <v>0</v>
      </c>
      <c r="K6104" t="n">
        <v>0</v>
      </c>
      <c r="L6104" t="n">
        <v>0</v>
      </c>
      <c r="M6104" t="n">
        <v>0</v>
      </c>
      <c r="N6104" t="n">
        <v>0</v>
      </c>
      <c r="O6104" t="n">
        <v>0</v>
      </c>
      <c r="P6104" t="n">
        <v>0</v>
      </c>
      <c r="Q6104" t="n">
        <v>0</v>
      </c>
      <c r="R6104" s="2" t="inlineStr"/>
    </row>
    <row r="6105" ht="15" customHeight="1">
      <c r="A6105" t="inlineStr">
        <is>
          <t>A 38510-2025</t>
        </is>
      </c>
      <c r="B6105" s="1" t="n">
        <v>45884.3912037037</v>
      </c>
      <c r="C6105" s="1" t="n">
        <v>45962</v>
      </c>
      <c r="D6105" t="inlineStr">
        <is>
          <t>JÖNKÖPINGS LÄN</t>
        </is>
      </c>
      <c r="E6105" t="inlineStr">
        <is>
          <t>GNOSJÖ</t>
        </is>
      </c>
      <c r="G6105" t="n">
        <v>2.1</v>
      </c>
      <c r="H6105" t="n">
        <v>0</v>
      </c>
      <c r="I6105" t="n">
        <v>0</v>
      </c>
      <c r="J6105" t="n">
        <v>0</v>
      </c>
      <c r="K6105" t="n">
        <v>0</v>
      </c>
      <c r="L6105" t="n">
        <v>0</v>
      </c>
      <c r="M6105" t="n">
        <v>0</v>
      </c>
      <c r="N6105" t="n">
        <v>0</v>
      </c>
      <c r="O6105" t="n">
        <v>0</v>
      </c>
      <c r="P6105" t="n">
        <v>0</v>
      </c>
      <c r="Q6105" t="n">
        <v>0</v>
      </c>
      <c r="R6105" s="2" t="inlineStr"/>
    </row>
    <row r="6106" ht="15" customHeight="1">
      <c r="A6106" t="inlineStr">
        <is>
          <t>A 44568-2022</t>
        </is>
      </c>
      <c r="B6106" s="1" t="n">
        <v>44840.48739583333</v>
      </c>
      <c r="C6106" s="1" t="n">
        <v>45962</v>
      </c>
      <c r="D6106" t="inlineStr">
        <is>
          <t>JÖNKÖPINGS LÄN</t>
        </is>
      </c>
      <c r="E6106" t="inlineStr">
        <is>
          <t>GISLAVED</t>
        </is>
      </c>
      <c r="G6106" t="n">
        <v>2</v>
      </c>
      <c r="H6106" t="n">
        <v>0</v>
      </c>
      <c r="I6106" t="n">
        <v>0</v>
      </c>
      <c r="J6106" t="n">
        <v>0</v>
      </c>
      <c r="K6106" t="n">
        <v>0</v>
      </c>
      <c r="L6106" t="n">
        <v>0</v>
      </c>
      <c r="M6106" t="n">
        <v>0</v>
      </c>
      <c r="N6106" t="n">
        <v>0</v>
      </c>
      <c r="O6106" t="n">
        <v>0</v>
      </c>
      <c r="P6106" t="n">
        <v>0</v>
      </c>
      <c r="Q6106" t="n">
        <v>0</v>
      </c>
      <c r="R6106" s="2" t="inlineStr"/>
    </row>
    <row r="6107" ht="15" customHeight="1">
      <c r="A6107" t="inlineStr">
        <is>
          <t>A 63924-2023</t>
        </is>
      </c>
      <c r="B6107" s="1" t="n">
        <v>45278</v>
      </c>
      <c r="C6107" s="1" t="n">
        <v>45962</v>
      </c>
      <c r="D6107" t="inlineStr">
        <is>
          <t>JÖNKÖPINGS LÄN</t>
        </is>
      </c>
      <c r="E6107" t="inlineStr">
        <is>
          <t>VÄRNAMO</t>
        </is>
      </c>
      <c r="G6107" t="n">
        <v>0.8</v>
      </c>
      <c r="H6107" t="n">
        <v>0</v>
      </c>
      <c r="I6107" t="n">
        <v>0</v>
      </c>
      <c r="J6107" t="n">
        <v>0</v>
      </c>
      <c r="K6107" t="n">
        <v>0</v>
      </c>
      <c r="L6107" t="n">
        <v>0</v>
      </c>
      <c r="M6107" t="n">
        <v>0</v>
      </c>
      <c r="N6107" t="n">
        <v>0</v>
      </c>
      <c r="O6107" t="n">
        <v>0</v>
      </c>
      <c r="P6107" t="n">
        <v>0</v>
      </c>
      <c r="Q6107" t="n">
        <v>0</v>
      </c>
      <c r="R6107" s="2" t="inlineStr"/>
    </row>
    <row r="6108" ht="15" customHeight="1">
      <c r="A6108" t="inlineStr">
        <is>
          <t>A 38759-2025</t>
        </is>
      </c>
      <c r="B6108" s="1" t="n">
        <v>45887.39712962963</v>
      </c>
      <c r="C6108" s="1" t="n">
        <v>45962</v>
      </c>
      <c r="D6108" t="inlineStr">
        <is>
          <t>JÖNKÖPINGS LÄN</t>
        </is>
      </c>
      <c r="E6108" t="inlineStr">
        <is>
          <t>HABO</t>
        </is>
      </c>
      <c r="G6108" t="n">
        <v>1.9</v>
      </c>
      <c r="H6108" t="n">
        <v>0</v>
      </c>
      <c r="I6108" t="n">
        <v>0</v>
      </c>
      <c r="J6108" t="n">
        <v>0</v>
      </c>
      <c r="K6108" t="n">
        <v>0</v>
      </c>
      <c r="L6108" t="n">
        <v>0</v>
      </c>
      <c r="M6108" t="n">
        <v>0</v>
      </c>
      <c r="N6108" t="n">
        <v>0</v>
      </c>
      <c r="O6108" t="n">
        <v>0</v>
      </c>
      <c r="P6108" t="n">
        <v>0</v>
      </c>
      <c r="Q6108" t="n">
        <v>0</v>
      </c>
      <c r="R6108" s="2" t="inlineStr"/>
    </row>
    <row r="6109" ht="15" customHeight="1">
      <c r="A6109" t="inlineStr">
        <is>
          <t>A 63959-2023</t>
        </is>
      </c>
      <c r="B6109" s="1" t="n">
        <v>45278.65578703704</v>
      </c>
      <c r="C6109" s="1" t="n">
        <v>45962</v>
      </c>
      <c r="D6109" t="inlineStr">
        <is>
          <t>JÖNKÖPINGS LÄN</t>
        </is>
      </c>
      <c r="E6109" t="inlineStr">
        <is>
          <t>EKSJÖ</t>
        </is>
      </c>
      <c r="G6109" t="n">
        <v>0.5</v>
      </c>
      <c r="H6109" t="n">
        <v>0</v>
      </c>
      <c r="I6109" t="n">
        <v>0</v>
      </c>
      <c r="J6109" t="n">
        <v>0</v>
      </c>
      <c r="K6109" t="n">
        <v>0</v>
      </c>
      <c r="L6109" t="n">
        <v>0</v>
      </c>
      <c r="M6109" t="n">
        <v>0</v>
      </c>
      <c r="N6109" t="n">
        <v>0</v>
      </c>
      <c r="O6109" t="n">
        <v>0</v>
      </c>
      <c r="P6109" t="n">
        <v>0</v>
      </c>
      <c r="Q6109" t="n">
        <v>0</v>
      </c>
      <c r="R6109" s="2" t="inlineStr"/>
    </row>
    <row r="6110" ht="15" customHeight="1">
      <c r="A6110" t="inlineStr">
        <is>
          <t>A 31099-2023</t>
        </is>
      </c>
      <c r="B6110" s="1" t="n">
        <v>45113</v>
      </c>
      <c r="C6110" s="1" t="n">
        <v>45962</v>
      </c>
      <c r="D6110" t="inlineStr">
        <is>
          <t>JÖNKÖPINGS LÄN</t>
        </is>
      </c>
      <c r="E6110" t="inlineStr">
        <is>
          <t>VETLANDA</t>
        </is>
      </c>
      <c r="G6110" t="n">
        <v>6.7</v>
      </c>
      <c r="H6110" t="n">
        <v>0</v>
      </c>
      <c r="I6110" t="n">
        <v>0</v>
      </c>
      <c r="J6110" t="n">
        <v>0</v>
      </c>
      <c r="K6110" t="n">
        <v>0</v>
      </c>
      <c r="L6110" t="n">
        <v>0</v>
      </c>
      <c r="M6110" t="n">
        <v>0</v>
      </c>
      <c r="N6110" t="n">
        <v>0</v>
      </c>
      <c r="O6110" t="n">
        <v>0</v>
      </c>
      <c r="P6110" t="n">
        <v>0</v>
      </c>
      <c r="Q6110" t="n">
        <v>0</v>
      </c>
      <c r="R6110" s="2" t="inlineStr"/>
    </row>
    <row r="6111" ht="15" customHeight="1">
      <c r="A6111" t="inlineStr">
        <is>
          <t>A 1631-2024</t>
        </is>
      </c>
      <c r="B6111" s="1" t="n">
        <v>45306.66175925926</v>
      </c>
      <c r="C6111" s="1" t="n">
        <v>45962</v>
      </c>
      <c r="D6111" t="inlineStr">
        <is>
          <t>JÖNKÖPINGS LÄN</t>
        </is>
      </c>
      <c r="E6111" t="inlineStr">
        <is>
          <t>VETLANDA</t>
        </is>
      </c>
      <c r="G6111" t="n">
        <v>1.1</v>
      </c>
      <c r="H6111" t="n">
        <v>0</v>
      </c>
      <c r="I6111" t="n">
        <v>0</v>
      </c>
      <c r="J6111" t="n">
        <v>0</v>
      </c>
      <c r="K6111" t="n">
        <v>0</v>
      </c>
      <c r="L6111" t="n">
        <v>0</v>
      </c>
      <c r="M6111" t="n">
        <v>0</v>
      </c>
      <c r="N6111" t="n">
        <v>0</v>
      </c>
      <c r="O6111" t="n">
        <v>0</v>
      </c>
      <c r="P6111" t="n">
        <v>0</v>
      </c>
      <c r="Q6111" t="n">
        <v>0</v>
      </c>
      <c r="R6111" s="2" t="inlineStr"/>
    </row>
    <row r="6112" ht="15" customHeight="1">
      <c r="A6112" t="inlineStr">
        <is>
          <t>A 1633-2024</t>
        </is>
      </c>
      <c r="B6112" s="1" t="n">
        <v>45306.66362268518</v>
      </c>
      <c r="C6112" s="1" t="n">
        <v>45962</v>
      </c>
      <c r="D6112" t="inlineStr">
        <is>
          <t>JÖNKÖPINGS LÄN</t>
        </is>
      </c>
      <c r="E6112" t="inlineStr">
        <is>
          <t>VETLANDA</t>
        </is>
      </c>
      <c r="G6112" t="n">
        <v>3.4</v>
      </c>
      <c r="H6112" t="n">
        <v>0</v>
      </c>
      <c r="I6112" t="n">
        <v>0</v>
      </c>
      <c r="J6112" t="n">
        <v>0</v>
      </c>
      <c r="K6112" t="n">
        <v>0</v>
      </c>
      <c r="L6112" t="n">
        <v>0</v>
      </c>
      <c r="M6112" t="n">
        <v>0</v>
      </c>
      <c r="N6112" t="n">
        <v>0</v>
      </c>
      <c r="O6112" t="n">
        <v>0</v>
      </c>
      <c r="P6112" t="n">
        <v>0</v>
      </c>
      <c r="Q6112" t="n">
        <v>0</v>
      </c>
      <c r="R6112" s="2" t="inlineStr"/>
    </row>
    <row r="6113" ht="15" customHeight="1">
      <c r="A6113" t="inlineStr">
        <is>
          <t>A 38710-2025</t>
        </is>
      </c>
      <c r="B6113" s="1" t="n">
        <v>45885.84417824074</v>
      </c>
      <c r="C6113" s="1" t="n">
        <v>45962</v>
      </c>
      <c r="D6113" t="inlineStr">
        <is>
          <t>JÖNKÖPINGS LÄN</t>
        </is>
      </c>
      <c r="E6113" t="inlineStr">
        <is>
          <t>VÄRNAMO</t>
        </is>
      </c>
      <c r="G6113" t="n">
        <v>1.7</v>
      </c>
      <c r="H6113" t="n">
        <v>0</v>
      </c>
      <c r="I6113" t="n">
        <v>0</v>
      </c>
      <c r="J6113" t="n">
        <v>0</v>
      </c>
      <c r="K6113" t="n">
        <v>0</v>
      </c>
      <c r="L6113" t="n">
        <v>0</v>
      </c>
      <c r="M6113" t="n">
        <v>0</v>
      </c>
      <c r="N6113" t="n">
        <v>0</v>
      </c>
      <c r="O6113" t="n">
        <v>0</v>
      </c>
      <c r="P6113" t="n">
        <v>0</v>
      </c>
      <c r="Q6113" t="n">
        <v>0</v>
      </c>
      <c r="R6113" s="2" t="inlineStr"/>
    </row>
    <row r="6114" ht="15" customHeight="1">
      <c r="A6114" t="inlineStr">
        <is>
          <t>A 4153-2025</t>
        </is>
      </c>
      <c r="B6114" s="1" t="n">
        <v>45685</v>
      </c>
      <c r="C6114" s="1" t="n">
        <v>45962</v>
      </c>
      <c r="D6114" t="inlineStr">
        <is>
          <t>JÖNKÖPINGS LÄN</t>
        </is>
      </c>
      <c r="E6114" t="inlineStr">
        <is>
          <t>TRANÅS</t>
        </is>
      </c>
      <c r="G6114" t="n">
        <v>0.8</v>
      </c>
      <c r="H6114" t="n">
        <v>0</v>
      </c>
      <c r="I6114" t="n">
        <v>0</v>
      </c>
      <c r="J6114" t="n">
        <v>0</v>
      </c>
      <c r="K6114" t="n">
        <v>0</v>
      </c>
      <c r="L6114" t="n">
        <v>0</v>
      </c>
      <c r="M6114" t="n">
        <v>0</v>
      </c>
      <c r="N6114" t="n">
        <v>0</v>
      </c>
      <c r="O6114" t="n">
        <v>0</v>
      </c>
      <c r="P6114" t="n">
        <v>0</v>
      </c>
      <c r="Q6114" t="n">
        <v>0</v>
      </c>
      <c r="R6114" s="2" t="inlineStr"/>
    </row>
    <row r="6115" ht="15" customHeight="1">
      <c r="A6115" t="inlineStr">
        <is>
          <t>A 36053-2025</t>
        </is>
      </c>
      <c r="B6115" s="1" t="n">
        <v>45866.37346064814</v>
      </c>
      <c r="C6115" s="1" t="n">
        <v>45962</v>
      </c>
      <c r="D6115" t="inlineStr">
        <is>
          <t>JÖNKÖPINGS LÄN</t>
        </is>
      </c>
      <c r="E6115" t="inlineStr">
        <is>
          <t>VETLANDA</t>
        </is>
      </c>
      <c r="G6115" t="n">
        <v>3.6</v>
      </c>
      <c r="H6115" t="n">
        <v>0</v>
      </c>
      <c r="I6115" t="n">
        <v>0</v>
      </c>
      <c r="J6115" t="n">
        <v>0</v>
      </c>
      <c r="K6115" t="n">
        <v>0</v>
      </c>
      <c r="L6115" t="n">
        <v>0</v>
      </c>
      <c r="M6115" t="n">
        <v>0</v>
      </c>
      <c r="N6115" t="n">
        <v>0</v>
      </c>
      <c r="O6115" t="n">
        <v>0</v>
      </c>
      <c r="P6115" t="n">
        <v>0</v>
      </c>
      <c r="Q6115" t="n">
        <v>0</v>
      </c>
      <c r="R6115" s="2" t="inlineStr"/>
    </row>
    <row r="6116" ht="15" customHeight="1">
      <c r="A6116" t="inlineStr">
        <is>
          <t>A 4530-2022</t>
        </is>
      </c>
      <c r="B6116" s="1" t="n">
        <v>44590.09605324074</v>
      </c>
      <c r="C6116" s="1" t="n">
        <v>45962</v>
      </c>
      <c r="D6116" t="inlineStr">
        <is>
          <t>JÖNKÖPINGS LÄN</t>
        </is>
      </c>
      <c r="E6116" t="inlineStr">
        <is>
          <t>SÄVSJÖ</t>
        </is>
      </c>
      <c r="G6116" t="n">
        <v>0.7</v>
      </c>
      <c r="H6116" t="n">
        <v>0</v>
      </c>
      <c r="I6116" t="n">
        <v>0</v>
      </c>
      <c r="J6116" t="n">
        <v>0</v>
      </c>
      <c r="K6116" t="n">
        <v>0</v>
      </c>
      <c r="L6116" t="n">
        <v>0</v>
      </c>
      <c r="M6116" t="n">
        <v>0</v>
      </c>
      <c r="N6116" t="n">
        <v>0</v>
      </c>
      <c r="O6116" t="n">
        <v>0</v>
      </c>
      <c r="P6116" t="n">
        <v>0</v>
      </c>
      <c r="Q6116" t="n">
        <v>0</v>
      </c>
      <c r="R6116" s="2" t="inlineStr"/>
    </row>
    <row r="6117" ht="15" customHeight="1">
      <c r="A6117" t="inlineStr">
        <is>
          <t>A 41744-2024</t>
        </is>
      </c>
      <c r="B6117" s="1" t="n">
        <v>45561</v>
      </c>
      <c r="C6117" s="1" t="n">
        <v>45962</v>
      </c>
      <c r="D6117" t="inlineStr">
        <is>
          <t>JÖNKÖPINGS LÄN</t>
        </is>
      </c>
      <c r="E6117" t="inlineStr">
        <is>
          <t>VAGGERYD</t>
        </is>
      </c>
      <c r="G6117" t="n">
        <v>1</v>
      </c>
      <c r="H6117" t="n">
        <v>0</v>
      </c>
      <c r="I6117" t="n">
        <v>0</v>
      </c>
      <c r="J6117" t="n">
        <v>0</v>
      </c>
      <c r="K6117" t="n">
        <v>0</v>
      </c>
      <c r="L6117" t="n">
        <v>0</v>
      </c>
      <c r="M6117" t="n">
        <v>0</v>
      </c>
      <c r="N6117" t="n">
        <v>0</v>
      </c>
      <c r="O6117" t="n">
        <v>0</v>
      </c>
      <c r="P6117" t="n">
        <v>0</v>
      </c>
      <c r="Q6117" t="n">
        <v>0</v>
      </c>
      <c r="R6117" s="2" t="inlineStr"/>
    </row>
    <row r="6118" ht="15" customHeight="1">
      <c r="A6118" t="inlineStr">
        <is>
          <t>A 29223-2021</t>
        </is>
      </c>
      <c r="B6118" s="1" t="n">
        <v>44360.54226851852</v>
      </c>
      <c r="C6118" s="1" t="n">
        <v>45962</v>
      </c>
      <c r="D6118" t="inlineStr">
        <is>
          <t>JÖNKÖPINGS LÄN</t>
        </is>
      </c>
      <c r="E6118" t="inlineStr">
        <is>
          <t>JÖNKÖPING</t>
        </is>
      </c>
      <c r="G6118" t="n">
        <v>2</v>
      </c>
      <c r="H6118" t="n">
        <v>0</v>
      </c>
      <c r="I6118" t="n">
        <v>0</v>
      </c>
      <c r="J6118" t="n">
        <v>0</v>
      </c>
      <c r="K6118" t="n">
        <v>0</v>
      </c>
      <c r="L6118" t="n">
        <v>0</v>
      </c>
      <c r="M6118" t="n">
        <v>0</v>
      </c>
      <c r="N6118" t="n">
        <v>0</v>
      </c>
      <c r="O6118" t="n">
        <v>0</v>
      </c>
      <c r="P6118" t="n">
        <v>0</v>
      </c>
      <c r="Q6118" t="n">
        <v>0</v>
      </c>
      <c r="R6118" s="2" t="inlineStr"/>
    </row>
    <row r="6119" ht="15" customHeight="1">
      <c r="A6119" t="inlineStr">
        <is>
          <t>A 36442-2025</t>
        </is>
      </c>
      <c r="B6119" s="1" t="n">
        <v>45869.39899305555</v>
      </c>
      <c r="C6119" s="1" t="n">
        <v>45962</v>
      </c>
      <c r="D6119" t="inlineStr">
        <is>
          <t>JÖNKÖPINGS LÄN</t>
        </is>
      </c>
      <c r="E6119" t="inlineStr">
        <is>
          <t>VETLANDA</t>
        </is>
      </c>
      <c r="G6119" t="n">
        <v>0.8</v>
      </c>
      <c r="H6119" t="n">
        <v>0</v>
      </c>
      <c r="I6119" t="n">
        <v>0</v>
      </c>
      <c r="J6119" t="n">
        <v>0</v>
      </c>
      <c r="K6119" t="n">
        <v>0</v>
      </c>
      <c r="L6119" t="n">
        <v>0</v>
      </c>
      <c r="M6119" t="n">
        <v>0</v>
      </c>
      <c r="N6119" t="n">
        <v>0</v>
      </c>
      <c r="O6119" t="n">
        <v>0</v>
      </c>
      <c r="P6119" t="n">
        <v>0</v>
      </c>
      <c r="Q6119" t="n">
        <v>0</v>
      </c>
      <c r="R6119" s="2" t="inlineStr"/>
    </row>
    <row r="6120" ht="15" customHeight="1">
      <c r="A6120" t="inlineStr">
        <is>
          <t>A 17280-2021</t>
        </is>
      </c>
      <c r="B6120" s="1" t="n">
        <v>44298</v>
      </c>
      <c r="C6120" s="1" t="n">
        <v>45962</v>
      </c>
      <c r="D6120" t="inlineStr">
        <is>
          <t>JÖNKÖPINGS LÄN</t>
        </is>
      </c>
      <c r="E6120" t="inlineStr">
        <is>
          <t>TRANÅS</t>
        </is>
      </c>
      <c r="G6120" t="n">
        <v>1.6</v>
      </c>
      <c r="H6120" t="n">
        <v>0</v>
      </c>
      <c r="I6120" t="n">
        <v>0</v>
      </c>
      <c r="J6120" t="n">
        <v>0</v>
      </c>
      <c r="K6120" t="n">
        <v>0</v>
      </c>
      <c r="L6120" t="n">
        <v>0</v>
      </c>
      <c r="M6120" t="n">
        <v>0</v>
      </c>
      <c r="N6120" t="n">
        <v>0</v>
      </c>
      <c r="O6120" t="n">
        <v>0</v>
      </c>
      <c r="P6120" t="n">
        <v>0</v>
      </c>
      <c r="Q6120" t="n">
        <v>0</v>
      </c>
      <c r="R6120" s="2" t="inlineStr"/>
    </row>
    <row r="6121" ht="15" customHeight="1">
      <c r="A6121" t="inlineStr">
        <is>
          <t>A 49484-2023</t>
        </is>
      </c>
      <c r="B6121" s="1" t="n">
        <v>45205</v>
      </c>
      <c r="C6121" s="1" t="n">
        <v>45962</v>
      </c>
      <c r="D6121" t="inlineStr">
        <is>
          <t>JÖNKÖPINGS LÄN</t>
        </is>
      </c>
      <c r="E6121" t="inlineStr">
        <is>
          <t>ANEBY</t>
        </is>
      </c>
      <c r="F6121" t="inlineStr">
        <is>
          <t>Övriga Aktiebolag</t>
        </is>
      </c>
      <c r="G6121" t="n">
        <v>3.8</v>
      </c>
      <c r="H6121" t="n">
        <v>0</v>
      </c>
      <c r="I6121" t="n">
        <v>0</v>
      </c>
      <c r="J6121" t="n">
        <v>0</v>
      </c>
      <c r="K6121" t="n">
        <v>0</v>
      </c>
      <c r="L6121" t="n">
        <v>0</v>
      </c>
      <c r="M6121" t="n">
        <v>0</v>
      </c>
      <c r="N6121" t="n">
        <v>0</v>
      </c>
      <c r="O6121" t="n">
        <v>0</v>
      </c>
      <c r="P6121" t="n">
        <v>0</v>
      </c>
      <c r="Q6121" t="n">
        <v>0</v>
      </c>
      <c r="R6121" s="2" t="inlineStr"/>
    </row>
    <row r="6122" ht="15" customHeight="1">
      <c r="A6122" t="inlineStr">
        <is>
          <t>A 36343-2025</t>
        </is>
      </c>
      <c r="B6122" s="1" t="n">
        <v>45868</v>
      </c>
      <c r="C6122" s="1" t="n">
        <v>45962</v>
      </c>
      <c r="D6122" t="inlineStr">
        <is>
          <t>JÖNKÖPINGS LÄN</t>
        </is>
      </c>
      <c r="E6122" t="inlineStr">
        <is>
          <t>VÄRNAMO</t>
        </is>
      </c>
      <c r="G6122" t="n">
        <v>2</v>
      </c>
      <c r="H6122" t="n">
        <v>0</v>
      </c>
      <c r="I6122" t="n">
        <v>0</v>
      </c>
      <c r="J6122" t="n">
        <v>0</v>
      </c>
      <c r="K6122" t="n">
        <v>0</v>
      </c>
      <c r="L6122" t="n">
        <v>0</v>
      </c>
      <c r="M6122" t="n">
        <v>0</v>
      </c>
      <c r="N6122" t="n">
        <v>0</v>
      </c>
      <c r="O6122" t="n">
        <v>0</v>
      </c>
      <c r="P6122" t="n">
        <v>0</v>
      </c>
      <c r="Q6122" t="n">
        <v>0</v>
      </c>
      <c r="R6122" s="2" t="inlineStr"/>
    </row>
    <row r="6123" ht="15" customHeight="1">
      <c r="A6123" t="inlineStr">
        <is>
          <t>A 26024-2021</t>
        </is>
      </c>
      <c r="B6123" s="1" t="n">
        <v>44344</v>
      </c>
      <c r="C6123" s="1" t="n">
        <v>45962</v>
      </c>
      <c r="D6123" t="inlineStr">
        <is>
          <t>JÖNKÖPINGS LÄN</t>
        </is>
      </c>
      <c r="E6123" t="inlineStr">
        <is>
          <t>NÄSSJÖ</t>
        </is>
      </c>
      <c r="G6123" t="n">
        <v>3.7</v>
      </c>
      <c r="H6123" t="n">
        <v>0</v>
      </c>
      <c r="I6123" t="n">
        <v>0</v>
      </c>
      <c r="J6123" t="n">
        <v>0</v>
      </c>
      <c r="K6123" t="n">
        <v>0</v>
      </c>
      <c r="L6123" t="n">
        <v>0</v>
      </c>
      <c r="M6123" t="n">
        <v>0</v>
      </c>
      <c r="N6123" t="n">
        <v>0</v>
      </c>
      <c r="O6123" t="n">
        <v>0</v>
      </c>
      <c r="P6123" t="n">
        <v>0</v>
      </c>
      <c r="Q6123" t="n">
        <v>0</v>
      </c>
      <c r="R6123" s="2" t="inlineStr"/>
    </row>
    <row r="6124" ht="15" customHeight="1">
      <c r="A6124" t="inlineStr">
        <is>
          <t>A 36446-2025</t>
        </is>
      </c>
      <c r="B6124" s="1" t="n">
        <v>45869.40857638889</v>
      </c>
      <c r="C6124" s="1" t="n">
        <v>45962</v>
      </c>
      <c r="D6124" t="inlineStr">
        <is>
          <t>JÖNKÖPINGS LÄN</t>
        </is>
      </c>
      <c r="E6124" t="inlineStr">
        <is>
          <t>VETLANDA</t>
        </is>
      </c>
      <c r="G6124" t="n">
        <v>5.4</v>
      </c>
      <c r="H6124" t="n">
        <v>0</v>
      </c>
      <c r="I6124" t="n">
        <v>0</v>
      </c>
      <c r="J6124" t="n">
        <v>0</v>
      </c>
      <c r="K6124" t="n">
        <v>0</v>
      </c>
      <c r="L6124" t="n">
        <v>0</v>
      </c>
      <c r="M6124" t="n">
        <v>0</v>
      </c>
      <c r="N6124" t="n">
        <v>0</v>
      </c>
      <c r="O6124" t="n">
        <v>0</v>
      </c>
      <c r="P6124" t="n">
        <v>0</v>
      </c>
      <c r="Q6124" t="n">
        <v>0</v>
      </c>
      <c r="R6124" s="2" t="inlineStr"/>
    </row>
    <row r="6125" ht="15" customHeight="1">
      <c r="A6125" t="inlineStr">
        <is>
          <t>A 46985-2024</t>
        </is>
      </c>
      <c r="B6125" s="1" t="n">
        <v>45583</v>
      </c>
      <c r="C6125" s="1" t="n">
        <v>45962</v>
      </c>
      <c r="D6125" t="inlineStr">
        <is>
          <t>JÖNKÖPINGS LÄN</t>
        </is>
      </c>
      <c r="E6125" t="inlineStr">
        <is>
          <t>VÄRNAMO</t>
        </is>
      </c>
      <c r="G6125" t="n">
        <v>3.2</v>
      </c>
      <c r="H6125" t="n">
        <v>0</v>
      </c>
      <c r="I6125" t="n">
        <v>0</v>
      </c>
      <c r="J6125" t="n">
        <v>0</v>
      </c>
      <c r="K6125" t="n">
        <v>0</v>
      </c>
      <c r="L6125" t="n">
        <v>0</v>
      </c>
      <c r="M6125" t="n">
        <v>0</v>
      </c>
      <c r="N6125" t="n">
        <v>0</v>
      </c>
      <c r="O6125" t="n">
        <v>0</v>
      </c>
      <c r="P6125" t="n">
        <v>0</v>
      </c>
      <c r="Q6125" t="n">
        <v>0</v>
      </c>
      <c r="R6125" s="2" t="inlineStr"/>
    </row>
    <row r="6126" ht="15" customHeight="1">
      <c r="A6126" t="inlineStr">
        <is>
          <t>A 48030-2023</t>
        </is>
      </c>
      <c r="B6126" s="1" t="n">
        <v>45204</v>
      </c>
      <c r="C6126" s="1" t="n">
        <v>45962</v>
      </c>
      <c r="D6126" t="inlineStr">
        <is>
          <t>JÖNKÖPINGS LÄN</t>
        </is>
      </c>
      <c r="E6126" t="inlineStr">
        <is>
          <t>EKSJÖ</t>
        </is>
      </c>
      <c r="F6126" t="inlineStr">
        <is>
          <t>Sveaskog</t>
        </is>
      </c>
      <c r="G6126" t="n">
        <v>1.3</v>
      </c>
      <c r="H6126" t="n">
        <v>0</v>
      </c>
      <c r="I6126" t="n">
        <v>0</v>
      </c>
      <c r="J6126" t="n">
        <v>0</v>
      </c>
      <c r="K6126" t="n">
        <v>0</v>
      </c>
      <c r="L6126" t="n">
        <v>0</v>
      </c>
      <c r="M6126" t="n">
        <v>0</v>
      </c>
      <c r="N6126" t="n">
        <v>0</v>
      </c>
      <c r="O6126" t="n">
        <v>0</v>
      </c>
      <c r="P6126" t="n">
        <v>0</v>
      </c>
      <c r="Q6126" t="n">
        <v>0</v>
      </c>
      <c r="R6126" s="2" t="inlineStr"/>
    </row>
    <row r="6127" ht="15" customHeight="1">
      <c r="A6127" t="inlineStr">
        <is>
          <t>A 45485-2022</t>
        </is>
      </c>
      <c r="B6127" s="1" t="n">
        <v>44845.40542824074</v>
      </c>
      <c r="C6127" s="1" t="n">
        <v>45962</v>
      </c>
      <c r="D6127" t="inlineStr">
        <is>
          <t>JÖNKÖPINGS LÄN</t>
        </is>
      </c>
      <c r="E6127" t="inlineStr">
        <is>
          <t>EKSJÖ</t>
        </is>
      </c>
      <c r="G6127" t="n">
        <v>2.7</v>
      </c>
      <c r="H6127" t="n">
        <v>0</v>
      </c>
      <c r="I6127" t="n">
        <v>0</v>
      </c>
      <c r="J6127" t="n">
        <v>0</v>
      </c>
      <c r="K6127" t="n">
        <v>0</v>
      </c>
      <c r="L6127" t="n">
        <v>0</v>
      </c>
      <c r="M6127" t="n">
        <v>0</v>
      </c>
      <c r="N6127" t="n">
        <v>0</v>
      </c>
      <c r="O6127" t="n">
        <v>0</v>
      </c>
      <c r="P6127" t="n">
        <v>0</v>
      </c>
      <c r="Q6127" t="n">
        <v>0</v>
      </c>
      <c r="R6127" s="2" t="inlineStr"/>
    </row>
    <row r="6128" ht="15" customHeight="1">
      <c r="A6128" t="inlineStr">
        <is>
          <t>A 46536-2025</t>
        </is>
      </c>
      <c r="B6128" s="1" t="n">
        <v>45926.34168981481</v>
      </c>
      <c r="C6128" s="1" t="n">
        <v>45962</v>
      </c>
      <c r="D6128" t="inlineStr">
        <is>
          <t>JÖNKÖPINGS LÄN</t>
        </is>
      </c>
      <c r="E6128" t="inlineStr">
        <is>
          <t>MULLSJÖ</t>
        </is>
      </c>
      <c r="G6128" t="n">
        <v>3.5</v>
      </c>
      <c r="H6128" t="n">
        <v>0</v>
      </c>
      <c r="I6128" t="n">
        <v>0</v>
      </c>
      <c r="J6128" t="n">
        <v>0</v>
      </c>
      <c r="K6128" t="n">
        <v>0</v>
      </c>
      <c r="L6128" t="n">
        <v>0</v>
      </c>
      <c r="M6128" t="n">
        <v>0</v>
      </c>
      <c r="N6128" t="n">
        <v>0</v>
      </c>
      <c r="O6128" t="n">
        <v>0</v>
      </c>
      <c r="P6128" t="n">
        <v>0</v>
      </c>
      <c r="Q6128" t="n">
        <v>0</v>
      </c>
      <c r="R6128" s="2" t="inlineStr"/>
    </row>
    <row r="6129" ht="15" customHeight="1">
      <c r="A6129" t="inlineStr">
        <is>
          <t>A 36335-2025</t>
        </is>
      </c>
      <c r="B6129" s="1" t="n">
        <v>45868.43549768518</v>
      </c>
      <c r="C6129" s="1" t="n">
        <v>45962</v>
      </c>
      <c r="D6129" t="inlineStr">
        <is>
          <t>JÖNKÖPINGS LÄN</t>
        </is>
      </c>
      <c r="E6129" t="inlineStr">
        <is>
          <t>GNOSJÖ</t>
        </is>
      </c>
      <c r="G6129" t="n">
        <v>3.5</v>
      </c>
      <c r="H6129" t="n">
        <v>0</v>
      </c>
      <c r="I6129" t="n">
        <v>0</v>
      </c>
      <c r="J6129" t="n">
        <v>0</v>
      </c>
      <c r="K6129" t="n">
        <v>0</v>
      </c>
      <c r="L6129" t="n">
        <v>0</v>
      </c>
      <c r="M6129" t="n">
        <v>0</v>
      </c>
      <c r="N6129" t="n">
        <v>0</v>
      </c>
      <c r="O6129" t="n">
        <v>0</v>
      </c>
      <c r="P6129" t="n">
        <v>0</v>
      </c>
      <c r="Q6129" t="n">
        <v>0</v>
      </c>
      <c r="R6129" s="2" t="inlineStr"/>
    </row>
    <row r="6130" ht="15" customHeight="1">
      <c r="A6130" t="inlineStr">
        <is>
          <t>A 36339-2025</t>
        </is>
      </c>
      <c r="B6130" s="1" t="n">
        <v>45868</v>
      </c>
      <c r="C6130" s="1" t="n">
        <v>45962</v>
      </c>
      <c r="D6130" t="inlineStr">
        <is>
          <t>JÖNKÖPINGS LÄN</t>
        </is>
      </c>
      <c r="E6130" t="inlineStr">
        <is>
          <t>VÄRNAMO</t>
        </is>
      </c>
      <c r="G6130" t="n">
        <v>1.6</v>
      </c>
      <c r="H6130" t="n">
        <v>0</v>
      </c>
      <c r="I6130" t="n">
        <v>0</v>
      </c>
      <c r="J6130" t="n">
        <v>0</v>
      </c>
      <c r="K6130" t="n">
        <v>0</v>
      </c>
      <c r="L6130" t="n">
        <v>0</v>
      </c>
      <c r="M6130" t="n">
        <v>0</v>
      </c>
      <c r="N6130" t="n">
        <v>0</v>
      </c>
      <c r="O6130" t="n">
        <v>0</v>
      </c>
      <c r="P6130" t="n">
        <v>0</v>
      </c>
      <c r="Q6130" t="n">
        <v>0</v>
      </c>
      <c r="R6130" s="2" t="inlineStr"/>
    </row>
    <row r="6131" ht="15" customHeight="1">
      <c r="A6131" t="inlineStr">
        <is>
          <t>A 8351-2025</t>
        </is>
      </c>
      <c r="B6131" s="1" t="n">
        <v>45708.71021990741</v>
      </c>
      <c r="C6131" s="1" t="n">
        <v>45962</v>
      </c>
      <c r="D6131" t="inlineStr">
        <is>
          <t>JÖNKÖPINGS LÄN</t>
        </is>
      </c>
      <c r="E6131" t="inlineStr">
        <is>
          <t>NÄSSJÖ</t>
        </is>
      </c>
      <c r="G6131" t="n">
        <v>0.7</v>
      </c>
      <c r="H6131" t="n">
        <v>0</v>
      </c>
      <c r="I6131" t="n">
        <v>0</v>
      </c>
      <c r="J6131" t="n">
        <v>0</v>
      </c>
      <c r="K6131" t="n">
        <v>0</v>
      </c>
      <c r="L6131" t="n">
        <v>0</v>
      </c>
      <c r="M6131" t="n">
        <v>0</v>
      </c>
      <c r="N6131" t="n">
        <v>0</v>
      </c>
      <c r="O6131" t="n">
        <v>0</v>
      </c>
      <c r="P6131" t="n">
        <v>0</v>
      </c>
      <c r="Q6131" t="n">
        <v>0</v>
      </c>
      <c r="R6131" s="2" t="inlineStr"/>
    </row>
    <row r="6132" ht="15" customHeight="1">
      <c r="A6132" t="inlineStr">
        <is>
          <t>A 36331-2025</t>
        </is>
      </c>
      <c r="B6132" s="1" t="n">
        <v>45868.42884259259</v>
      </c>
      <c r="C6132" s="1" t="n">
        <v>45962</v>
      </c>
      <c r="D6132" t="inlineStr">
        <is>
          <t>JÖNKÖPINGS LÄN</t>
        </is>
      </c>
      <c r="E6132" t="inlineStr">
        <is>
          <t>GNOSJÖ</t>
        </is>
      </c>
      <c r="G6132" t="n">
        <v>1.1</v>
      </c>
      <c r="H6132" t="n">
        <v>0</v>
      </c>
      <c r="I6132" t="n">
        <v>0</v>
      </c>
      <c r="J6132" t="n">
        <v>0</v>
      </c>
      <c r="K6132" t="n">
        <v>0</v>
      </c>
      <c r="L6132" t="n">
        <v>0</v>
      </c>
      <c r="M6132" t="n">
        <v>0</v>
      </c>
      <c r="N6132" t="n">
        <v>0</v>
      </c>
      <c r="O6132" t="n">
        <v>0</v>
      </c>
      <c r="P6132" t="n">
        <v>0</v>
      </c>
      <c r="Q6132" t="n">
        <v>0</v>
      </c>
      <c r="R6132" s="2" t="inlineStr"/>
    </row>
    <row r="6133" ht="15" customHeight="1">
      <c r="A6133" t="inlineStr">
        <is>
          <t>A 46848-2025</t>
        </is>
      </c>
      <c r="B6133" s="1" t="n">
        <v>45928.71738425926</v>
      </c>
      <c r="C6133" s="1" t="n">
        <v>45962</v>
      </c>
      <c r="D6133" t="inlineStr">
        <is>
          <t>JÖNKÖPINGS LÄN</t>
        </is>
      </c>
      <c r="E6133" t="inlineStr">
        <is>
          <t>MULLSJÖ</t>
        </is>
      </c>
      <c r="G6133" t="n">
        <v>0.4</v>
      </c>
      <c r="H6133" t="n">
        <v>0</v>
      </c>
      <c r="I6133" t="n">
        <v>0</v>
      </c>
      <c r="J6133" t="n">
        <v>0</v>
      </c>
      <c r="K6133" t="n">
        <v>0</v>
      </c>
      <c r="L6133" t="n">
        <v>0</v>
      </c>
      <c r="M6133" t="n">
        <v>0</v>
      </c>
      <c r="N6133" t="n">
        <v>0</v>
      </c>
      <c r="O6133" t="n">
        <v>0</v>
      </c>
      <c r="P6133" t="n">
        <v>0</v>
      </c>
      <c r="Q6133" t="n">
        <v>0</v>
      </c>
      <c r="R6133" s="2" t="inlineStr"/>
    </row>
    <row r="6134" ht="15" customHeight="1">
      <c r="A6134" t="inlineStr">
        <is>
          <t>A 36337-2025</t>
        </is>
      </c>
      <c r="B6134" s="1" t="n">
        <v>45868.45327546296</v>
      </c>
      <c r="C6134" s="1" t="n">
        <v>45962</v>
      </c>
      <c r="D6134" t="inlineStr">
        <is>
          <t>JÖNKÖPINGS LÄN</t>
        </is>
      </c>
      <c r="E6134" t="inlineStr">
        <is>
          <t>VÄRNAMO</t>
        </is>
      </c>
      <c r="G6134" t="n">
        <v>2.3</v>
      </c>
      <c r="H6134" t="n">
        <v>0</v>
      </c>
      <c r="I6134" t="n">
        <v>0</v>
      </c>
      <c r="J6134" t="n">
        <v>0</v>
      </c>
      <c r="K6134" t="n">
        <v>0</v>
      </c>
      <c r="L6134" t="n">
        <v>0</v>
      </c>
      <c r="M6134" t="n">
        <v>0</v>
      </c>
      <c r="N6134" t="n">
        <v>0</v>
      </c>
      <c r="O6134" t="n">
        <v>0</v>
      </c>
      <c r="P6134" t="n">
        <v>0</v>
      </c>
      <c r="Q6134" t="n">
        <v>0</v>
      </c>
      <c r="R6134" s="2" t="inlineStr"/>
    </row>
    <row r="6135" ht="15" customHeight="1">
      <c r="A6135" t="inlineStr">
        <is>
          <t>A 46971-2025</t>
        </is>
      </c>
      <c r="B6135" s="1" t="n">
        <v>45929.50806712963</v>
      </c>
      <c r="C6135" s="1" t="n">
        <v>45962</v>
      </c>
      <c r="D6135" t="inlineStr">
        <is>
          <t>JÖNKÖPINGS LÄN</t>
        </is>
      </c>
      <c r="E6135" t="inlineStr">
        <is>
          <t>GNOSJÖ</t>
        </is>
      </c>
      <c r="G6135" t="n">
        <v>13.5</v>
      </c>
      <c r="H6135" t="n">
        <v>0</v>
      </c>
      <c r="I6135" t="n">
        <v>0</v>
      </c>
      <c r="J6135" t="n">
        <v>0</v>
      </c>
      <c r="K6135" t="n">
        <v>0</v>
      </c>
      <c r="L6135" t="n">
        <v>0</v>
      </c>
      <c r="M6135" t="n">
        <v>0</v>
      </c>
      <c r="N6135" t="n">
        <v>0</v>
      </c>
      <c r="O6135" t="n">
        <v>0</v>
      </c>
      <c r="P6135" t="n">
        <v>0</v>
      </c>
      <c r="Q6135" t="n">
        <v>0</v>
      </c>
      <c r="R6135" s="2" t="inlineStr"/>
    </row>
    <row r="6136" ht="15" customHeight="1">
      <c r="A6136" t="inlineStr">
        <is>
          <t>A 5290-2025</t>
        </is>
      </c>
      <c r="B6136" s="1" t="n">
        <v>45692</v>
      </c>
      <c r="C6136" s="1" t="n">
        <v>45962</v>
      </c>
      <c r="D6136" t="inlineStr">
        <is>
          <t>JÖNKÖPINGS LÄN</t>
        </is>
      </c>
      <c r="E6136" t="inlineStr">
        <is>
          <t>NÄSSJÖ</t>
        </is>
      </c>
      <c r="G6136" t="n">
        <v>7.4</v>
      </c>
      <c r="H6136" t="n">
        <v>0</v>
      </c>
      <c r="I6136" t="n">
        <v>0</v>
      </c>
      <c r="J6136" t="n">
        <v>0</v>
      </c>
      <c r="K6136" t="n">
        <v>0</v>
      </c>
      <c r="L6136" t="n">
        <v>0</v>
      </c>
      <c r="M6136" t="n">
        <v>0</v>
      </c>
      <c r="N6136" t="n">
        <v>0</v>
      </c>
      <c r="O6136" t="n">
        <v>0</v>
      </c>
      <c r="P6136" t="n">
        <v>0</v>
      </c>
      <c r="Q6136" t="n">
        <v>0</v>
      </c>
      <c r="R6136" s="2" t="inlineStr"/>
    </row>
    <row r="6137" ht="15" customHeight="1">
      <c r="A6137" t="inlineStr">
        <is>
          <t>A 46812-2025</t>
        </is>
      </c>
      <c r="B6137" s="1" t="n">
        <v>45926.69854166666</v>
      </c>
      <c r="C6137" s="1" t="n">
        <v>45962</v>
      </c>
      <c r="D6137" t="inlineStr">
        <is>
          <t>JÖNKÖPINGS LÄN</t>
        </is>
      </c>
      <c r="E6137" t="inlineStr">
        <is>
          <t>NÄSSJÖ</t>
        </is>
      </c>
      <c r="G6137" t="n">
        <v>0.8</v>
      </c>
      <c r="H6137" t="n">
        <v>0</v>
      </c>
      <c r="I6137" t="n">
        <v>0</v>
      </c>
      <c r="J6137" t="n">
        <v>0</v>
      </c>
      <c r="K6137" t="n">
        <v>0</v>
      </c>
      <c r="L6137" t="n">
        <v>0</v>
      </c>
      <c r="M6137" t="n">
        <v>0</v>
      </c>
      <c r="N6137" t="n">
        <v>0</v>
      </c>
      <c r="O6137" t="n">
        <v>0</v>
      </c>
      <c r="P6137" t="n">
        <v>0</v>
      </c>
      <c r="Q6137" t="n">
        <v>0</v>
      </c>
      <c r="R6137" s="2" t="inlineStr"/>
    </row>
    <row r="6138" ht="15" customHeight="1">
      <c r="A6138" t="inlineStr">
        <is>
          <t>A 563-2023</t>
        </is>
      </c>
      <c r="B6138" s="1" t="n">
        <v>44930.4865162037</v>
      </c>
      <c r="C6138" s="1" t="n">
        <v>45962</v>
      </c>
      <c r="D6138" t="inlineStr">
        <is>
          <t>JÖNKÖPINGS LÄN</t>
        </is>
      </c>
      <c r="E6138" t="inlineStr">
        <is>
          <t>VAGGERYD</t>
        </is>
      </c>
      <c r="G6138" t="n">
        <v>7</v>
      </c>
      <c r="H6138" t="n">
        <v>0</v>
      </c>
      <c r="I6138" t="n">
        <v>0</v>
      </c>
      <c r="J6138" t="n">
        <v>0</v>
      </c>
      <c r="K6138" t="n">
        <v>0</v>
      </c>
      <c r="L6138" t="n">
        <v>0</v>
      </c>
      <c r="M6138" t="n">
        <v>0</v>
      </c>
      <c r="N6138" t="n">
        <v>0</v>
      </c>
      <c r="O6138" t="n">
        <v>0</v>
      </c>
      <c r="P6138" t="n">
        <v>0</v>
      </c>
      <c r="Q6138" t="n">
        <v>0</v>
      </c>
      <c r="R6138" s="2" t="inlineStr"/>
    </row>
    <row r="6139" ht="15" customHeight="1">
      <c r="A6139" t="inlineStr">
        <is>
          <t>A 3351-2024</t>
        </is>
      </c>
      <c r="B6139" s="1" t="n">
        <v>45317</v>
      </c>
      <c r="C6139" s="1" t="n">
        <v>45962</v>
      </c>
      <c r="D6139" t="inlineStr">
        <is>
          <t>JÖNKÖPINGS LÄN</t>
        </is>
      </c>
      <c r="E6139" t="inlineStr">
        <is>
          <t>GISLAVED</t>
        </is>
      </c>
      <c r="G6139" t="n">
        <v>2.5</v>
      </c>
      <c r="H6139" t="n">
        <v>0</v>
      </c>
      <c r="I6139" t="n">
        <v>0</v>
      </c>
      <c r="J6139" t="n">
        <v>0</v>
      </c>
      <c r="K6139" t="n">
        <v>0</v>
      </c>
      <c r="L6139" t="n">
        <v>0</v>
      </c>
      <c r="M6139" t="n">
        <v>0</v>
      </c>
      <c r="N6139" t="n">
        <v>0</v>
      </c>
      <c r="O6139" t="n">
        <v>0</v>
      </c>
      <c r="P6139" t="n">
        <v>0</v>
      </c>
      <c r="Q6139" t="n">
        <v>0</v>
      </c>
      <c r="R6139" s="2" t="inlineStr"/>
    </row>
    <row r="6140" ht="15" customHeight="1">
      <c r="A6140" t="inlineStr">
        <is>
          <t>A 2871-2021</t>
        </is>
      </c>
      <c r="B6140" s="1" t="n">
        <v>44214</v>
      </c>
      <c r="C6140" s="1" t="n">
        <v>45962</v>
      </c>
      <c r="D6140" t="inlineStr">
        <is>
          <t>JÖNKÖPINGS LÄN</t>
        </is>
      </c>
      <c r="E6140" t="inlineStr">
        <is>
          <t>VETLANDA</t>
        </is>
      </c>
      <c r="G6140" t="n">
        <v>0.7</v>
      </c>
      <c r="H6140" t="n">
        <v>0</v>
      </c>
      <c r="I6140" t="n">
        <v>0</v>
      </c>
      <c r="J6140" t="n">
        <v>0</v>
      </c>
      <c r="K6140" t="n">
        <v>0</v>
      </c>
      <c r="L6140" t="n">
        <v>0</v>
      </c>
      <c r="M6140" t="n">
        <v>0</v>
      </c>
      <c r="N6140" t="n">
        <v>0</v>
      </c>
      <c r="O6140" t="n">
        <v>0</v>
      </c>
      <c r="P6140" t="n">
        <v>0</v>
      </c>
      <c r="Q6140" t="n">
        <v>0</v>
      </c>
      <c r="R6140" s="2" t="inlineStr"/>
    </row>
    <row r="6141" ht="15" customHeight="1">
      <c r="A6141" t="inlineStr">
        <is>
          <t>A 8989-2023</t>
        </is>
      </c>
      <c r="B6141" s="1" t="n">
        <v>44974</v>
      </c>
      <c r="C6141" s="1" t="n">
        <v>45962</v>
      </c>
      <c r="D6141" t="inlineStr">
        <is>
          <t>JÖNKÖPINGS LÄN</t>
        </is>
      </c>
      <c r="E6141" t="inlineStr">
        <is>
          <t>NÄSSJÖ</t>
        </is>
      </c>
      <c r="G6141" t="n">
        <v>3.6</v>
      </c>
      <c r="H6141" t="n">
        <v>0</v>
      </c>
      <c r="I6141" t="n">
        <v>0</v>
      </c>
      <c r="J6141" t="n">
        <v>0</v>
      </c>
      <c r="K6141" t="n">
        <v>0</v>
      </c>
      <c r="L6141" t="n">
        <v>0</v>
      </c>
      <c r="M6141" t="n">
        <v>0</v>
      </c>
      <c r="N6141" t="n">
        <v>0</v>
      </c>
      <c r="O6141" t="n">
        <v>0</v>
      </c>
      <c r="P6141" t="n">
        <v>0</v>
      </c>
      <c r="Q6141" t="n">
        <v>0</v>
      </c>
      <c r="R6141" s="2" t="inlineStr"/>
    </row>
    <row r="6142" ht="15" customHeight="1">
      <c r="A6142" t="inlineStr">
        <is>
          <t>A 1794-2023</t>
        </is>
      </c>
      <c r="B6142" s="1" t="n">
        <v>44938.6234837963</v>
      </c>
      <c r="C6142" s="1" t="n">
        <v>45962</v>
      </c>
      <c r="D6142" t="inlineStr">
        <is>
          <t>JÖNKÖPINGS LÄN</t>
        </is>
      </c>
      <c r="E6142" t="inlineStr">
        <is>
          <t>MULLSJÖ</t>
        </is>
      </c>
      <c r="G6142" t="n">
        <v>0.9</v>
      </c>
      <c r="H6142" t="n">
        <v>0</v>
      </c>
      <c r="I6142" t="n">
        <v>0</v>
      </c>
      <c r="J6142" t="n">
        <v>0</v>
      </c>
      <c r="K6142" t="n">
        <v>0</v>
      </c>
      <c r="L6142" t="n">
        <v>0</v>
      </c>
      <c r="M6142" t="n">
        <v>0</v>
      </c>
      <c r="N6142" t="n">
        <v>0</v>
      </c>
      <c r="O6142" t="n">
        <v>0</v>
      </c>
      <c r="P6142" t="n">
        <v>0</v>
      </c>
      <c r="Q6142" t="n">
        <v>0</v>
      </c>
      <c r="R6142" s="2" t="inlineStr"/>
    </row>
    <row r="6143" ht="15" customHeight="1">
      <c r="A6143" t="inlineStr">
        <is>
          <t>A 58600-2024</t>
        </is>
      </c>
      <c r="B6143" s="1" t="n">
        <v>45635.54247685185</v>
      </c>
      <c r="C6143" s="1" t="n">
        <v>45962</v>
      </c>
      <c r="D6143" t="inlineStr">
        <is>
          <t>JÖNKÖPINGS LÄN</t>
        </is>
      </c>
      <c r="E6143" t="inlineStr">
        <is>
          <t>VAGGERYD</t>
        </is>
      </c>
      <c r="F6143" t="inlineStr">
        <is>
          <t>Sveaskog</t>
        </is>
      </c>
      <c r="G6143" t="n">
        <v>1.2</v>
      </c>
      <c r="H6143" t="n">
        <v>0</v>
      </c>
      <c r="I6143" t="n">
        <v>0</v>
      </c>
      <c r="J6143" t="n">
        <v>0</v>
      </c>
      <c r="K6143" t="n">
        <v>0</v>
      </c>
      <c r="L6143" t="n">
        <v>0</v>
      </c>
      <c r="M6143" t="n">
        <v>0</v>
      </c>
      <c r="N6143" t="n">
        <v>0</v>
      </c>
      <c r="O6143" t="n">
        <v>0</v>
      </c>
      <c r="P6143" t="n">
        <v>0</v>
      </c>
      <c r="Q6143" t="n">
        <v>0</v>
      </c>
      <c r="R6143" s="2" t="inlineStr"/>
    </row>
    <row r="6144" ht="15" customHeight="1">
      <c r="A6144" t="inlineStr">
        <is>
          <t>A 58607-2024</t>
        </is>
      </c>
      <c r="B6144" s="1" t="n">
        <v>45635.55002314815</v>
      </c>
      <c r="C6144" s="1" t="n">
        <v>45962</v>
      </c>
      <c r="D6144" t="inlineStr">
        <is>
          <t>JÖNKÖPINGS LÄN</t>
        </is>
      </c>
      <c r="E6144" t="inlineStr">
        <is>
          <t>VAGGERYD</t>
        </is>
      </c>
      <c r="F6144" t="inlineStr">
        <is>
          <t>Sveaskog</t>
        </is>
      </c>
      <c r="G6144" t="n">
        <v>2.3</v>
      </c>
      <c r="H6144" t="n">
        <v>0</v>
      </c>
      <c r="I6144" t="n">
        <v>0</v>
      </c>
      <c r="J6144" t="n">
        <v>0</v>
      </c>
      <c r="K6144" t="n">
        <v>0</v>
      </c>
      <c r="L6144" t="n">
        <v>0</v>
      </c>
      <c r="M6144" t="n">
        <v>0</v>
      </c>
      <c r="N6144" t="n">
        <v>0</v>
      </c>
      <c r="O6144" t="n">
        <v>0</v>
      </c>
      <c r="P6144" t="n">
        <v>0</v>
      </c>
      <c r="Q6144" t="n">
        <v>0</v>
      </c>
      <c r="R6144" s="2" t="inlineStr"/>
    </row>
    <row r="6145" ht="15" customHeight="1">
      <c r="A6145" t="inlineStr">
        <is>
          <t>A 34914-2022</t>
        </is>
      </c>
      <c r="B6145" s="1" t="n">
        <v>44796</v>
      </c>
      <c r="C6145" s="1" t="n">
        <v>45962</v>
      </c>
      <c r="D6145" t="inlineStr">
        <is>
          <t>JÖNKÖPINGS LÄN</t>
        </is>
      </c>
      <c r="E6145" t="inlineStr">
        <is>
          <t>MULLSJÖ</t>
        </is>
      </c>
      <c r="G6145" t="n">
        <v>2.7</v>
      </c>
      <c r="H6145" t="n">
        <v>0</v>
      </c>
      <c r="I6145" t="n">
        <v>0</v>
      </c>
      <c r="J6145" t="n">
        <v>0</v>
      </c>
      <c r="K6145" t="n">
        <v>0</v>
      </c>
      <c r="L6145" t="n">
        <v>0</v>
      </c>
      <c r="M6145" t="n">
        <v>0</v>
      </c>
      <c r="N6145" t="n">
        <v>0</v>
      </c>
      <c r="O6145" t="n">
        <v>0</v>
      </c>
      <c r="P6145" t="n">
        <v>0</v>
      </c>
      <c r="Q6145" t="n">
        <v>0</v>
      </c>
      <c r="R6145" s="2" t="inlineStr"/>
    </row>
    <row r="6146" ht="15" customHeight="1">
      <c r="A6146" t="inlineStr">
        <is>
          <t>A 38773-2025</t>
        </is>
      </c>
      <c r="B6146" s="1" t="n">
        <v>45887.42351851852</v>
      </c>
      <c r="C6146" s="1" t="n">
        <v>45962</v>
      </c>
      <c r="D6146" t="inlineStr">
        <is>
          <t>JÖNKÖPINGS LÄN</t>
        </is>
      </c>
      <c r="E6146" t="inlineStr">
        <is>
          <t>VETLANDA</t>
        </is>
      </c>
      <c r="G6146" t="n">
        <v>0.8</v>
      </c>
      <c r="H6146" t="n">
        <v>0</v>
      </c>
      <c r="I6146" t="n">
        <v>0</v>
      </c>
      <c r="J6146" t="n">
        <v>0</v>
      </c>
      <c r="K6146" t="n">
        <v>0</v>
      </c>
      <c r="L6146" t="n">
        <v>0</v>
      </c>
      <c r="M6146" t="n">
        <v>0</v>
      </c>
      <c r="N6146" t="n">
        <v>0</v>
      </c>
      <c r="O6146" t="n">
        <v>0</v>
      </c>
      <c r="P6146" t="n">
        <v>0</v>
      </c>
      <c r="Q6146" t="n">
        <v>0</v>
      </c>
      <c r="R6146" s="2" t="inlineStr"/>
    </row>
    <row r="6147" ht="15" customHeight="1">
      <c r="A6147" t="inlineStr">
        <is>
          <t>A 22173-2022</t>
        </is>
      </c>
      <c r="B6147" s="1" t="n">
        <v>44712</v>
      </c>
      <c r="C6147" s="1" t="n">
        <v>45962</v>
      </c>
      <c r="D6147" t="inlineStr">
        <is>
          <t>JÖNKÖPINGS LÄN</t>
        </is>
      </c>
      <c r="E6147" t="inlineStr">
        <is>
          <t>GISLAVED</t>
        </is>
      </c>
      <c r="G6147" t="n">
        <v>1.4</v>
      </c>
      <c r="H6147" t="n">
        <v>0</v>
      </c>
      <c r="I6147" t="n">
        <v>0</v>
      </c>
      <c r="J6147" t="n">
        <v>0</v>
      </c>
      <c r="K6147" t="n">
        <v>0</v>
      </c>
      <c r="L6147" t="n">
        <v>0</v>
      </c>
      <c r="M6147" t="n">
        <v>0</v>
      </c>
      <c r="N6147" t="n">
        <v>0</v>
      </c>
      <c r="O6147" t="n">
        <v>0</v>
      </c>
      <c r="P6147" t="n">
        <v>0</v>
      </c>
      <c r="Q6147" t="n">
        <v>0</v>
      </c>
      <c r="R6147" s="2" t="inlineStr"/>
    </row>
    <row r="6148" ht="15" customHeight="1">
      <c r="A6148" t="inlineStr">
        <is>
          <t>A 22176-2022</t>
        </is>
      </c>
      <c r="B6148" s="1" t="n">
        <v>44712</v>
      </c>
      <c r="C6148" s="1" t="n">
        <v>45962</v>
      </c>
      <c r="D6148" t="inlineStr">
        <is>
          <t>JÖNKÖPINGS LÄN</t>
        </is>
      </c>
      <c r="E6148" t="inlineStr">
        <is>
          <t>GISLAVED</t>
        </is>
      </c>
      <c r="G6148" t="n">
        <v>0.7</v>
      </c>
      <c r="H6148" t="n">
        <v>0</v>
      </c>
      <c r="I6148" t="n">
        <v>0</v>
      </c>
      <c r="J6148" t="n">
        <v>0</v>
      </c>
      <c r="K6148" t="n">
        <v>0</v>
      </c>
      <c r="L6148" t="n">
        <v>0</v>
      </c>
      <c r="M6148" t="n">
        <v>0</v>
      </c>
      <c r="N6148" t="n">
        <v>0</v>
      </c>
      <c r="O6148" t="n">
        <v>0</v>
      </c>
      <c r="P6148" t="n">
        <v>0</v>
      </c>
      <c r="Q6148" t="n">
        <v>0</v>
      </c>
      <c r="R6148" s="2" t="inlineStr"/>
    </row>
    <row r="6149" ht="15" customHeight="1">
      <c r="A6149" t="inlineStr">
        <is>
          <t>A 26572-2022</t>
        </is>
      </c>
      <c r="B6149" s="1" t="n">
        <v>44739.49780092593</v>
      </c>
      <c r="C6149" s="1" t="n">
        <v>45962</v>
      </c>
      <c r="D6149" t="inlineStr">
        <is>
          <t>JÖNKÖPINGS LÄN</t>
        </is>
      </c>
      <c r="E6149" t="inlineStr">
        <is>
          <t>GISLAVED</t>
        </is>
      </c>
      <c r="G6149" t="n">
        <v>1.6</v>
      </c>
      <c r="H6149" t="n">
        <v>0</v>
      </c>
      <c r="I6149" t="n">
        <v>0</v>
      </c>
      <c r="J6149" t="n">
        <v>0</v>
      </c>
      <c r="K6149" t="n">
        <v>0</v>
      </c>
      <c r="L6149" t="n">
        <v>0</v>
      </c>
      <c r="M6149" t="n">
        <v>0</v>
      </c>
      <c r="N6149" t="n">
        <v>0</v>
      </c>
      <c r="O6149" t="n">
        <v>0</v>
      </c>
      <c r="P6149" t="n">
        <v>0</v>
      </c>
      <c r="Q6149" t="n">
        <v>0</v>
      </c>
      <c r="R6149" s="2" t="inlineStr"/>
    </row>
    <row r="6150" ht="15" customHeight="1">
      <c r="A6150" t="inlineStr">
        <is>
          <t>A 36406-2022</t>
        </is>
      </c>
      <c r="B6150" s="1" t="n">
        <v>44803</v>
      </c>
      <c r="C6150" s="1" t="n">
        <v>45962</v>
      </c>
      <c r="D6150" t="inlineStr">
        <is>
          <t>JÖNKÖPINGS LÄN</t>
        </is>
      </c>
      <c r="E6150" t="inlineStr">
        <is>
          <t>GNOSJÖ</t>
        </is>
      </c>
      <c r="G6150" t="n">
        <v>2.1</v>
      </c>
      <c r="H6150" t="n">
        <v>0</v>
      </c>
      <c r="I6150" t="n">
        <v>0</v>
      </c>
      <c r="J6150" t="n">
        <v>0</v>
      </c>
      <c r="K6150" t="n">
        <v>0</v>
      </c>
      <c r="L6150" t="n">
        <v>0</v>
      </c>
      <c r="M6150" t="n">
        <v>0</v>
      </c>
      <c r="N6150" t="n">
        <v>0</v>
      </c>
      <c r="O6150" t="n">
        <v>0</v>
      </c>
      <c r="P6150" t="n">
        <v>0</v>
      </c>
      <c r="Q6150" t="n">
        <v>0</v>
      </c>
      <c r="R6150" s="2" t="inlineStr"/>
    </row>
    <row r="6151" ht="15" customHeight="1">
      <c r="A6151" t="inlineStr">
        <is>
          <t>A 1185-2023</t>
        </is>
      </c>
      <c r="B6151" s="1" t="n">
        <v>44930</v>
      </c>
      <c r="C6151" s="1" t="n">
        <v>45962</v>
      </c>
      <c r="D6151" t="inlineStr">
        <is>
          <t>JÖNKÖPINGS LÄN</t>
        </is>
      </c>
      <c r="E6151" t="inlineStr">
        <is>
          <t>JÖNKÖPING</t>
        </is>
      </c>
      <c r="G6151" t="n">
        <v>3.5</v>
      </c>
      <c r="H6151" t="n">
        <v>0</v>
      </c>
      <c r="I6151" t="n">
        <v>0</v>
      </c>
      <c r="J6151" t="n">
        <v>0</v>
      </c>
      <c r="K6151" t="n">
        <v>0</v>
      </c>
      <c r="L6151" t="n">
        <v>0</v>
      </c>
      <c r="M6151" t="n">
        <v>0</v>
      </c>
      <c r="N6151" t="n">
        <v>0</v>
      </c>
      <c r="O6151" t="n">
        <v>0</v>
      </c>
      <c r="P6151" t="n">
        <v>0</v>
      </c>
      <c r="Q6151" t="n">
        <v>0</v>
      </c>
      <c r="R6151" s="2" t="inlineStr"/>
    </row>
    <row r="6152" ht="15" customHeight="1">
      <c r="A6152" t="inlineStr">
        <is>
          <t>A 38903-2025</t>
        </is>
      </c>
      <c r="B6152" s="1" t="n">
        <v>45884</v>
      </c>
      <c r="C6152" s="1" t="n">
        <v>45962</v>
      </c>
      <c r="D6152" t="inlineStr">
        <is>
          <t>JÖNKÖPINGS LÄN</t>
        </is>
      </c>
      <c r="E6152" t="inlineStr">
        <is>
          <t>GNOSJÖ</t>
        </is>
      </c>
      <c r="G6152" t="n">
        <v>2.1</v>
      </c>
      <c r="H6152" t="n">
        <v>0</v>
      </c>
      <c r="I6152" t="n">
        <v>0</v>
      </c>
      <c r="J6152" t="n">
        <v>0</v>
      </c>
      <c r="K6152" t="n">
        <v>0</v>
      </c>
      <c r="L6152" t="n">
        <v>0</v>
      </c>
      <c r="M6152" t="n">
        <v>0</v>
      </c>
      <c r="N6152" t="n">
        <v>0</v>
      </c>
      <c r="O6152" t="n">
        <v>0</v>
      </c>
      <c r="P6152" t="n">
        <v>0</v>
      </c>
      <c r="Q6152" t="n">
        <v>0</v>
      </c>
      <c r="R6152" s="2" t="inlineStr"/>
    </row>
    <row r="6153" ht="15" customHeight="1">
      <c r="A6153" t="inlineStr">
        <is>
          <t>A 34995-2025</t>
        </is>
      </c>
      <c r="B6153" s="1" t="n">
        <v>45849.82788194445</v>
      </c>
      <c r="C6153" s="1" t="n">
        <v>45962</v>
      </c>
      <c r="D6153" t="inlineStr">
        <is>
          <t>JÖNKÖPINGS LÄN</t>
        </is>
      </c>
      <c r="E6153" t="inlineStr">
        <is>
          <t>GISLAVED</t>
        </is>
      </c>
      <c r="G6153" t="n">
        <v>0.7</v>
      </c>
      <c r="H6153" t="n">
        <v>0</v>
      </c>
      <c r="I6153" t="n">
        <v>0</v>
      </c>
      <c r="J6153" t="n">
        <v>0</v>
      </c>
      <c r="K6153" t="n">
        <v>0</v>
      </c>
      <c r="L6153" t="n">
        <v>0</v>
      </c>
      <c r="M6153" t="n">
        <v>0</v>
      </c>
      <c r="N6153" t="n">
        <v>0</v>
      </c>
      <c r="O6153" t="n">
        <v>0</v>
      </c>
      <c r="P6153" t="n">
        <v>0</v>
      </c>
      <c r="Q6153" t="n">
        <v>0</v>
      </c>
      <c r="R6153" s="2" t="inlineStr"/>
    </row>
    <row r="6154" ht="15" customHeight="1">
      <c r="A6154" t="inlineStr">
        <is>
          <t>A 33820-2025</t>
        </is>
      </c>
      <c r="B6154" s="1" t="n">
        <v>45842.46525462963</v>
      </c>
      <c r="C6154" s="1" t="n">
        <v>45962</v>
      </c>
      <c r="D6154" t="inlineStr">
        <is>
          <t>JÖNKÖPINGS LÄN</t>
        </is>
      </c>
      <c r="E6154" t="inlineStr">
        <is>
          <t>GISLAVED</t>
        </is>
      </c>
      <c r="G6154" t="n">
        <v>1.4</v>
      </c>
      <c r="H6154" t="n">
        <v>0</v>
      </c>
      <c r="I6154" t="n">
        <v>0</v>
      </c>
      <c r="J6154" t="n">
        <v>0</v>
      </c>
      <c r="K6154" t="n">
        <v>0</v>
      </c>
      <c r="L6154" t="n">
        <v>0</v>
      </c>
      <c r="M6154" t="n">
        <v>0</v>
      </c>
      <c r="N6154" t="n">
        <v>0</v>
      </c>
      <c r="O6154" t="n">
        <v>0</v>
      </c>
      <c r="P6154" t="n">
        <v>0</v>
      </c>
      <c r="Q6154" t="n">
        <v>0</v>
      </c>
      <c r="R6154" s="2" t="inlineStr"/>
    </row>
    <row r="6155" ht="15" customHeight="1">
      <c r="A6155" t="inlineStr">
        <is>
          <t>A 52267-2024</t>
        </is>
      </c>
      <c r="B6155" s="1" t="n">
        <v>45608</v>
      </c>
      <c r="C6155" s="1" t="n">
        <v>45962</v>
      </c>
      <c r="D6155" t="inlineStr">
        <is>
          <t>JÖNKÖPINGS LÄN</t>
        </is>
      </c>
      <c r="E6155" t="inlineStr">
        <is>
          <t>ANEBY</t>
        </is>
      </c>
      <c r="G6155" t="n">
        <v>1.2</v>
      </c>
      <c r="H6155" t="n">
        <v>0</v>
      </c>
      <c r="I6155" t="n">
        <v>0</v>
      </c>
      <c r="J6155" t="n">
        <v>0</v>
      </c>
      <c r="K6155" t="n">
        <v>0</v>
      </c>
      <c r="L6155" t="n">
        <v>0</v>
      </c>
      <c r="M6155" t="n">
        <v>0</v>
      </c>
      <c r="N6155" t="n">
        <v>0</v>
      </c>
      <c r="O6155" t="n">
        <v>0</v>
      </c>
      <c r="P6155" t="n">
        <v>0</v>
      </c>
      <c r="Q6155" t="n">
        <v>0</v>
      </c>
      <c r="R6155" s="2" t="inlineStr"/>
    </row>
    <row r="6156" ht="15" customHeight="1">
      <c r="A6156" t="inlineStr">
        <is>
          <t>A 1054-2023</t>
        </is>
      </c>
      <c r="B6156" s="1" t="n">
        <v>44935</v>
      </c>
      <c r="C6156" s="1" t="n">
        <v>45962</v>
      </c>
      <c r="D6156" t="inlineStr">
        <is>
          <t>JÖNKÖPINGS LÄN</t>
        </is>
      </c>
      <c r="E6156" t="inlineStr">
        <is>
          <t>GISLAVED</t>
        </is>
      </c>
      <c r="G6156" t="n">
        <v>2.3</v>
      </c>
      <c r="H6156" t="n">
        <v>0</v>
      </c>
      <c r="I6156" t="n">
        <v>0</v>
      </c>
      <c r="J6156" t="n">
        <v>0</v>
      </c>
      <c r="K6156" t="n">
        <v>0</v>
      </c>
      <c r="L6156" t="n">
        <v>0</v>
      </c>
      <c r="M6156" t="n">
        <v>0</v>
      </c>
      <c r="N6156" t="n">
        <v>0</v>
      </c>
      <c r="O6156" t="n">
        <v>0</v>
      </c>
      <c r="P6156" t="n">
        <v>0</v>
      </c>
      <c r="Q6156" t="n">
        <v>0</v>
      </c>
      <c r="R6156" s="2" t="inlineStr"/>
    </row>
    <row r="6157" ht="15" customHeight="1">
      <c r="A6157" t="inlineStr">
        <is>
          <t>A 46533-2025</t>
        </is>
      </c>
      <c r="B6157" s="1" t="n">
        <v>45926.34030092593</v>
      </c>
      <c r="C6157" s="1" t="n">
        <v>45962</v>
      </c>
      <c r="D6157" t="inlineStr">
        <is>
          <t>JÖNKÖPINGS LÄN</t>
        </is>
      </c>
      <c r="E6157" t="inlineStr">
        <is>
          <t>MULLSJÖ</t>
        </is>
      </c>
      <c r="G6157" t="n">
        <v>2.8</v>
      </c>
      <c r="H6157" t="n">
        <v>0</v>
      </c>
      <c r="I6157" t="n">
        <v>0</v>
      </c>
      <c r="J6157" t="n">
        <v>0</v>
      </c>
      <c r="K6157" t="n">
        <v>0</v>
      </c>
      <c r="L6157" t="n">
        <v>0</v>
      </c>
      <c r="M6157" t="n">
        <v>0</v>
      </c>
      <c r="N6157" t="n">
        <v>0</v>
      </c>
      <c r="O6157" t="n">
        <v>0</v>
      </c>
      <c r="P6157" t="n">
        <v>0</v>
      </c>
      <c r="Q6157" t="n">
        <v>0</v>
      </c>
      <c r="R6157" s="2" t="inlineStr"/>
    </row>
    <row r="6158" ht="15" customHeight="1">
      <c r="A6158" t="inlineStr">
        <is>
          <t>A 51851-2021</t>
        </is>
      </c>
      <c r="B6158" s="1" t="n">
        <v>44462.69760416666</v>
      </c>
      <c r="C6158" s="1" t="n">
        <v>45962</v>
      </c>
      <c r="D6158" t="inlineStr">
        <is>
          <t>JÖNKÖPINGS LÄN</t>
        </is>
      </c>
      <c r="E6158" t="inlineStr">
        <is>
          <t>VETLANDA</t>
        </is>
      </c>
      <c r="G6158" t="n">
        <v>1.9</v>
      </c>
      <c r="H6158" t="n">
        <v>0</v>
      </c>
      <c r="I6158" t="n">
        <v>0</v>
      </c>
      <c r="J6158" t="n">
        <v>0</v>
      </c>
      <c r="K6158" t="n">
        <v>0</v>
      </c>
      <c r="L6158" t="n">
        <v>0</v>
      </c>
      <c r="M6158" t="n">
        <v>0</v>
      </c>
      <c r="N6158" t="n">
        <v>0</v>
      </c>
      <c r="O6158" t="n">
        <v>0</v>
      </c>
      <c r="P6158" t="n">
        <v>0</v>
      </c>
      <c r="Q6158" t="n">
        <v>0</v>
      </c>
      <c r="R6158" s="2" t="inlineStr"/>
    </row>
    <row r="6159" ht="15" customHeight="1">
      <c r="A6159" t="inlineStr">
        <is>
          <t>A 55881-2024</t>
        </is>
      </c>
      <c r="B6159" s="1" t="n">
        <v>45623.56214120371</v>
      </c>
      <c r="C6159" s="1" t="n">
        <v>45962</v>
      </c>
      <c r="D6159" t="inlineStr">
        <is>
          <t>JÖNKÖPINGS LÄN</t>
        </is>
      </c>
      <c r="E6159" t="inlineStr">
        <is>
          <t>SÄVSJÖ</t>
        </is>
      </c>
      <c r="G6159" t="n">
        <v>2.7</v>
      </c>
      <c r="H6159" t="n">
        <v>0</v>
      </c>
      <c r="I6159" t="n">
        <v>0</v>
      </c>
      <c r="J6159" t="n">
        <v>0</v>
      </c>
      <c r="K6159" t="n">
        <v>0</v>
      </c>
      <c r="L6159" t="n">
        <v>0</v>
      </c>
      <c r="M6159" t="n">
        <v>0</v>
      </c>
      <c r="N6159" t="n">
        <v>0</v>
      </c>
      <c r="O6159" t="n">
        <v>0</v>
      </c>
      <c r="P6159" t="n">
        <v>0</v>
      </c>
      <c r="Q6159" t="n">
        <v>0</v>
      </c>
      <c r="R6159" s="2" t="inlineStr"/>
    </row>
    <row r="6160" ht="15" customHeight="1">
      <c r="A6160" t="inlineStr">
        <is>
          <t>A 6415-2025</t>
        </is>
      </c>
      <c r="B6160" s="1" t="n">
        <v>45699.46458333333</v>
      </c>
      <c r="C6160" s="1" t="n">
        <v>45962</v>
      </c>
      <c r="D6160" t="inlineStr">
        <is>
          <t>JÖNKÖPINGS LÄN</t>
        </is>
      </c>
      <c r="E6160" t="inlineStr">
        <is>
          <t>GNOSJÖ</t>
        </is>
      </c>
      <c r="G6160" t="n">
        <v>2.7</v>
      </c>
      <c r="H6160" t="n">
        <v>0</v>
      </c>
      <c r="I6160" t="n">
        <v>0</v>
      </c>
      <c r="J6160" t="n">
        <v>0</v>
      </c>
      <c r="K6160" t="n">
        <v>0</v>
      </c>
      <c r="L6160" t="n">
        <v>0</v>
      </c>
      <c r="M6160" t="n">
        <v>0</v>
      </c>
      <c r="N6160" t="n">
        <v>0</v>
      </c>
      <c r="O6160" t="n">
        <v>0</v>
      </c>
      <c r="P6160" t="n">
        <v>0</v>
      </c>
      <c r="Q6160" t="n">
        <v>0</v>
      </c>
      <c r="R6160" s="2" t="inlineStr"/>
    </row>
    <row r="6161" ht="15" customHeight="1">
      <c r="A6161" t="inlineStr">
        <is>
          <t>A 35451-2024</t>
        </is>
      </c>
      <c r="B6161" s="1" t="n">
        <v>45531</v>
      </c>
      <c r="C6161" s="1" t="n">
        <v>45962</v>
      </c>
      <c r="D6161" t="inlineStr">
        <is>
          <t>JÖNKÖPINGS LÄN</t>
        </is>
      </c>
      <c r="E6161" t="inlineStr">
        <is>
          <t>JÖNKÖPING</t>
        </is>
      </c>
      <c r="G6161" t="n">
        <v>1.5</v>
      </c>
      <c r="H6161" t="n">
        <v>0</v>
      </c>
      <c r="I6161" t="n">
        <v>0</v>
      </c>
      <c r="J6161" t="n">
        <v>0</v>
      </c>
      <c r="K6161" t="n">
        <v>0</v>
      </c>
      <c r="L6161" t="n">
        <v>0</v>
      </c>
      <c r="M6161" t="n">
        <v>0</v>
      </c>
      <c r="N6161" t="n">
        <v>0</v>
      </c>
      <c r="O6161" t="n">
        <v>0</v>
      </c>
      <c r="P6161" t="n">
        <v>0</v>
      </c>
      <c r="Q6161" t="n">
        <v>0</v>
      </c>
      <c r="R6161" s="2" t="inlineStr"/>
    </row>
    <row r="6162" ht="15" customHeight="1">
      <c r="A6162" t="inlineStr">
        <is>
          <t>A 29990-2023</t>
        </is>
      </c>
      <c r="B6162" s="1" t="n">
        <v>45109.47741898148</v>
      </c>
      <c r="C6162" s="1" t="n">
        <v>45962</v>
      </c>
      <c r="D6162" t="inlineStr">
        <is>
          <t>JÖNKÖPINGS LÄN</t>
        </is>
      </c>
      <c r="E6162" t="inlineStr">
        <is>
          <t>NÄSSJÖ</t>
        </is>
      </c>
      <c r="G6162" t="n">
        <v>1.3</v>
      </c>
      <c r="H6162" t="n">
        <v>0</v>
      </c>
      <c r="I6162" t="n">
        <v>0</v>
      </c>
      <c r="J6162" t="n">
        <v>0</v>
      </c>
      <c r="K6162" t="n">
        <v>0</v>
      </c>
      <c r="L6162" t="n">
        <v>0</v>
      </c>
      <c r="M6162" t="n">
        <v>0</v>
      </c>
      <c r="N6162" t="n">
        <v>0</v>
      </c>
      <c r="O6162" t="n">
        <v>0</v>
      </c>
      <c r="P6162" t="n">
        <v>0</v>
      </c>
      <c r="Q6162" t="n">
        <v>0</v>
      </c>
      <c r="R6162" s="2" t="inlineStr"/>
    </row>
    <row r="6163" ht="15" customHeight="1">
      <c r="A6163" t="inlineStr">
        <is>
          <t>A 17384-2025</t>
        </is>
      </c>
      <c r="B6163" s="1" t="n">
        <v>45757.30554398148</v>
      </c>
      <c r="C6163" s="1" t="n">
        <v>45962</v>
      </c>
      <c r="D6163" t="inlineStr">
        <is>
          <t>JÖNKÖPINGS LÄN</t>
        </is>
      </c>
      <c r="E6163" t="inlineStr">
        <is>
          <t>JÖNKÖPING</t>
        </is>
      </c>
      <c r="G6163" t="n">
        <v>0.5</v>
      </c>
      <c r="H6163" t="n">
        <v>0</v>
      </c>
      <c r="I6163" t="n">
        <v>0</v>
      </c>
      <c r="J6163" t="n">
        <v>0</v>
      </c>
      <c r="K6163" t="n">
        <v>0</v>
      </c>
      <c r="L6163" t="n">
        <v>0</v>
      </c>
      <c r="M6163" t="n">
        <v>0</v>
      </c>
      <c r="N6163" t="n">
        <v>0</v>
      </c>
      <c r="O6163" t="n">
        <v>0</v>
      </c>
      <c r="P6163" t="n">
        <v>0</v>
      </c>
      <c r="Q6163" t="n">
        <v>0</v>
      </c>
      <c r="R6163" s="2" t="inlineStr"/>
    </row>
    <row r="6164" ht="15" customHeight="1">
      <c r="A6164" t="inlineStr">
        <is>
          <t>A 30028-2023</t>
        </is>
      </c>
      <c r="B6164" s="1" t="n">
        <v>45110.32493055556</v>
      </c>
      <c r="C6164" s="1" t="n">
        <v>45962</v>
      </c>
      <c r="D6164" t="inlineStr">
        <is>
          <t>JÖNKÖPINGS LÄN</t>
        </is>
      </c>
      <c r="E6164" t="inlineStr">
        <is>
          <t>ANEBY</t>
        </is>
      </c>
      <c r="G6164" t="n">
        <v>1.2</v>
      </c>
      <c r="H6164" t="n">
        <v>0</v>
      </c>
      <c r="I6164" t="n">
        <v>0</v>
      </c>
      <c r="J6164" t="n">
        <v>0</v>
      </c>
      <c r="K6164" t="n">
        <v>0</v>
      </c>
      <c r="L6164" t="n">
        <v>0</v>
      </c>
      <c r="M6164" t="n">
        <v>0</v>
      </c>
      <c r="N6164" t="n">
        <v>0</v>
      </c>
      <c r="O6164" t="n">
        <v>0</v>
      </c>
      <c r="P6164" t="n">
        <v>0</v>
      </c>
      <c r="Q6164" t="n">
        <v>0</v>
      </c>
      <c r="R6164" s="2" t="inlineStr"/>
    </row>
    <row r="6165" ht="15" customHeight="1">
      <c r="A6165" t="inlineStr">
        <is>
          <t>A 59747-2022</t>
        </is>
      </c>
      <c r="B6165" s="1" t="n">
        <v>44908.46491898148</v>
      </c>
      <c r="C6165" s="1" t="n">
        <v>45962</v>
      </c>
      <c r="D6165" t="inlineStr">
        <is>
          <t>JÖNKÖPINGS LÄN</t>
        </is>
      </c>
      <c r="E6165" t="inlineStr">
        <is>
          <t>GISLAVED</t>
        </is>
      </c>
      <c r="G6165" t="n">
        <v>2.8</v>
      </c>
      <c r="H6165" t="n">
        <v>0</v>
      </c>
      <c r="I6165" t="n">
        <v>0</v>
      </c>
      <c r="J6165" t="n">
        <v>0</v>
      </c>
      <c r="K6165" t="n">
        <v>0</v>
      </c>
      <c r="L6165" t="n">
        <v>0</v>
      </c>
      <c r="M6165" t="n">
        <v>0</v>
      </c>
      <c r="N6165" t="n">
        <v>0</v>
      </c>
      <c r="O6165" t="n">
        <v>0</v>
      </c>
      <c r="P6165" t="n">
        <v>0</v>
      </c>
      <c r="Q6165" t="n">
        <v>0</v>
      </c>
      <c r="R6165" s="2" t="inlineStr"/>
    </row>
    <row r="6166" ht="15" customHeight="1">
      <c r="A6166" t="inlineStr">
        <is>
          <t>A 30032-2023</t>
        </is>
      </c>
      <c r="B6166" s="1" t="n">
        <v>45110</v>
      </c>
      <c r="C6166" s="1" t="n">
        <v>45962</v>
      </c>
      <c r="D6166" t="inlineStr">
        <is>
          <t>JÖNKÖPINGS LÄN</t>
        </is>
      </c>
      <c r="E6166" t="inlineStr">
        <is>
          <t>GISLAVED</t>
        </is>
      </c>
      <c r="G6166" t="n">
        <v>0.6</v>
      </c>
      <c r="H6166" t="n">
        <v>0</v>
      </c>
      <c r="I6166" t="n">
        <v>0</v>
      </c>
      <c r="J6166" t="n">
        <v>0</v>
      </c>
      <c r="K6166" t="n">
        <v>0</v>
      </c>
      <c r="L6166" t="n">
        <v>0</v>
      </c>
      <c r="M6166" t="n">
        <v>0</v>
      </c>
      <c r="N6166" t="n">
        <v>0</v>
      </c>
      <c r="O6166" t="n">
        <v>0</v>
      </c>
      <c r="P6166" t="n">
        <v>0</v>
      </c>
      <c r="Q6166" t="n">
        <v>0</v>
      </c>
      <c r="R6166" s="2" t="inlineStr"/>
    </row>
    <row r="6167" ht="15" customHeight="1">
      <c r="A6167" t="inlineStr">
        <is>
          <t>A 21700-2021</t>
        </is>
      </c>
      <c r="B6167" s="1" t="n">
        <v>44322.45649305556</v>
      </c>
      <c r="C6167" s="1" t="n">
        <v>45962</v>
      </c>
      <c r="D6167" t="inlineStr">
        <is>
          <t>JÖNKÖPINGS LÄN</t>
        </is>
      </c>
      <c r="E6167" t="inlineStr">
        <is>
          <t>GISLAVED</t>
        </is>
      </c>
      <c r="G6167" t="n">
        <v>0.6</v>
      </c>
      <c r="H6167" t="n">
        <v>0</v>
      </c>
      <c r="I6167" t="n">
        <v>0</v>
      </c>
      <c r="J6167" t="n">
        <v>0</v>
      </c>
      <c r="K6167" t="n">
        <v>0</v>
      </c>
      <c r="L6167" t="n">
        <v>0</v>
      </c>
      <c r="M6167" t="n">
        <v>0</v>
      </c>
      <c r="N6167" t="n">
        <v>0</v>
      </c>
      <c r="O6167" t="n">
        <v>0</v>
      </c>
      <c r="P6167" t="n">
        <v>0</v>
      </c>
      <c r="Q6167" t="n">
        <v>0</v>
      </c>
      <c r="R6167" s="2" t="inlineStr"/>
    </row>
    <row r="6168" ht="15" customHeight="1">
      <c r="A6168" t="inlineStr">
        <is>
          <t>A 11906-2023</t>
        </is>
      </c>
      <c r="B6168" s="1" t="n">
        <v>44995</v>
      </c>
      <c r="C6168" s="1" t="n">
        <v>45962</v>
      </c>
      <c r="D6168" t="inlineStr">
        <is>
          <t>JÖNKÖPINGS LÄN</t>
        </is>
      </c>
      <c r="E6168" t="inlineStr">
        <is>
          <t>HABO</t>
        </is>
      </c>
      <c r="G6168" t="n">
        <v>3.9</v>
      </c>
      <c r="H6168" t="n">
        <v>0</v>
      </c>
      <c r="I6168" t="n">
        <v>0</v>
      </c>
      <c r="J6168" t="n">
        <v>0</v>
      </c>
      <c r="K6168" t="n">
        <v>0</v>
      </c>
      <c r="L6168" t="n">
        <v>0</v>
      </c>
      <c r="M6168" t="n">
        <v>0</v>
      </c>
      <c r="N6168" t="n">
        <v>0</v>
      </c>
      <c r="O6168" t="n">
        <v>0</v>
      </c>
      <c r="P6168" t="n">
        <v>0</v>
      </c>
      <c r="Q6168" t="n">
        <v>0</v>
      </c>
      <c r="R6168" s="2" t="inlineStr"/>
    </row>
    <row r="6169" ht="15" customHeight="1">
      <c r="A6169" t="inlineStr">
        <is>
          <t>A 38859-2025</t>
        </is>
      </c>
      <c r="B6169" s="1" t="n">
        <v>45887.55962962963</v>
      </c>
      <c r="C6169" s="1" t="n">
        <v>45962</v>
      </c>
      <c r="D6169" t="inlineStr">
        <is>
          <t>JÖNKÖPINGS LÄN</t>
        </is>
      </c>
      <c r="E6169" t="inlineStr">
        <is>
          <t>VÄRNAMO</t>
        </is>
      </c>
      <c r="G6169" t="n">
        <v>2.9</v>
      </c>
      <c r="H6169" t="n">
        <v>0</v>
      </c>
      <c r="I6169" t="n">
        <v>0</v>
      </c>
      <c r="J6169" t="n">
        <v>0</v>
      </c>
      <c r="K6169" t="n">
        <v>0</v>
      </c>
      <c r="L6169" t="n">
        <v>0</v>
      </c>
      <c r="M6169" t="n">
        <v>0</v>
      </c>
      <c r="N6169" t="n">
        <v>0</v>
      </c>
      <c r="O6169" t="n">
        <v>0</v>
      </c>
      <c r="P6169" t="n">
        <v>0</v>
      </c>
      <c r="Q6169" t="n">
        <v>0</v>
      </c>
      <c r="R6169" s="2" t="inlineStr"/>
    </row>
    <row r="6170" ht="15" customHeight="1">
      <c r="A6170" t="inlineStr">
        <is>
          <t>A 41625-2023</t>
        </is>
      </c>
      <c r="B6170" s="1" t="n">
        <v>45175</v>
      </c>
      <c r="C6170" s="1" t="n">
        <v>45962</v>
      </c>
      <c r="D6170" t="inlineStr">
        <is>
          <t>JÖNKÖPINGS LÄN</t>
        </is>
      </c>
      <c r="E6170" t="inlineStr">
        <is>
          <t>GISLAVED</t>
        </is>
      </c>
      <c r="G6170" t="n">
        <v>1</v>
      </c>
      <c r="H6170" t="n">
        <v>0</v>
      </c>
      <c r="I6170" t="n">
        <v>0</v>
      </c>
      <c r="J6170" t="n">
        <v>0</v>
      </c>
      <c r="K6170" t="n">
        <v>0</v>
      </c>
      <c r="L6170" t="n">
        <v>0</v>
      </c>
      <c r="M6170" t="n">
        <v>0</v>
      </c>
      <c r="N6170" t="n">
        <v>0</v>
      </c>
      <c r="O6170" t="n">
        <v>0</v>
      </c>
      <c r="P6170" t="n">
        <v>0</v>
      </c>
      <c r="Q6170" t="n">
        <v>0</v>
      </c>
      <c r="R6170" s="2" t="inlineStr"/>
    </row>
    <row r="6171" ht="15" customHeight="1">
      <c r="A6171" t="inlineStr">
        <is>
          <t>A 52965-2024</t>
        </is>
      </c>
      <c r="B6171" s="1" t="n">
        <v>45611.31553240741</v>
      </c>
      <c r="C6171" s="1" t="n">
        <v>45962</v>
      </c>
      <c r="D6171" t="inlineStr">
        <is>
          <t>JÖNKÖPINGS LÄN</t>
        </is>
      </c>
      <c r="E6171" t="inlineStr">
        <is>
          <t>SÄVSJÖ</t>
        </is>
      </c>
      <c r="G6171" t="n">
        <v>0.7</v>
      </c>
      <c r="H6171" t="n">
        <v>0</v>
      </c>
      <c r="I6171" t="n">
        <v>0</v>
      </c>
      <c r="J6171" t="n">
        <v>0</v>
      </c>
      <c r="K6171" t="n">
        <v>0</v>
      </c>
      <c r="L6171" t="n">
        <v>0</v>
      </c>
      <c r="M6171" t="n">
        <v>0</v>
      </c>
      <c r="N6171" t="n">
        <v>0</v>
      </c>
      <c r="O6171" t="n">
        <v>0</v>
      </c>
      <c r="P6171" t="n">
        <v>0</v>
      </c>
      <c r="Q6171" t="n">
        <v>0</v>
      </c>
      <c r="R6171" s="2" t="inlineStr"/>
    </row>
    <row r="6172" ht="15" customHeight="1">
      <c r="A6172" t="inlineStr">
        <is>
          <t>A 14588-2024</t>
        </is>
      </c>
      <c r="B6172" s="1" t="n">
        <v>45395.4094675926</v>
      </c>
      <c r="C6172" s="1" t="n">
        <v>45962</v>
      </c>
      <c r="D6172" t="inlineStr">
        <is>
          <t>JÖNKÖPINGS LÄN</t>
        </is>
      </c>
      <c r="E6172" t="inlineStr">
        <is>
          <t>GISLAVED</t>
        </is>
      </c>
      <c r="G6172" t="n">
        <v>1.3</v>
      </c>
      <c r="H6172" t="n">
        <v>0</v>
      </c>
      <c r="I6172" t="n">
        <v>0</v>
      </c>
      <c r="J6172" t="n">
        <v>0</v>
      </c>
      <c r="K6172" t="n">
        <v>0</v>
      </c>
      <c r="L6172" t="n">
        <v>0</v>
      </c>
      <c r="M6172" t="n">
        <v>0</v>
      </c>
      <c r="N6172" t="n">
        <v>0</v>
      </c>
      <c r="O6172" t="n">
        <v>0</v>
      </c>
      <c r="P6172" t="n">
        <v>0</v>
      </c>
      <c r="Q6172" t="n">
        <v>0</v>
      </c>
      <c r="R6172" s="2" t="inlineStr"/>
    </row>
    <row r="6173" ht="15" customHeight="1">
      <c r="A6173" t="inlineStr">
        <is>
          <t>A 14589-2024</t>
        </is>
      </c>
      <c r="B6173" s="1" t="n">
        <v>45395.41248842593</v>
      </c>
      <c r="C6173" s="1" t="n">
        <v>45962</v>
      </c>
      <c r="D6173" t="inlineStr">
        <is>
          <t>JÖNKÖPINGS LÄN</t>
        </is>
      </c>
      <c r="E6173" t="inlineStr">
        <is>
          <t>GISLAVED</t>
        </is>
      </c>
      <c r="G6173" t="n">
        <v>2.6</v>
      </c>
      <c r="H6173" t="n">
        <v>0</v>
      </c>
      <c r="I6173" t="n">
        <v>0</v>
      </c>
      <c r="J6173" t="n">
        <v>0</v>
      </c>
      <c r="K6173" t="n">
        <v>0</v>
      </c>
      <c r="L6173" t="n">
        <v>0</v>
      </c>
      <c r="M6173" t="n">
        <v>0</v>
      </c>
      <c r="N6173" t="n">
        <v>0</v>
      </c>
      <c r="O6173" t="n">
        <v>0</v>
      </c>
      <c r="P6173" t="n">
        <v>0</v>
      </c>
      <c r="Q6173" t="n">
        <v>0</v>
      </c>
      <c r="R6173" s="2" t="inlineStr"/>
    </row>
    <row r="6174" ht="15" customHeight="1">
      <c r="A6174" t="inlineStr">
        <is>
          <t>A 52980-2024</t>
        </is>
      </c>
      <c r="B6174" s="1" t="n">
        <v>45611.35309027778</v>
      </c>
      <c r="C6174" s="1" t="n">
        <v>45962</v>
      </c>
      <c r="D6174" t="inlineStr">
        <is>
          <t>JÖNKÖPINGS LÄN</t>
        </is>
      </c>
      <c r="E6174" t="inlineStr">
        <is>
          <t>GISLAVED</t>
        </is>
      </c>
      <c r="G6174" t="n">
        <v>1.8</v>
      </c>
      <c r="H6174" t="n">
        <v>0</v>
      </c>
      <c r="I6174" t="n">
        <v>0</v>
      </c>
      <c r="J6174" t="n">
        <v>0</v>
      </c>
      <c r="K6174" t="n">
        <v>0</v>
      </c>
      <c r="L6174" t="n">
        <v>0</v>
      </c>
      <c r="M6174" t="n">
        <v>0</v>
      </c>
      <c r="N6174" t="n">
        <v>0</v>
      </c>
      <c r="O6174" t="n">
        <v>0</v>
      </c>
      <c r="P6174" t="n">
        <v>0</v>
      </c>
      <c r="Q6174" t="n">
        <v>0</v>
      </c>
      <c r="R6174" s="2" t="inlineStr"/>
    </row>
    <row r="6175" ht="15" customHeight="1">
      <c r="A6175" t="inlineStr">
        <is>
          <t>A 38603-2025</t>
        </is>
      </c>
      <c r="B6175" s="1" t="n">
        <v>45884.50511574074</v>
      </c>
      <c r="C6175" s="1" t="n">
        <v>45962</v>
      </c>
      <c r="D6175" t="inlineStr">
        <is>
          <t>JÖNKÖPINGS LÄN</t>
        </is>
      </c>
      <c r="E6175" t="inlineStr">
        <is>
          <t>VETLANDA</t>
        </is>
      </c>
      <c r="G6175" t="n">
        <v>0.7</v>
      </c>
      <c r="H6175" t="n">
        <v>0</v>
      </c>
      <c r="I6175" t="n">
        <v>0</v>
      </c>
      <c r="J6175" t="n">
        <v>0</v>
      </c>
      <c r="K6175" t="n">
        <v>0</v>
      </c>
      <c r="L6175" t="n">
        <v>0</v>
      </c>
      <c r="M6175" t="n">
        <v>0</v>
      </c>
      <c r="N6175" t="n">
        <v>0</v>
      </c>
      <c r="O6175" t="n">
        <v>0</v>
      </c>
      <c r="P6175" t="n">
        <v>0</v>
      </c>
      <c r="Q6175" t="n">
        <v>0</v>
      </c>
      <c r="R6175" s="2" t="inlineStr"/>
    </row>
    <row r="6176" ht="15" customHeight="1">
      <c r="A6176" t="inlineStr">
        <is>
          <t>A 14832-2023</t>
        </is>
      </c>
      <c r="B6176" s="1" t="n">
        <v>45014.67738425926</v>
      </c>
      <c r="C6176" s="1" t="n">
        <v>45962</v>
      </c>
      <c r="D6176" t="inlineStr">
        <is>
          <t>JÖNKÖPINGS LÄN</t>
        </is>
      </c>
      <c r="E6176" t="inlineStr">
        <is>
          <t>NÄSSJÖ</t>
        </is>
      </c>
      <c r="G6176" t="n">
        <v>1.7</v>
      </c>
      <c r="H6176" t="n">
        <v>0</v>
      </c>
      <c r="I6176" t="n">
        <v>0</v>
      </c>
      <c r="J6176" t="n">
        <v>0</v>
      </c>
      <c r="K6176" t="n">
        <v>0</v>
      </c>
      <c r="L6176" t="n">
        <v>0</v>
      </c>
      <c r="M6176" t="n">
        <v>0</v>
      </c>
      <c r="N6176" t="n">
        <v>0</v>
      </c>
      <c r="O6176" t="n">
        <v>0</v>
      </c>
      <c r="P6176" t="n">
        <v>0</v>
      </c>
      <c r="Q6176" t="n">
        <v>0</v>
      </c>
      <c r="R6176" s="2" t="inlineStr"/>
    </row>
    <row r="6177" ht="15" customHeight="1">
      <c r="A6177" t="inlineStr">
        <is>
          <t>A 26198-2023</t>
        </is>
      </c>
      <c r="B6177" s="1" t="n">
        <v>45091</v>
      </c>
      <c r="C6177" s="1" t="n">
        <v>45962</v>
      </c>
      <c r="D6177" t="inlineStr">
        <is>
          <t>JÖNKÖPINGS LÄN</t>
        </is>
      </c>
      <c r="E6177" t="inlineStr">
        <is>
          <t>VÄRNAMO</t>
        </is>
      </c>
      <c r="G6177" t="n">
        <v>2.4</v>
      </c>
      <c r="H6177" t="n">
        <v>0</v>
      </c>
      <c r="I6177" t="n">
        <v>0</v>
      </c>
      <c r="J6177" t="n">
        <v>0</v>
      </c>
      <c r="K6177" t="n">
        <v>0</v>
      </c>
      <c r="L6177" t="n">
        <v>0</v>
      </c>
      <c r="M6177" t="n">
        <v>0</v>
      </c>
      <c r="N6177" t="n">
        <v>0</v>
      </c>
      <c r="O6177" t="n">
        <v>0</v>
      </c>
      <c r="P6177" t="n">
        <v>0</v>
      </c>
      <c r="Q6177" t="n">
        <v>0</v>
      </c>
      <c r="R6177" s="2" t="inlineStr"/>
    </row>
    <row r="6178" ht="15" customHeight="1">
      <c r="A6178" t="inlineStr">
        <is>
          <t>A 26207-2023</t>
        </is>
      </c>
      <c r="B6178" s="1" t="n">
        <v>45091.55079861111</v>
      </c>
      <c r="C6178" s="1" t="n">
        <v>45962</v>
      </c>
      <c r="D6178" t="inlineStr">
        <is>
          <t>JÖNKÖPINGS LÄN</t>
        </is>
      </c>
      <c r="E6178" t="inlineStr">
        <is>
          <t>HABO</t>
        </is>
      </c>
      <c r="G6178" t="n">
        <v>3</v>
      </c>
      <c r="H6178" t="n">
        <v>0</v>
      </c>
      <c r="I6178" t="n">
        <v>0</v>
      </c>
      <c r="J6178" t="n">
        <v>0</v>
      </c>
      <c r="K6178" t="n">
        <v>0</v>
      </c>
      <c r="L6178" t="n">
        <v>0</v>
      </c>
      <c r="M6178" t="n">
        <v>0</v>
      </c>
      <c r="N6178" t="n">
        <v>0</v>
      </c>
      <c r="O6178" t="n">
        <v>0</v>
      </c>
      <c r="P6178" t="n">
        <v>0</v>
      </c>
      <c r="Q6178" t="n">
        <v>0</v>
      </c>
      <c r="R6178" s="2" t="inlineStr"/>
    </row>
    <row r="6179" ht="15" customHeight="1">
      <c r="A6179" t="inlineStr">
        <is>
          <t>A 10539-2025</t>
        </is>
      </c>
      <c r="B6179" s="1" t="n">
        <v>45721.47709490741</v>
      </c>
      <c r="C6179" s="1" t="n">
        <v>45962</v>
      </c>
      <c r="D6179" t="inlineStr">
        <is>
          <t>JÖNKÖPINGS LÄN</t>
        </is>
      </c>
      <c r="E6179" t="inlineStr">
        <is>
          <t>GISLAVED</t>
        </is>
      </c>
      <c r="G6179" t="n">
        <v>0.8</v>
      </c>
      <c r="H6179" t="n">
        <v>0</v>
      </c>
      <c r="I6179" t="n">
        <v>0</v>
      </c>
      <c r="J6179" t="n">
        <v>0</v>
      </c>
      <c r="K6179" t="n">
        <v>0</v>
      </c>
      <c r="L6179" t="n">
        <v>0</v>
      </c>
      <c r="M6179" t="n">
        <v>0</v>
      </c>
      <c r="N6179" t="n">
        <v>0</v>
      </c>
      <c r="O6179" t="n">
        <v>0</v>
      </c>
      <c r="P6179" t="n">
        <v>0</v>
      </c>
      <c r="Q6179" t="n">
        <v>0</v>
      </c>
      <c r="R6179" s="2" t="inlineStr"/>
    </row>
    <row r="6180" ht="15" customHeight="1">
      <c r="A6180" t="inlineStr">
        <is>
          <t>A 30365-2025</t>
        </is>
      </c>
      <c r="B6180" s="1" t="n">
        <v>45827</v>
      </c>
      <c r="C6180" s="1" t="n">
        <v>45962</v>
      </c>
      <c r="D6180" t="inlineStr">
        <is>
          <t>JÖNKÖPINGS LÄN</t>
        </is>
      </c>
      <c r="E6180" t="inlineStr">
        <is>
          <t>VETLANDA</t>
        </is>
      </c>
      <c r="G6180" t="n">
        <v>6.9</v>
      </c>
      <c r="H6180" t="n">
        <v>0</v>
      </c>
      <c r="I6180" t="n">
        <v>0</v>
      </c>
      <c r="J6180" t="n">
        <v>0</v>
      </c>
      <c r="K6180" t="n">
        <v>0</v>
      </c>
      <c r="L6180" t="n">
        <v>0</v>
      </c>
      <c r="M6180" t="n">
        <v>0</v>
      </c>
      <c r="N6180" t="n">
        <v>0</v>
      </c>
      <c r="O6180" t="n">
        <v>0</v>
      </c>
      <c r="P6180" t="n">
        <v>0</v>
      </c>
      <c r="Q6180" t="n">
        <v>0</v>
      </c>
      <c r="R6180" s="2" t="inlineStr"/>
    </row>
    <row r="6181" ht="15" customHeight="1">
      <c r="A6181" t="inlineStr">
        <is>
          <t>A 32362-2025</t>
        </is>
      </c>
      <c r="B6181" s="1" t="n">
        <v>45837.63809027777</v>
      </c>
      <c r="C6181" s="1" t="n">
        <v>45962</v>
      </c>
      <c r="D6181" t="inlineStr">
        <is>
          <t>JÖNKÖPINGS LÄN</t>
        </is>
      </c>
      <c r="E6181" t="inlineStr">
        <is>
          <t>EKSJÖ</t>
        </is>
      </c>
      <c r="G6181" t="n">
        <v>1.2</v>
      </c>
      <c r="H6181" t="n">
        <v>0</v>
      </c>
      <c r="I6181" t="n">
        <v>0</v>
      </c>
      <c r="J6181" t="n">
        <v>0</v>
      </c>
      <c r="K6181" t="n">
        <v>0</v>
      </c>
      <c r="L6181" t="n">
        <v>0</v>
      </c>
      <c r="M6181" t="n">
        <v>0</v>
      </c>
      <c r="N6181" t="n">
        <v>0</v>
      </c>
      <c r="O6181" t="n">
        <v>0</v>
      </c>
      <c r="P6181" t="n">
        <v>0</v>
      </c>
      <c r="Q6181" t="n">
        <v>0</v>
      </c>
      <c r="R6181" s="2" t="inlineStr"/>
    </row>
    <row r="6182" ht="15" customHeight="1">
      <c r="A6182" t="inlineStr">
        <is>
          <t>A 33132-2025</t>
        </is>
      </c>
      <c r="B6182" s="1" t="n">
        <v>45840.5040625</v>
      </c>
      <c r="C6182" s="1" t="n">
        <v>45962</v>
      </c>
      <c r="D6182" t="inlineStr">
        <is>
          <t>JÖNKÖPINGS LÄN</t>
        </is>
      </c>
      <c r="E6182" t="inlineStr">
        <is>
          <t>EKSJÖ</t>
        </is>
      </c>
      <c r="G6182" t="n">
        <v>1.1</v>
      </c>
      <c r="H6182" t="n">
        <v>0</v>
      </c>
      <c r="I6182" t="n">
        <v>0</v>
      </c>
      <c r="J6182" t="n">
        <v>0</v>
      </c>
      <c r="K6182" t="n">
        <v>0</v>
      </c>
      <c r="L6182" t="n">
        <v>0</v>
      </c>
      <c r="M6182" t="n">
        <v>0</v>
      </c>
      <c r="N6182" t="n">
        <v>0</v>
      </c>
      <c r="O6182" t="n">
        <v>0</v>
      </c>
      <c r="P6182" t="n">
        <v>0</v>
      </c>
      <c r="Q6182" t="n">
        <v>0</v>
      </c>
      <c r="R6182" s="2" t="inlineStr"/>
    </row>
    <row r="6183" ht="15" customHeight="1">
      <c r="A6183" t="inlineStr">
        <is>
          <t>A 43470-2021</t>
        </is>
      </c>
      <c r="B6183" s="1" t="n">
        <v>44432.75258101852</v>
      </c>
      <c r="C6183" s="1" t="n">
        <v>45962</v>
      </c>
      <c r="D6183" t="inlineStr">
        <is>
          <t>JÖNKÖPINGS LÄN</t>
        </is>
      </c>
      <c r="E6183" t="inlineStr">
        <is>
          <t>GISLAVED</t>
        </is>
      </c>
      <c r="G6183" t="n">
        <v>1.1</v>
      </c>
      <c r="H6183" t="n">
        <v>0</v>
      </c>
      <c r="I6183" t="n">
        <v>0</v>
      </c>
      <c r="J6183" t="n">
        <v>0</v>
      </c>
      <c r="K6183" t="n">
        <v>0</v>
      </c>
      <c r="L6183" t="n">
        <v>0</v>
      </c>
      <c r="M6183" t="n">
        <v>0</v>
      </c>
      <c r="N6183" t="n">
        <v>0</v>
      </c>
      <c r="O6183" t="n">
        <v>0</v>
      </c>
      <c r="P6183" t="n">
        <v>0</v>
      </c>
      <c r="Q6183" t="n">
        <v>0</v>
      </c>
      <c r="R6183" s="2" t="inlineStr"/>
    </row>
    <row r="6184" ht="15" customHeight="1">
      <c r="A6184" t="inlineStr">
        <is>
          <t>A 47243-2021</t>
        </is>
      </c>
      <c r="B6184" s="1" t="n">
        <v>44447.38280092592</v>
      </c>
      <c r="C6184" s="1" t="n">
        <v>45962</v>
      </c>
      <c r="D6184" t="inlineStr">
        <is>
          <t>JÖNKÖPINGS LÄN</t>
        </is>
      </c>
      <c r="E6184" t="inlineStr">
        <is>
          <t>GISLAVED</t>
        </is>
      </c>
      <c r="G6184" t="n">
        <v>0.6</v>
      </c>
      <c r="H6184" t="n">
        <v>0</v>
      </c>
      <c r="I6184" t="n">
        <v>0</v>
      </c>
      <c r="J6184" t="n">
        <v>0</v>
      </c>
      <c r="K6184" t="n">
        <v>0</v>
      </c>
      <c r="L6184" t="n">
        <v>0</v>
      </c>
      <c r="M6184" t="n">
        <v>0</v>
      </c>
      <c r="N6184" t="n">
        <v>0</v>
      </c>
      <c r="O6184" t="n">
        <v>0</v>
      </c>
      <c r="P6184" t="n">
        <v>0</v>
      </c>
      <c r="Q6184" t="n">
        <v>0</v>
      </c>
      <c r="R6184" s="2" t="inlineStr"/>
    </row>
    <row r="6185" ht="15" customHeight="1">
      <c r="A6185" t="inlineStr">
        <is>
          <t>A 36700-2022</t>
        </is>
      </c>
      <c r="B6185" s="1" t="n">
        <v>44805.27554398148</v>
      </c>
      <c r="C6185" s="1" t="n">
        <v>45962</v>
      </c>
      <c r="D6185" t="inlineStr">
        <is>
          <t>JÖNKÖPINGS LÄN</t>
        </is>
      </c>
      <c r="E6185" t="inlineStr">
        <is>
          <t>VETLANDA</t>
        </is>
      </c>
      <c r="G6185" t="n">
        <v>1.1</v>
      </c>
      <c r="H6185" t="n">
        <v>0</v>
      </c>
      <c r="I6185" t="n">
        <v>0</v>
      </c>
      <c r="J6185" t="n">
        <v>0</v>
      </c>
      <c r="K6185" t="n">
        <v>0</v>
      </c>
      <c r="L6185" t="n">
        <v>0</v>
      </c>
      <c r="M6185" t="n">
        <v>0</v>
      </c>
      <c r="N6185" t="n">
        <v>0</v>
      </c>
      <c r="O6185" t="n">
        <v>0</v>
      </c>
      <c r="P6185" t="n">
        <v>0</v>
      </c>
      <c r="Q6185" t="n">
        <v>0</v>
      </c>
      <c r="R6185" s="2" t="inlineStr"/>
    </row>
    <row r="6186" ht="15" customHeight="1">
      <c r="A6186" t="inlineStr">
        <is>
          <t>A 15746-2025</t>
        </is>
      </c>
      <c r="B6186" s="1" t="n">
        <v>45748.55140046297</v>
      </c>
      <c r="C6186" s="1" t="n">
        <v>45962</v>
      </c>
      <c r="D6186" t="inlineStr">
        <is>
          <t>JÖNKÖPINGS LÄN</t>
        </is>
      </c>
      <c r="E6186" t="inlineStr">
        <is>
          <t>VAGGERYD</t>
        </is>
      </c>
      <c r="G6186" t="n">
        <v>1.7</v>
      </c>
      <c r="H6186" t="n">
        <v>0</v>
      </c>
      <c r="I6186" t="n">
        <v>0</v>
      </c>
      <c r="J6186" t="n">
        <v>0</v>
      </c>
      <c r="K6186" t="n">
        <v>0</v>
      </c>
      <c r="L6186" t="n">
        <v>0</v>
      </c>
      <c r="M6186" t="n">
        <v>0</v>
      </c>
      <c r="N6186" t="n">
        <v>0</v>
      </c>
      <c r="O6186" t="n">
        <v>0</v>
      </c>
      <c r="P6186" t="n">
        <v>0</v>
      </c>
      <c r="Q6186" t="n">
        <v>0</v>
      </c>
      <c r="R6186" s="2" t="inlineStr"/>
    </row>
    <row r="6187" ht="15" customHeight="1">
      <c r="A6187" t="inlineStr">
        <is>
          <t>A 39441-2025</t>
        </is>
      </c>
      <c r="B6187" s="1" t="n">
        <v>45889</v>
      </c>
      <c r="C6187" s="1" t="n">
        <v>45962</v>
      </c>
      <c r="D6187" t="inlineStr">
        <is>
          <t>JÖNKÖPINGS LÄN</t>
        </is>
      </c>
      <c r="E6187" t="inlineStr">
        <is>
          <t>ANEBY</t>
        </is>
      </c>
      <c r="G6187" t="n">
        <v>10.1</v>
      </c>
      <c r="H6187" t="n">
        <v>0</v>
      </c>
      <c r="I6187" t="n">
        <v>0</v>
      </c>
      <c r="J6187" t="n">
        <v>0</v>
      </c>
      <c r="K6187" t="n">
        <v>0</v>
      </c>
      <c r="L6187" t="n">
        <v>0</v>
      </c>
      <c r="M6187" t="n">
        <v>0</v>
      </c>
      <c r="N6187" t="n">
        <v>0</v>
      </c>
      <c r="O6187" t="n">
        <v>0</v>
      </c>
      <c r="P6187" t="n">
        <v>0</v>
      </c>
      <c r="Q6187" t="n">
        <v>0</v>
      </c>
      <c r="R6187" s="2" t="inlineStr"/>
    </row>
    <row r="6188" ht="15" customHeight="1">
      <c r="A6188" t="inlineStr">
        <is>
          <t>A 23203-2021</t>
        </is>
      </c>
      <c r="B6188" s="1" t="n">
        <v>44333.36237268519</v>
      </c>
      <c r="C6188" s="1" t="n">
        <v>45962</v>
      </c>
      <c r="D6188" t="inlineStr">
        <is>
          <t>JÖNKÖPINGS LÄN</t>
        </is>
      </c>
      <c r="E6188" t="inlineStr">
        <is>
          <t>GISLAVED</t>
        </is>
      </c>
      <c r="G6188" t="n">
        <v>1.2</v>
      </c>
      <c r="H6188" t="n">
        <v>0</v>
      </c>
      <c r="I6188" t="n">
        <v>0</v>
      </c>
      <c r="J6188" t="n">
        <v>0</v>
      </c>
      <c r="K6188" t="n">
        <v>0</v>
      </c>
      <c r="L6188" t="n">
        <v>0</v>
      </c>
      <c r="M6188" t="n">
        <v>0</v>
      </c>
      <c r="N6188" t="n">
        <v>0</v>
      </c>
      <c r="O6188" t="n">
        <v>0</v>
      </c>
      <c r="P6188" t="n">
        <v>0</v>
      </c>
      <c r="Q6188" t="n">
        <v>0</v>
      </c>
      <c r="R6188" s="2" t="inlineStr"/>
    </row>
    <row r="6189" ht="15" customHeight="1">
      <c r="A6189" t="inlineStr">
        <is>
          <t>A 47223-2025</t>
        </is>
      </c>
      <c r="B6189" s="1" t="n">
        <v>45930.38884259259</v>
      </c>
      <c r="C6189" s="1" t="n">
        <v>45962</v>
      </c>
      <c r="D6189" t="inlineStr">
        <is>
          <t>JÖNKÖPINGS LÄN</t>
        </is>
      </c>
      <c r="E6189" t="inlineStr">
        <is>
          <t>GISLAVED</t>
        </is>
      </c>
      <c r="G6189" t="n">
        <v>0.8</v>
      </c>
      <c r="H6189" t="n">
        <v>0</v>
      </c>
      <c r="I6189" t="n">
        <v>0</v>
      </c>
      <c r="J6189" t="n">
        <v>0</v>
      </c>
      <c r="K6189" t="n">
        <v>0</v>
      </c>
      <c r="L6189" t="n">
        <v>0</v>
      </c>
      <c r="M6189" t="n">
        <v>0</v>
      </c>
      <c r="N6189" t="n">
        <v>0</v>
      </c>
      <c r="O6189" t="n">
        <v>0</v>
      </c>
      <c r="P6189" t="n">
        <v>0</v>
      </c>
      <c r="Q6189" t="n">
        <v>0</v>
      </c>
      <c r="R6189" s="2" t="inlineStr"/>
    </row>
    <row r="6190" ht="15" customHeight="1">
      <c r="A6190" t="inlineStr">
        <is>
          <t>A 53300-2022</t>
        </is>
      </c>
      <c r="B6190" s="1" t="n">
        <v>44877</v>
      </c>
      <c r="C6190" s="1" t="n">
        <v>45962</v>
      </c>
      <c r="D6190" t="inlineStr">
        <is>
          <t>JÖNKÖPINGS LÄN</t>
        </is>
      </c>
      <c r="E6190" t="inlineStr">
        <is>
          <t>HABO</t>
        </is>
      </c>
      <c r="G6190" t="n">
        <v>2.2</v>
      </c>
      <c r="H6190" t="n">
        <v>0</v>
      </c>
      <c r="I6190" t="n">
        <v>0</v>
      </c>
      <c r="J6190" t="n">
        <v>0</v>
      </c>
      <c r="K6190" t="n">
        <v>0</v>
      </c>
      <c r="L6190" t="n">
        <v>0</v>
      </c>
      <c r="M6190" t="n">
        <v>0</v>
      </c>
      <c r="N6190" t="n">
        <v>0</v>
      </c>
      <c r="O6190" t="n">
        <v>0</v>
      </c>
      <c r="P6190" t="n">
        <v>0</v>
      </c>
      <c r="Q6190" t="n">
        <v>0</v>
      </c>
      <c r="R6190" s="2" t="inlineStr"/>
    </row>
    <row r="6191" ht="15" customHeight="1">
      <c r="A6191" t="inlineStr">
        <is>
          <t>A 25076-2024</t>
        </is>
      </c>
      <c r="B6191" s="1" t="n">
        <v>45462.37888888889</v>
      </c>
      <c r="C6191" s="1" t="n">
        <v>45962</v>
      </c>
      <c r="D6191" t="inlineStr">
        <is>
          <t>JÖNKÖPINGS LÄN</t>
        </is>
      </c>
      <c r="E6191" t="inlineStr">
        <is>
          <t>JÖNKÖPING</t>
        </is>
      </c>
      <c r="G6191" t="n">
        <v>1</v>
      </c>
      <c r="H6191" t="n">
        <v>0</v>
      </c>
      <c r="I6191" t="n">
        <v>0</v>
      </c>
      <c r="J6191" t="n">
        <v>0</v>
      </c>
      <c r="K6191" t="n">
        <v>0</v>
      </c>
      <c r="L6191" t="n">
        <v>0</v>
      </c>
      <c r="M6191" t="n">
        <v>0</v>
      </c>
      <c r="N6191" t="n">
        <v>0</v>
      </c>
      <c r="O6191" t="n">
        <v>0</v>
      </c>
      <c r="P6191" t="n">
        <v>0</v>
      </c>
      <c r="Q6191" t="n">
        <v>0</v>
      </c>
      <c r="R6191" s="2" t="inlineStr"/>
    </row>
    <row r="6192" ht="15" customHeight="1">
      <c r="A6192" t="inlineStr">
        <is>
          <t>A 39013-2025</t>
        </is>
      </c>
      <c r="B6192" s="1" t="n">
        <v>45888.35678240741</v>
      </c>
      <c r="C6192" s="1" t="n">
        <v>45962</v>
      </c>
      <c r="D6192" t="inlineStr">
        <is>
          <t>JÖNKÖPINGS LÄN</t>
        </is>
      </c>
      <c r="E6192" t="inlineStr">
        <is>
          <t>VETLANDA</t>
        </is>
      </c>
      <c r="G6192" t="n">
        <v>0</v>
      </c>
      <c r="H6192" t="n">
        <v>0</v>
      </c>
      <c r="I6192" t="n">
        <v>0</v>
      </c>
      <c r="J6192" t="n">
        <v>0</v>
      </c>
      <c r="K6192" t="n">
        <v>0</v>
      </c>
      <c r="L6192" t="n">
        <v>0</v>
      </c>
      <c r="M6192" t="n">
        <v>0</v>
      </c>
      <c r="N6192" t="n">
        <v>0</v>
      </c>
      <c r="O6192" t="n">
        <v>0</v>
      </c>
      <c r="P6192" t="n">
        <v>0</v>
      </c>
      <c r="Q6192" t="n">
        <v>0</v>
      </c>
      <c r="R6192" s="2" t="inlineStr"/>
    </row>
    <row r="6193" ht="15" customHeight="1">
      <c r="A6193" t="inlineStr">
        <is>
          <t>A 39017-2025</t>
        </is>
      </c>
      <c r="B6193" s="1" t="n">
        <v>45888.36869212963</v>
      </c>
      <c r="C6193" s="1" t="n">
        <v>45962</v>
      </c>
      <c r="D6193" t="inlineStr">
        <is>
          <t>JÖNKÖPINGS LÄN</t>
        </is>
      </c>
      <c r="E6193" t="inlineStr">
        <is>
          <t>VETLANDA</t>
        </is>
      </c>
      <c r="G6193" t="n">
        <v>0.6</v>
      </c>
      <c r="H6193" t="n">
        <v>0</v>
      </c>
      <c r="I6193" t="n">
        <v>0</v>
      </c>
      <c r="J6193" t="n">
        <v>0</v>
      </c>
      <c r="K6193" t="n">
        <v>0</v>
      </c>
      <c r="L6193" t="n">
        <v>0</v>
      </c>
      <c r="M6193" t="n">
        <v>0</v>
      </c>
      <c r="N6193" t="n">
        <v>0</v>
      </c>
      <c r="O6193" t="n">
        <v>0</v>
      </c>
      <c r="P6193" t="n">
        <v>0</v>
      </c>
      <c r="Q6193" t="n">
        <v>0</v>
      </c>
      <c r="R6193" s="2" t="inlineStr"/>
    </row>
    <row r="6194" ht="15" customHeight="1">
      <c r="A6194" t="inlineStr">
        <is>
          <t>A 7224-2023</t>
        </is>
      </c>
      <c r="B6194" s="1" t="n">
        <v>44970.59005787037</v>
      </c>
      <c r="C6194" s="1" t="n">
        <v>45962</v>
      </c>
      <c r="D6194" t="inlineStr">
        <is>
          <t>JÖNKÖPINGS LÄN</t>
        </is>
      </c>
      <c r="E6194" t="inlineStr">
        <is>
          <t>GISLAVED</t>
        </is>
      </c>
      <c r="G6194" t="n">
        <v>0.5</v>
      </c>
      <c r="H6194" t="n">
        <v>0</v>
      </c>
      <c r="I6194" t="n">
        <v>0</v>
      </c>
      <c r="J6194" t="n">
        <v>0</v>
      </c>
      <c r="K6194" t="n">
        <v>0</v>
      </c>
      <c r="L6194" t="n">
        <v>0</v>
      </c>
      <c r="M6194" t="n">
        <v>0</v>
      </c>
      <c r="N6194" t="n">
        <v>0</v>
      </c>
      <c r="O6194" t="n">
        <v>0</v>
      </c>
      <c r="P6194" t="n">
        <v>0</v>
      </c>
      <c r="Q6194" t="n">
        <v>0</v>
      </c>
      <c r="R6194" s="2" t="inlineStr"/>
    </row>
    <row r="6195" ht="15" customHeight="1">
      <c r="A6195" t="inlineStr">
        <is>
          <t>A 36727-2025</t>
        </is>
      </c>
      <c r="B6195" s="1" t="n">
        <v>45873.49216435185</v>
      </c>
      <c r="C6195" s="1" t="n">
        <v>45962</v>
      </c>
      <c r="D6195" t="inlineStr">
        <is>
          <t>JÖNKÖPINGS LÄN</t>
        </is>
      </c>
      <c r="E6195" t="inlineStr">
        <is>
          <t>VAGGERYD</t>
        </is>
      </c>
      <c r="G6195" t="n">
        <v>4.5</v>
      </c>
      <c r="H6195" t="n">
        <v>0</v>
      </c>
      <c r="I6195" t="n">
        <v>0</v>
      </c>
      <c r="J6195" t="n">
        <v>0</v>
      </c>
      <c r="K6195" t="n">
        <v>0</v>
      </c>
      <c r="L6195" t="n">
        <v>0</v>
      </c>
      <c r="M6195" t="n">
        <v>0</v>
      </c>
      <c r="N6195" t="n">
        <v>0</v>
      </c>
      <c r="O6195" t="n">
        <v>0</v>
      </c>
      <c r="P6195" t="n">
        <v>0</v>
      </c>
      <c r="Q6195" t="n">
        <v>0</v>
      </c>
      <c r="R6195" s="2" t="inlineStr"/>
    </row>
    <row r="6196" ht="15" customHeight="1">
      <c r="A6196" t="inlineStr">
        <is>
          <t>A 10682-2023</t>
        </is>
      </c>
      <c r="B6196" s="1" t="n">
        <v>44988.55130787037</v>
      </c>
      <c r="C6196" s="1" t="n">
        <v>45962</v>
      </c>
      <c r="D6196" t="inlineStr">
        <is>
          <t>JÖNKÖPINGS LÄN</t>
        </is>
      </c>
      <c r="E6196" t="inlineStr">
        <is>
          <t>NÄSSJÖ</t>
        </is>
      </c>
      <c r="G6196" t="n">
        <v>1.4</v>
      </c>
      <c r="H6196" t="n">
        <v>0</v>
      </c>
      <c r="I6196" t="n">
        <v>0</v>
      </c>
      <c r="J6196" t="n">
        <v>0</v>
      </c>
      <c r="K6196" t="n">
        <v>0</v>
      </c>
      <c r="L6196" t="n">
        <v>0</v>
      </c>
      <c r="M6196" t="n">
        <v>0</v>
      </c>
      <c r="N6196" t="n">
        <v>0</v>
      </c>
      <c r="O6196" t="n">
        <v>0</v>
      </c>
      <c r="P6196" t="n">
        <v>0</v>
      </c>
      <c r="Q6196" t="n">
        <v>0</v>
      </c>
      <c r="R6196" s="2" t="inlineStr"/>
    </row>
    <row r="6197" ht="15" customHeight="1">
      <c r="A6197" t="inlineStr">
        <is>
          <t>A 39427-2025</t>
        </is>
      </c>
      <c r="B6197" s="1" t="n">
        <v>45889</v>
      </c>
      <c r="C6197" s="1" t="n">
        <v>45962</v>
      </c>
      <c r="D6197" t="inlineStr">
        <is>
          <t>JÖNKÖPINGS LÄN</t>
        </is>
      </c>
      <c r="E6197" t="inlineStr">
        <is>
          <t>ANEBY</t>
        </is>
      </c>
      <c r="G6197" t="n">
        <v>1.4</v>
      </c>
      <c r="H6197" t="n">
        <v>0</v>
      </c>
      <c r="I6197" t="n">
        <v>0</v>
      </c>
      <c r="J6197" t="n">
        <v>0</v>
      </c>
      <c r="K6197" t="n">
        <v>0</v>
      </c>
      <c r="L6197" t="n">
        <v>0</v>
      </c>
      <c r="M6197" t="n">
        <v>0</v>
      </c>
      <c r="N6197" t="n">
        <v>0</v>
      </c>
      <c r="O6197" t="n">
        <v>0</v>
      </c>
      <c r="P6197" t="n">
        <v>0</v>
      </c>
      <c r="Q6197" t="n">
        <v>0</v>
      </c>
      <c r="R6197" s="2" t="inlineStr"/>
    </row>
    <row r="6198" ht="15" customHeight="1">
      <c r="A6198" t="inlineStr">
        <is>
          <t>A 60894-2024</t>
        </is>
      </c>
      <c r="B6198" s="1" t="n">
        <v>45645.2422337963</v>
      </c>
      <c r="C6198" s="1" t="n">
        <v>45962</v>
      </c>
      <c r="D6198" t="inlineStr">
        <is>
          <t>JÖNKÖPINGS LÄN</t>
        </is>
      </c>
      <c r="E6198" t="inlineStr">
        <is>
          <t>NÄSSJÖ</t>
        </is>
      </c>
      <c r="G6198" t="n">
        <v>1</v>
      </c>
      <c r="H6198" t="n">
        <v>0</v>
      </c>
      <c r="I6198" t="n">
        <v>0</v>
      </c>
      <c r="J6198" t="n">
        <v>0</v>
      </c>
      <c r="K6198" t="n">
        <v>0</v>
      </c>
      <c r="L6198" t="n">
        <v>0</v>
      </c>
      <c r="M6198" t="n">
        <v>0</v>
      </c>
      <c r="N6198" t="n">
        <v>0</v>
      </c>
      <c r="O6198" t="n">
        <v>0</v>
      </c>
      <c r="P6198" t="n">
        <v>0</v>
      </c>
      <c r="Q6198" t="n">
        <v>0</v>
      </c>
      <c r="R6198" s="2" t="inlineStr"/>
    </row>
    <row r="6199" ht="15" customHeight="1">
      <c r="A6199" t="inlineStr">
        <is>
          <t>A 4188-2023</t>
        </is>
      </c>
      <c r="B6199" s="1" t="n">
        <v>44953</v>
      </c>
      <c r="C6199" s="1" t="n">
        <v>45962</v>
      </c>
      <c r="D6199" t="inlineStr">
        <is>
          <t>JÖNKÖPINGS LÄN</t>
        </is>
      </c>
      <c r="E6199" t="inlineStr">
        <is>
          <t>VAGGERYD</t>
        </is>
      </c>
      <c r="F6199" t="inlineStr">
        <is>
          <t>Sveaskog</t>
        </is>
      </c>
      <c r="G6199" t="n">
        <v>0.6</v>
      </c>
      <c r="H6199" t="n">
        <v>0</v>
      </c>
      <c r="I6199" t="n">
        <v>0</v>
      </c>
      <c r="J6199" t="n">
        <v>0</v>
      </c>
      <c r="K6199" t="n">
        <v>0</v>
      </c>
      <c r="L6199" t="n">
        <v>0</v>
      </c>
      <c r="M6199" t="n">
        <v>0</v>
      </c>
      <c r="N6199" t="n">
        <v>0</v>
      </c>
      <c r="O6199" t="n">
        <v>0</v>
      </c>
      <c r="P6199" t="n">
        <v>0</v>
      </c>
      <c r="Q6199" t="n">
        <v>0</v>
      </c>
      <c r="R6199" s="2" t="inlineStr"/>
    </row>
    <row r="6200" ht="15" customHeight="1">
      <c r="A6200" t="inlineStr">
        <is>
          <t>A 57471-2022</t>
        </is>
      </c>
      <c r="B6200" s="1" t="n">
        <v>44896.58753472222</v>
      </c>
      <c r="C6200" s="1" t="n">
        <v>45962</v>
      </c>
      <c r="D6200" t="inlineStr">
        <is>
          <t>JÖNKÖPINGS LÄN</t>
        </is>
      </c>
      <c r="E6200" t="inlineStr">
        <is>
          <t>SÄVSJÖ</t>
        </is>
      </c>
      <c r="G6200" t="n">
        <v>1.2</v>
      </c>
      <c r="H6200" t="n">
        <v>0</v>
      </c>
      <c r="I6200" t="n">
        <v>0</v>
      </c>
      <c r="J6200" t="n">
        <v>0</v>
      </c>
      <c r="K6200" t="n">
        <v>0</v>
      </c>
      <c r="L6200" t="n">
        <v>0</v>
      </c>
      <c r="M6200" t="n">
        <v>0</v>
      </c>
      <c r="N6200" t="n">
        <v>0</v>
      </c>
      <c r="O6200" t="n">
        <v>0</v>
      </c>
      <c r="P6200" t="n">
        <v>0</v>
      </c>
      <c r="Q6200" t="n">
        <v>0</v>
      </c>
      <c r="R6200" s="2" t="inlineStr"/>
    </row>
    <row r="6201" ht="15" customHeight="1">
      <c r="A6201" t="inlineStr">
        <is>
          <t>A 37645-2024</t>
        </is>
      </c>
      <c r="B6201" s="1" t="n">
        <v>45541.54959490741</v>
      </c>
      <c r="C6201" s="1" t="n">
        <v>45962</v>
      </c>
      <c r="D6201" t="inlineStr">
        <is>
          <t>JÖNKÖPINGS LÄN</t>
        </is>
      </c>
      <c r="E6201" t="inlineStr">
        <is>
          <t>VETLANDA</t>
        </is>
      </c>
      <c r="G6201" t="n">
        <v>1.4</v>
      </c>
      <c r="H6201" t="n">
        <v>0</v>
      </c>
      <c r="I6201" t="n">
        <v>0</v>
      </c>
      <c r="J6201" t="n">
        <v>0</v>
      </c>
      <c r="K6201" t="n">
        <v>0</v>
      </c>
      <c r="L6201" t="n">
        <v>0</v>
      </c>
      <c r="M6201" t="n">
        <v>0</v>
      </c>
      <c r="N6201" t="n">
        <v>0</v>
      </c>
      <c r="O6201" t="n">
        <v>0</v>
      </c>
      <c r="P6201" t="n">
        <v>0</v>
      </c>
      <c r="Q6201" t="n">
        <v>0</v>
      </c>
      <c r="R6201" s="2" t="inlineStr"/>
    </row>
    <row r="6202" ht="15" customHeight="1">
      <c r="A6202" t="inlineStr">
        <is>
          <t>A 16458-2025</t>
        </is>
      </c>
      <c r="B6202" s="1" t="n">
        <v>45751.52873842593</v>
      </c>
      <c r="C6202" s="1" t="n">
        <v>45962</v>
      </c>
      <c r="D6202" t="inlineStr">
        <is>
          <t>JÖNKÖPINGS LÄN</t>
        </is>
      </c>
      <c r="E6202" t="inlineStr">
        <is>
          <t>HABO</t>
        </is>
      </c>
      <c r="G6202" t="n">
        <v>2.5</v>
      </c>
      <c r="H6202" t="n">
        <v>0</v>
      </c>
      <c r="I6202" t="n">
        <v>0</v>
      </c>
      <c r="J6202" t="n">
        <v>0</v>
      </c>
      <c r="K6202" t="n">
        <v>0</v>
      </c>
      <c r="L6202" t="n">
        <v>0</v>
      </c>
      <c r="M6202" t="n">
        <v>0</v>
      </c>
      <c r="N6202" t="n">
        <v>0</v>
      </c>
      <c r="O6202" t="n">
        <v>0</v>
      </c>
      <c r="P6202" t="n">
        <v>0</v>
      </c>
      <c r="Q6202" t="n">
        <v>0</v>
      </c>
      <c r="R6202" s="2" t="inlineStr"/>
    </row>
    <row r="6203" ht="15" customHeight="1">
      <c r="A6203" t="inlineStr">
        <is>
          <t>A 47070-2023</t>
        </is>
      </c>
      <c r="B6203" s="1" t="n">
        <v>45201</v>
      </c>
      <c r="C6203" s="1" t="n">
        <v>45962</v>
      </c>
      <c r="D6203" t="inlineStr">
        <is>
          <t>JÖNKÖPINGS LÄN</t>
        </is>
      </c>
      <c r="E6203" t="inlineStr">
        <is>
          <t>JÖNKÖPING</t>
        </is>
      </c>
      <c r="G6203" t="n">
        <v>1.2</v>
      </c>
      <c r="H6203" t="n">
        <v>0</v>
      </c>
      <c r="I6203" t="n">
        <v>0</v>
      </c>
      <c r="J6203" t="n">
        <v>0</v>
      </c>
      <c r="K6203" t="n">
        <v>0</v>
      </c>
      <c r="L6203" t="n">
        <v>0</v>
      </c>
      <c r="M6203" t="n">
        <v>0</v>
      </c>
      <c r="N6203" t="n">
        <v>0</v>
      </c>
      <c r="O6203" t="n">
        <v>0</v>
      </c>
      <c r="P6203" t="n">
        <v>0</v>
      </c>
      <c r="Q6203" t="n">
        <v>0</v>
      </c>
      <c r="R6203" s="2" t="inlineStr"/>
    </row>
    <row r="6204" ht="15" customHeight="1">
      <c r="A6204" t="inlineStr">
        <is>
          <t>A 15401-2025</t>
        </is>
      </c>
      <c r="B6204" s="1" t="n">
        <v>45747.4444212963</v>
      </c>
      <c r="C6204" s="1" t="n">
        <v>45962</v>
      </c>
      <c r="D6204" t="inlineStr">
        <is>
          <t>JÖNKÖPINGS LÄN</t>
        </is>
      </c>
      <c r="E6204" t="inlineStr">
        <is>
          <t>SÄVSJÖ</t>
        </is>
      </c>
      <c r="G6204" t="n">
        <v>1.6</v>
      </c>
      <c r="H6204" t="n">
        <v>0</v>
      </c>
      <c r="I6204" t="n">
        <v>0</v>
      </c>
      <c r="J6204" t="n">
        <v>0</v>
      </c>
      <c r="K6204" t="n">
        <v>0</v>
      </c>
      <c r="L6204" t="n">
        <v>0</v>
      </c>
      <c r="M6204" t="n">
        <v>0</v>
      </c>
      <c r="N6204" t="n">
        <v>0</v>
      </c>
      <c r="O6204" t="n">
        <v>0</v>
      </c>
      <c r="P6204" t="n">
        <v>0</v>
      </c>
      <c r="Q6204" t="n">
        <v>0</v>
      </c>
      <c r="R6204" s="2" t="inlineStr"/>
    </row>
    <row r="6205" ht="15" customHeight="1">
      <c r="A6205" t="inlineStr">
        <is>
          <t>A 39216-2025</t>
        </is>
      </c>
      <c r="B6205" s="1" t="n">
        <v>45888.82597222222</v>
      </c>
      <c r="C6205" s="1" t="n">
        <v>45962</v>
      </c>
      <c r="D6205" t="inlineStr">
        <is>
          <t>JÖNKÖPINGS LÄN</t>
        </is>
      </c>
      <c r="E6205" t="inlineStr">
        <is>
          <t>VAGGERYD</t>
        </is>
      </c>
      <c r="G6205" t="n">
        <v>1.5</v>
      </c>
      <c r="H6205" t="n">
        <v>0</v>
      </c>
      <c r="I6205" t="n">
        <v>0</v>
      </c>
      <c r="J6205" t="n">
        <v>0</v>
      </c>
      <c r="K6205" t="n">
        <v>0</v>
      </c>
      <c r="L6205" t="n">
        <v>0</v>
      </c>
      <c r="M6205" t="n">
        <v>0</v>
      </c>
      <c r="N6205" t="n">
        <v>0</v>
      </c>
      <c r="O6205" t="n">
        <v>0</v>
      </c>
      <c r="P6205" t="n">
        <v>0</v>
      </c>
      <c r="Q6205" t="n">
        <v>0</v>
      </c>
      <c r="R6205" s="2" t="inlineStr"/>
    </row>
    <row r="6206" ht="15" customHeight="1">
      <c r="A6206" t="inlineStr">
        <is>
          <t>A 47756-2025</t>
        </is>
      </c>
      <c r="B6206" s="1" t="n">
        <v>45931.66736111111</v>
      </c>
      <c r="C6206" s="1" t="n">
        <v>45962</v>
      </c>
      <c r="D6206" t="inlineStr">
        <is>
          <t>JÖNKÖPINGS LÄN</t>
        </is>
      </c>
      <c r="E6206" t="inlineStr">
        <is>
          <t>TRANÅS</t>
        </is>
      </c>
      <c r="F6206" t="inlineStr">
        <is>
          <t>Allmännings- och besparingsskogar</t>
        </is>
      </c>
      <c r="G6206" t="n">
        <v>5.1</v>
      </c>
      <c r="H6206" t="n">
        <v>0</v>
      </c>
      <c r="I6206" t="n">
        <v>0</v>
      </c>
      <c r="J6206" t="n">
        <v>0</v>
      </c>
      <c r="K6206" t="n">
        <v>0</v>
      </c>
      <c r="L6206" t="n">
        <v>0</v>
      </c>
      <c r="M6206" t="n">
        <v>0</v>
      </c>
      <c r="N6206" t="n">
        <v>0</v>
      </c>
      <c r="O6206" t="n">
        <v>0</v>
      </c>
      <c r="P6206" t="n">
        <v>0</v>
      </c>
      <c r="Q6206" t="n">
        <v>0</v>
      </c>
      <c r="R6206" s="2" t="inlineStr"/>
    </row>
    <row r="6207" ht="15" customHeight="1">
      <c r="A6207" t="inlineStr">
        <is>
          <t>A 47297-2025</t>
        </is>
      </c>
      <c r="B6207" s="1" t="n">
        <v>45930.49594907407</v>
      </c>
      <c r="C6207" s="1" t="n">
        <v>45962</v>
      </c>
      <c r="D6207" t="inlineStr">
        <is>
          <t>JÖNKÖPINGS LÄN</t>
        </is>
      </c>
      <c r="E6207" t="inlineStr">
        <is>
          <t>VETLANDA</t>
        </is>
      </c>
      <c r="G6207" t="n">
        <v>0.9</v>
      </c>
      <c r="H6207" t="n">
        <v>0</v>
      </c>
      <c r="I6207" t="n">
        <v>0</v>
      </c>
      <c r="J6207" t="n">
        <v>0</v>
      </c>
      <c r="K6207" t="n">
        <v>0</v>
      </c>
      <c r="L6207" t="n">
        <v>0</v>
      </c>
      <c r="M6207" t="n">
        <v>0</v>
      </c>
      <c r="N6207" t="n">
        <v>0</v>
      </c>
      <c r="O6207" t="n">
        <v>0</v>
      </c>
      <c r="P6207" t="n">
        <v>0</v>
      </c>
      <c r="Q6207" t="n">
        <v>0</v>
      </c>
      <c r="R6207" s="2" t="inlineStr"/>
    </row>
    <row r="6208" ht="15" customHeight="1">
      <c r="A6208" t="inlineStr">
        <is>
          <t>A 38347-2022</t>
        </is>
      </c>
      <c r="B6208" s="1" t="n">
        <v>44812.63449074074</v>
      </c>
      <c r="C6208" s="1" t="n">
        <v>45962</v>
      </c>
      <c r="D6208" t="inlineStr">
        <is>
          <t>JÖNKÖPINGS LÄN</t>
        </is>
      </c>
      <c r="E6208" t="inlineStr">
        <is>
          <t>GISLAVED</t>
        </is>
      </c>
      <c r="G6208" t="n">
        <v>1.3</v>
      </c>
      <c r="H6208" t="n">
        <v>0</v>
      </c>
      <c r="I6208" t="n">
        <v>0</v>
      </c>
      <c r="J6208" t="n">
        <v>0</v>
      </c>
      <c r="K6208" t="n">
        <v>0</v>
      </c>
      <c r="L6208" t="n">
        <v>0</v>
      </c>
      <c r="M6208" t="n">
        <v>0</v>
      </c>
      <c r="N6208" t="n">
        <v>0</v>
      </c>
      <c r="O6208" t="n">
        <v>0</v>
      </c>
      <c r="P6208" t="n">
        <v>0</v>
      </c>
      <c r="Q6208" t="n">
        <v>0</v>
      </c>
      <c r="R6208" s="2" t="inlineStr"/>
    </row>
    <row r="6209" ht="15" customHeight="1">
      <c r="A6209" t="inlineStr">
        <is>
          <t>A 55381-2023</t>
        </is>
      </c>
      <c r="B6209" s="1" t="n">
        <v>45238.35755787037</v>
      </c>
      <c r="C6209" s="1" t="n">
        <v>45962</v>
      </c>
      <c r="D6209" t="inlineStr">
        <is>
          <t>JÖNKÖPINGS LÄN</t>
        </is>
      </c>
      <c r="E6209" t="inlineStr">
        <is>
          <t>SÄVSJÖ</t>
        </is>
      </c>
      <c r="G6209" t="n">
        <v>0.4</v>
      </c>
      <c r="H6209" t="n">
        <v>0</v>
      </c>
      <c r="I6209" t="n">
        <v>0</v>
      </c>
      <c r="J6209" t="n">
        <v>0</v>
      </c>
      <c r="K6209" t="n">
        <v>0</v>
      </c>
      <c r="L6209" t="n">
        <v>0</v>
      </c>
      <c r="M6209" t="n">
        <v>0</v>
      </c>
      <c r="N6209" t="n">
        <v>0</v>
      </c>
      <c r="O6209" t="n">
        <v>0</v>
      </c>
      <c r="P6209" t="n">
        <v>0</v>
      </c>
      <c r="Q6209" t="n">
        <v>0</v>
      </c>
      <c r="R6209" s="2" t="inlineStr"/>
    </row>
    <row r="6210" ht="15" customHeight="1">
      <c r="A6210" t="inlineStr">
        <is>
          <t>A 13455-2021</t>
        </is>
      </c>
      <c r="B6210" s="1" t="n">
        <v>44273.58916666666</v>
      </c>
      <c r="C6210" s="1" t="n">
        <v>45962</v>
      </c>
      <c r="D6210" t="inlineStr">
        <is>
          <t>JÖNKÖPINGS LÄN</t>
        </is>
      </c>
      <c r="E6210" t="inlineStr">
        <is>
          <t>GISLAVED</t>
        </is>
      </c>
      <c r="G6210" t="n">
        <v>1</v>
      </c>
      <c r="H6210" t="n">
        <v>0</v>
      </c>
      <c r="I6210" t="n">
        <v>0</v>
      </c>
      <c r="J6210" t="n">
        <v>0</v>
      </c>
      <c r="K6210" t="n">
        <v>0</v>
      </c>
      <c r="L6210" t="n">
        <v>0</v>
      </c>
      <c r="M6210" t="n">
        <v>0</v>
      </c>
      <c r="N6210" t="n">
        <v>0</v>
      </c>
      <c r="O6210" t="n">
        <v>0</v>
      </c>
      <c r="P6210" t="n">
        <v>0</v>
      </c>
      <c r="Q6210" t="n">
        <v>0</v>
      </c>
      <c r="R6210" s="2" t="inlineStr"/>
    </row>
    <row r="6211" ht="15" customHeight="1">
      <c r="A6211" t="inlineStr">
        <is>
          <t>A 17816-2025</t>
        </is>
      </c>
      <c r="B6211" s="1" t="n">
        <v>45758</v>
      </c>
      <c r="C6211" s="1" t="n">
        <v>45962</v>
      </c>
      <c r="D6211" t="inlineStr">
        <is>
          <t>JÖNKÖPINGS LÄN</t>
        </is>
      </c>
      <c r="E6211" t="inlineStr">
        <is>
          <t>NÄSSJÖ</t>
        </is>
      </c>
      <c r="G6211" t="n">
        <v>2.3</v>
      </c>
      <c r="H6211" t="n">
        <v>0</v>
      </c>
      <c r="I6211" t="n">
        <v>0</v>
      </c>
      <c r="J6211" t="n">
        <v>0</v>
      </c>
      <c r="K6211" t="n">
        <v>0</v>
      </c>
      <c r="L6211" t="n">
        <v>0</v>
      </c>
      <c r="M6211" t="n">
        <v>0</v>
      </c>
      <c r="N6211" t="n">
        <v>0</v>
      </c>
      <c r="O6211" t="n">
        <v>0</v>
      </c>
      <c r="P6211" t="n">
        <v>0</v>
      </c>
      <c r="Q6211" t="n">
        <v>0</v>
      </c>
      <c r="R6211" s="2" t="inlineStr"/>
    </row>
    <row r="6212" ht="15" customHeight="1">
      <c r="A6212" t="inlineStr">
        <is>
          <t>A 22868-2025</t>
        </is>
      </c>
      <c r="B6212" s="1" t="n">
        <v>45790.36645833333</v>
      </c>
      <c r="C6212" s="1" t="n">
        <v>45962</v>
      </c>
      <c r="D6212" t="inlineStr">
        <is>
          <t>JÖNKÖPINGS LÄN</t>
        </is>
      </c>
      <c r="E6212" t="inlineStr">
        <is>
          <t>GISLAVED</t>
        </is>
      </c>
      <c r="G6212" t="n">
        <v>1.7</v>
      </c>
      <c r="H6212" t="n">
        <v>0</v>
      </c>
      <c r="I6212" t="n">
        <v>0</v>
      </c>
      <c r="J6212" t="n">
        <v>0</v>
      </c>
      <c r="K6212" t="n">
        <v>0</v>
      </c>
      <c r="L6212" t="n">
        <v>0</v>
      </c>
      <c r="M6212" t="n">
        <v>0</v>
      </c>
      <c r="N6212" t="n">
        <v>0</v>
      </c>
      <c r="O6212" t="n">
        <v>0</v>
      </c>
      <c r="P6212" t="n">
        <v>0</v>
      </c>
      <c r="Q6212" t="n">
        <v>0</v>
      </c>
      <c r="R6212" s="2" t="inlineStr"/>
    </row>
    <row r="6213" ht="15" customHeight="1">
      <c r="A6213" t="inlineStr">
        <is>
          <t>A 2027-2025</t>
        </is>
      </c>
      <c r="B6213" s="1" t="n">
        <v>45672.48421296296</v>
      </c>
      <c r="C6213" s="1" t="n">
        <v>45962</v>
      </c>
      <c r="D6213" t="inlineStr">
        <is>
          <t>JÖNKÖPINGS LÄN</t>
        </is>
      </c>
      <c r="E6213" t="inlineStr">
        <is>
          <t>VAGGERYD</t>
        </is>
      </c>
      <c r="F6213" t="inlineStr">
        <is>
          <t>Sveaskog</t>
        </is>
      </c>
      <c r="G6213" t="n">
        <v>2.2</v>
      </c>
      <c r="H6213" t="n">
        <v>0</v>
      </c>
      <c r="I6213" t="n">
        <v>0</v>
      </c>
      <c r="J6213" t="n">
        <v>0</v>
      </c>
      <c r="K6213" t="n">
        <v>0</v>
      </c>
      <c r="L6213" t="n">
        <v>0</v>
      </c>
      <c r="M6213" t="n">
        <v>0</v>
      </c>
      <c r="N6213" t="n">
        <v>0</v>
      </c>
      <c r="O6213" t="n">
        <v>0</v>
      </c>
      <c r="P6213" t="n">
        <v>0</v>
      </c>
      <c r="Q6213" t="n">
        <v>0</v>
      </c>
      <c r="R6213" s="2" t="inlineStr"/>
    </row>
    <row r="6214" ht="15" customHeight="1">
      <c r="A6214" t="inlineStr">
        <is>
          <t>A 44573-2023</t>
        </is>
      </c>
      <c r="B6214" s="1" t="n">
        <v>45189.56726851852</v>
      </c>
      <c r="C6214" s="1" t="n">
        <v>45962</v>
      </c>
      <c r="D6214" t="inlineStr">
        <is>
          <t>JÖNKÖPINGS LÄN</t>
        </is>
      </c>
      <c r="E6214" t="inlineStr">
        <is>
          <t>GISLAVED</t>
        </is>
      </c>
      <c r="G6214" t="n">
        <v>1.9</v>
      </c>
      <c r="H6214" t="n">
        <v>0</v>
      </c>
      <c r="I6214" t="n">
        <v>0</v>
      </c>
      <c r="J6214" t="n">
        <v>0</v>
      </c>
      <c r="K6214" t="n">
        <v>0</v>
      </c>
      <c r="L6214" t="n">
        <v>0</v>
      </c>
      <c r="M6214" t="n">
        <v>0</v>
      </c>
      <c r="N6214" t="n">
        <v>0</v>
      </c>
      <c r="O6214" t="n">
        <v>0</v>
      </c>
      <c r="P6214" t="n">
        <v>0</v>
      </c>
      <c r="Q6214" t="n">
        <v>0</v>
      </c>
      <c r="R6214" s="2" t="inlineStr"/>
    </row>
    <row r="6215" ht="15" customHeight="1">
      <c r="A6215" t="inlineStr">
        <is>
          <t>A 30923-2024</t>
        </is>
      </c>
      <c r="B6215" s="1" t="n">
        <v>45498</v>
      </c>
      <c r="C6215" s="1" t="n">
        <v>45962</v>
      </c>
      <c r="D6215" t="inlineStr">
        <is>
          <t>JÖNKÖPINGS LÄN</t>
        </is>
      </c>
      <c r="E6215" t="inlineStr">
        <is>
          <t>GISLAVED</t>
        </is>
      </c>
      <c r="G6215" t="n">
        <v>2.5</v>
      </c>
      <c r="H6215" t="n">
        <v>0</v>
      </c>
      <c r="I6215" t="n">
        <v>0</v>
      </c>
      <c r="J6215" t="n">
        <v>0</v>
      </c>
      <c r="K6215" t="n">
        <v>0</v>
      </c>
      <c r="L6215" t="n">
        <v>0</v>
      </c>
      <c r="M6215" t="n">
        <v>0</v>
      </c>
      <c r="N6215" t="n">
        <v>0</v>
      </c>
      <c r="O6215" t="n">
        <v>0</v>
      </c>
      <c r="P6215" t="n">
        <v>0</v>
      </c>
      <c r="Q6215" t="n">
        <v>0</v>
      </c>
      <c r="R6215" s="2" t="inlineStr"/>
    </row>
    <row r="6216" ht="15" customHeight="1">
      <c r="A6216" t="inlineStr">
        <is>
          <t>A 53801-2023</t>
        </is>
      </c>
      <c r="B6216" s="1" t="n">
        <v>45231.36464120371</v>
      </c>
      <c r="C6216" s="1" t="n">
        <v>45962</v>
      </c>
      <c r="D6216" t="inlineStr">
        <is>
          <t>JÖNKÖPINGS LÄN</t>
        </is>
      </c>
      <c r="E6216" t="inlineStr">
        <is>
          <t>GISLAVED</t>
        </is>
      </c>
      <c r="G6216" t="n">
        <v>1.6</v>
      </c>
      <c r="H6216" t="n">
        <v>0</v>
      </c>
      <c r="I6216" t="n">
        <v>0</v>
      </c>
      <c r="J6216" t="n">
        <v>0</v>
      </c>
      <c r="K6216" t="n">
        <v>0</v>
      </c>
      <c r="L6216" t="n">
        <v>0</v>
      </c>
      <c r="M6216" t="n">
        <v>0</v>
      </c>
      <c r="N6216" t="n">
        <v>0</v>
      </c>
      <c r="O6216" t="n">
        <v>0</v>
      </c>
      <c r="P6216" t="n">
        <v>0</v>
      </c>
      <c r="Q6216" t="n">
        <v>0</v>
      </c>
      <c r="R6216" s="2" t="inlineStr"/>
    </row>
    <row r="6217" ht="15" customHeight="1">
      <c r="A6217" t="inlineStr">
        <is>
          <t>A 39452-2025</t>
        </is>
      </c>
      <c r="B6217" s="1" t="n">
        <v>45889</v>
      </c>
      <c r="C6217" s="1" t="n">
        <v>45962</v>
      </c>
      <c r="D6217" t="inlineStr">
        <is>
          <t>JÖNKÖPINGS LÄN</t>
        </is>
      </c>
      <c r="E6217" t="inlineStr">
        <is>
          <t>VÄRNAMO</t>
        </is>
      </c>
      <c r="G6217" t="n">
        <v>3.8</v>
      </c>
      <c r="H6217" t="n">
        <v>0</v>
      </c>
      <c r="I6217" t="n">
        <v>0</v>
      </c>
      <c r="J6217" t="n">
        <v>0</v>
      </c>
      <c r="K6217" t="n">
        <v>0</v>
      </c>
      <c r="L6217" t="n">
        <v>0</v>
      </c>
      <c r="M6217" t="n">
        <v>0</v>
      </c>
      <c r="N6217" t="n">
        <v>0</v>
      </c>
      <c r="O6217" t="n">
        <v>0</v>
      </c>
      <c r="P6217" t="n">
        <v>0</v>
      </c>
      <c r="Q6217" t="n">
        <v>0</v>
      </c>
      <c r="R6217" s="2" t="inlineStr"/>
    </row>
    <row r="6218" ht="15" customHeight="1">
      <c r="A6218" t="inlineStr">
        <is>
          <t>A 34117-2025</t>
        </is>
      </c>
      <c r="B6218" s="1" t="n">
        <v>45845.51493055555</v>
      </c>
      <c r="C6218" s="1" t="n">
        <v>45962</v>
      </c>
      <c r="D6218" t="inlineStr">
        <is>
          <t>JÖNKÖPINGS LÄN</t>
        </is>
      </c>
      <c r="E6218" t="inlineStr">
        <is>
          <t>EKSJÖ</t>
        </is>
      </c>
      <c r="G6218" t="n">
        <v>1.3</v>
      </c>
      <c r="H6218" t="n">
        <v>0</v>
      </c>
      <c r="I6218" t="n">
        <v>0</v>
      </c>
      <c r="J6218" t="n">
        <v>0</v>
      </c>
      <c r="K6218" t="n">
        <v>0</v>
      </c>
      <c r="L6218" t="n">
        <v>0</v>
      </c>
      <c r="M6218" t="n">
        <v>0</v>
      </c>
      <c r="N6218" t="n">
        <v>0</v>
      </c>
      <c r="O6218" t="n">
        <v>0</v>
      </c>
      <c r="P6218" t="n">
        <v>0</v>
      </c>
      <c r="Q6218" t="n">
        <v>0</v>
      </c>
      <c r="R6218" s="2" t="inlineStr"/>
    </row>
    <row r="6219" ht="15" customHeight="1">
      <c r="A6219" t="inlineStr">
        <is>
          <t>A 47645-2025</t>
        </is>
      </c>
      <c r="B6219" s="1" t="n">
        <v>45931.51586805555</v>
      </c>
      <c r="C6219" s="1" t="n">
        <v>45962</v>
      </c>
      <c r="D6219" t="inlineStr">
        <is>
          <t>JÖNKÖPINGS LÄN</t>
        </is>
      </c>
      <c r="E6219" t="inlineStr">
        <is>
          <t>GNOSJÖ</t>
        </is>
      </c>
      <c r="G6219" t="n">
        <v>2.5</v>
      </c>
      <c r="H6219" t="n">
        <v>0</v>
      </c>
      <c r="I6219" t="n">
        <v>0</v>
      </c>
      <c r="J6219" t="n">
        <v>0</v>
      </c>
      <c r="K6219" t="n">
        <v>0</v>
      </c>
      <c r="L6219" t="n">
        <v>0</v>
      </c>
      <c r="M6219" t="n">
        <v>0</v>
      </c>
      <c r="N6219" t="n">
        <v>0</v>
      </c>
      <c r="O6219" t="n">
        <v>0</v>
      </c>
      <c r="P6219" t="n">
        <v>0</v>
      </c>
      <c r="Q6219" t="n">
        <v>0</v>
      </c>
      <c r="R6219" s="2" t="inlineStr"/>
    </row>
    <row r="6220" ht="15" customHeight="1">
      <c r="A6220" t="inlineStr">
        <is>
          <t>A 38628-2022</t>
        </is>
      </c>
      <c r="B6220" s="1" t="n">
        <v>44813</v>
      </c>
      <c r="C6220" s="1" t="n">
        <v>45962</v>
      </c>
      <c r="D6220" t="inlineStr">
        <is>
          <t>JÖNKÖPINGS LÄN</t>
        </is>
      </c>
      <c r="E6220" t="inlineStr">
        <is>
          <t>VETLANDA</t>
        </is>
      </c>
      <c r="G6220" t="n">
        <v>2.4</v>
      </c>
      <c r="H6220" t="n">
        <v>0</v>
      </c>
      <c r="I6220" t="n">
        <v>0</v>
      </c>
      <c r="J6220" t="n">
        <v>0</v>
      </c>
      <c r="K6220" t="n">
        <v>0</v>
      </c>
      <c r="L6220" t="n">
        <v>0</v>
      </c>
      <c r="M6220" t="n">
        <v>0</v>
      </c>
      <c r="N6220" t="n">
        <v>0</v>
      </c>
      <c r="O6220" t="n">
        <v>0</v>
      </c>
      <c r="P6220" t="n">
        <v>0</v>
      </c>
      <c r="Q6220" t="n">
        <v>0</v>
      </c>
      <c r="R6220" s="2" t="inlineStr"/>
    </row>
    <row r="6221" ht="15" customHeight="1">
      <c r="A6221" t="inlineStr">
        <is>
          <t>A 36728-2025</t>
        </is>
      </c>
      <c r="B6221" s="1" t="n">
        <v>45873.49657407407</v>
      </c>
      <c r="C6221" s="1" t="n">
        <v>45962</v>
      </c>
      <c r="D6221" t="inlineStr">
        <is>
          <t>JÖNKÖPINGS LÄN</t>
        </is>
      </c>
      <c r="E6221" t="inlineStr">
        <is>
          <t>VAGGERYD</t>
        </is>
      </c>
      <c r="G6221" t="n">
        <v>1.9</v>
      </c>
      <c r="H6221" t="n">
        <v>0</v>
      </c>
      <c r="I6221" t="n">
        <v>0</v>
      </c>
      <c r="J6221" t="n">
        <v>0</v>
      </c>
      <c r="K6221" t="n">
        <v>0</v>
      </c>
      <c r="L6221" t="n">
        <v>0</v>
      </c>
      <c r="M6221" t="n">
        <v>0</v>
      </c>
      <c r="N6221" t="n">
        <v>0</v>
      </c>
      <c r="O6221" t="n">
        <v>0</v>
      </c>
      <c r="P6221" t="n">
        <v>0</v>
      </c>
      <c r="Q6221" t="n">
        <v>0</v>
      </c>
      <c r="R6221" s="2" t="inlineStr"/>
    </row>
    <row r="6222" ht="15" customHeight="1">
      <c r="A6222" t="inlineStr">
        <is>
          <t>A 2810-2025</t>
        </is>
      </c>
      <c r="B6222" s="1" t="n">
        <v>45677.5952662037</v>
      </c>
      <c r="C6222" s="1" t="n">
        <v>45962</v>
      </c>
      <c r="D6222" t="inlineStr">
        <is>
          <t>JÖNKÖPINGS LÄN</t>
        </is>
      </c>
      <c r="E6222" t="inlineStr">
        <is>
          <t>VETLANDA</t>
        </is>
      </c>
      <c r="G6222" t="n">
        <v>1.1</v>
      </c>
      <c r="H6222" t="n">
        <v>0</v>
      </c>
      <c r="I6222" t="n">
        <v>0</v>
      </c>
      <c r="J6222" t="n">
        <v>0</v>
      </c>
      <c r="K6222" t="n">
        <v>0</v>
      </c>
      <c r="L6222" t="n">
        <v>0</v>
      </c>
      <c r="M6222" t="n">
        <v>0</v>
      </c>
      <c r="N6222" t="n">
        <v>0</v>
      </c>
      <c r="O6222" t="n">
        <v>0</v>
      </c>
      <c r="P6222" t="n">
        <v>0</v>
      </c>
      <c r="Q6222" t="n">
        <v>0</v>
      </c>
      <c r="R6222" s="2" t="inlineStr"/>
    </row>
    <row r="6223" ht="15" customHeight="1">
      <c r="A6223" t="inlineStr">
        <is>
          <t>A 7779-2025</t>
        </is>
      </c>
      <c r="B6223" s="1" t="n">
        <v>45706.58354166667</v>
      </c>
      <c r="C6223" s="1" t="n">
        <v>45962</v>
      </c>
      <c r="D6223" t="inlineStr">
        <is>
          <t>JÖNKÖPINGS LÄN</t>
        </is>
      </c>
      <c r="E6223" t="inlineStr">
        <is>
          <t>GISLAVED</t>
        </is>
      </c>
      <c r="G6223" t="n">
        <v>1.4</v>
      </c>
      <c r="H6223" t="n">
        <v>0</v>
      </c>
      <c r="I6223" t="n">
        <v>0</v>
      </c>
      <c r="J6223" t="n">
        <v>0</v>
      </c>
      <c r="K6223" t="n">
        <v>0</v>
      </c>
      <c r="L6223" t="n">
        <v>0</v>
      </c>
      <c r="M6223" t="n">
        <v>0</v>
      </c>
      <c r="N6223" t="n">
        <v>0</v>
      </c>
      <c r="O6223" t="n">
        <v>0</v>
      </c>
      <c r="P6223" t="n">
        <v>0</v>
      </c>
      <c r="Q6223" t="n">
        <v>0</v>
      </c>
      <c r="R6223" s="2" t="inlineStr"/>
    </row>
    <row r="6224" ht="15" customHeight="1">
      <c r="A6224" t="inlineStr">
        <is>
          <t>A 22527-2025</t>
        </is>
      </c>
      <c r="B6224" s="1" t="n">
        <v>45786</v>
      </c>
      <c r="C6224" s="1" t="n">
        <v>45962</v>
      </c>
      <c r="D6224" t="inlineStr">
        <is>
          <t>JÖNKÖPINGS LÄN</t>
        </is>
      </c>
      <c r="E6224" t="inlineStr">
        <is>
          <t>NÄSSJÖ</t>
        </is>
      </c>
      <c r="G6224" t="n">
        <v>2.3</v>
      </c>
      <c r="H6224" t="n">
        <v>0</v>
      </c>
      <c r="I6224" t="n">
        <v>0</v>
      </c>
      <c r="J6224" t="n">
        <v>0</v>
      </c>
      <c r="K6224" t="n">
        <v>0</v>
      </c>
      <c r="L6224" t="n">
        <v>0</v>
      </c>
      <c r="M6224" t="n">
        <v>0</v>
      </c>
      <c r="N6224" t="n">
        <v>0</v>
      </c>
      <c r="O6224" t="n">
        <v>0</v>
      </c>
      <c r="P6224" t="n">
        <v>0</v>
      </c>
      <c r="Q6224" t="n">
        <v>0</v>
      </c>
      <c r="R6224" s="2" t="inlineStr"/>
    </row>
    <row r="6225" ht="15" customHeight="1">
      <c r="A6225" t="inlineStr">
        <is>
          <t>A 38803-2024</t>
        </is>
      </c>
      <c r="B6225" s="1" t="n">
        <v>45547.53320601852</v>
      </c>
      <c r="C6225" s="1" t="n">
        <v>45962</v>
      </c>
      <c r="D6225" t="inlineStr">
        <is>
          <t>JÖNKÖPINGS LÄN</t>
        </is>
      </c>
      <c r="E6225" t="inlineStr">
        <is>
          <t>JÖNKÖPING</t>
        </is>
      </c>
      <c r="G6225" t="n">
        <v>2.4</v>
      </c>
      <c r="H6225" t="n">
        <v>0</v>
      </c>
      <c r="I6225" t="n">
        <v>0</v>
      </c>
      <c r="J6225" t="n">
        <v>0</v>
      </c>
      <c r="K6225" t="n">
        <v>0</v>
      </c>
      <c r="L6225" t="n">
        <v>0</v>
      </c>
      <c r="M6225" t="n">
        <v>0</v>
      </c>
      <c r="N6225" t="n">
        <v>0</v>
      </c>
      <c r="O6225" t="n">
        <v>0</v>
      </c>
      <c r="P6225" t="n">
        <v>0</v>
      </c>
      <c r="Q6225" t="n">
        <v>0</v>
      </c>
      <c r="R6225" s="2" t="inlineStr"/>
    </row>
    <row r="6226" ht="15" customHeight="1">
      <c r="A6226" t="inlineStr">
        <is>
          <t>A 30711-2024</t>
        </is>
      </c>
      <c r="B6226" s="1" t="n">
        <v>45496.43035879629</v>
      </c>
      <c r="C6226" s="1" t="n">
        <v>45962</v>
      </c>
      <c r="D6226" t="inlineStr">
        <is>
          <t>JÖNKÖPINGS LÄN</t>
        </is>
      </c>
      <c r="E6226" t="inlineStr">
        <is>
          <t>VÄRNAMO</t>
        </is>
      </c>
      <c r="F6226" t="inlineStr">
        <is>
          <t>Kommuner</t>
        </is>
      </c>
      <c r="G6226" t="n">
        <v>4.9</v>
      </c>
      <c r="H6226" t="n">
        <v>0</v>
      </c>
      <c r="I6226" t="n">
        <v>0</v>
      </c>
      <c r="J6226" t="n">
        <v>0</v>
      </c>
      <c r="K6226" t="n">
        <v>0</v>
      </c>
      <c r="L6226" t="n">
        <v>0</v>
      </c>
      <c r="M6226" t="n">
        <v>0</v>
      </c>
      <c r="N6226" t="n">
        <v>0</v>
      </c>
      <c r="O6226" t="n">
        <v>0</v>
      </c>
      <c r="P6226" t="n">
        <v>0</v>
      </c>
      <c r="Q6226" t="n">
        <v>0</v>
      </c>
      <c r="R6226" s="2" t="inlineStr"/>
    </row>
    <row r="6227" ht="15" customHeight="1">
      <c r="A6227" t="inlineStr">
        <is>
          <t>A 22883-2025</t>
        </is>
      </c>
      <c r="B6227" s="1" t="n">
        <v>45790.38430555556</v>
      </c>
      <c r="C6227" s="1" t="n">
        <v>45962</v>
      </c>
      <c r="D6227" t="inlineStr">
        <is>
          <t>JÖNKÖPINGS LÄN</t>
        </is>
      </c>
      <c r="E6227" t="inlineStr">
        <is>
          <t>VÄRNAMO</t>
        </is>
      </c>
      <c r="G6227" t="n">
        <v>1.4</v>
      </c>
      <c r="H6227" t="n">
        <v>0</v>
      </c>
      <c r="I6227" t="n">
        <v>0</v>
      </c>
      <c r="J6227" t="n">
        <v>0</v>
      </c>
      <c r="K6227" t="n">
        <v>0</v>
      </c>
      <c r="L6227" t="n">
        <v>0</v>
      </c>
      <c r="M6227" t="n">
        <v>0</v>
      </c>
      <c r="N6227" t="n">
        <v>0</v>
      </c>
      <c r="O6227" t="n">
        <v>0</v>
      </c>
      <c r="P6227" t="n">
        <v>0</v>
      </c>
      <c r="Q6227" t="n">
        <v>0</v>
      </c>
      <c r="R6227" s="2" t="inlineStr"/>
    </row>
    <row r="6228" ht="15" customHeight="1">
      <c r="A6228" t="inlineStr">
        <is>
          <t>A 47264-2025</t>
        </is>
      </c>
      <c r="B6228" s="1" t="n">
        <v>45930.4549537037</v>
      </c>
      <c r="C6228" s="1" t="n">
        <v>45962</v>
      </c>
      <c r="D6228" t="inlineStr">
        <is>
          <t>JÖNKÖPINGS LÄN</t>
        </is>
      </c>
      <c r="E6228" t="inlineStr">
        <is>
          <t>EKSJÖ</t>
        </is>
      </c>
      <c r="G6228" t="n">
        <v>1.3</v>
      </c>
      <c r="H6228" t="n">
        <v>0</v>
      </c>
      <c r="I6228" t="n">
        <v>0</v>
      </c>
      <c r="J6228" t="n">
        <v>0</v>
      </c>
      <c r="K6228" t="n">
        <v>0</v>
      </c>
      <c r="L6228" t="n">
        <v>0</v>
      </c>
      <c r="M6228" t="n">
        <v>0</v>
      </c>
      <c r="N6228" t="n">
        <v>0</v>
      </c>
      <c r="O6228" t="n">
        <v>0</v>
      </c>
      <c r="P6228" t="n">
        <v>0</v>
      </c>
      <c r="Q6228" t="n">
        <v>0</v>
      </c>
      <c r="R6228" s="2" t="inlineStr"/>
    </row>
    <row r="6229" ht="15" customHeight="1">
      <c r="A6229" t="inlineStr">
        <is>
          <t>A 805-2025</t>
        </is>
      </c>
      <c r="B6229" s="1" t="n">
        <v>45665.54670138889</v>
      </c>
      <c r="C6229" s="1" t="n">
        <v>45962</v>
      </c>
      <c r="D6229" t="inlineStr">
        <is>
          <t>JÖNKÖPINGS LÄN</t>
        </is>
      </c>
      <c r="E6229" t="inlineStr">
        <is>
          <t>GISLAVED</t>
        </is>
      </c>
      <c r="G6229" t="n">
        <v>0.5</v>
      </c>
      <c r="H6229" t="n">
        <v>0</v>
      </c>
      <c r="I6229" t="n">
        <v>0</v>
      </c>
      <c r="J6229" t="n">
        <v>0</v>
      </c>
      <c r="K6229" t="n">
        <v>0</v>
      </c>
      <c r="L6229" t="n">
        <v>0</v>
      </c>
      <c r="M6229" t="n">
        <v>0</v>
      </c>
      <c r="N6229" t="n">
        <v>0</v>
      </c>
      <c r="O6229" t="n">
        <v>0</v>
      </c>
      <c r="P6229" t="n">
        <v>0</v>
      </c>
      <c r="Q6229" t="n">
        <v>0</v>
      </c>
      <c r="R6229" s="2" t="inlineStr"/>
    </row>
    <row r="6230" ht="15" customHeight="1">
      <c r="A6230" t="inlineStr">
        <is>
          <t>A 6863-2021</t>
        </is>
      </c>
      <c r="B6230" s="1" t="n">
        <v>44237</v>
      </c>
      <c r="C6230" s="1" t="n">
        <v>45962</v>
      </c>
      <c r="D6230" t="inlineStr">
        <is>
          <t>JÖNKÖPINGS LÄN</t>
        </is>
      </c>
      <c r="E6230" t="inlineStr">
        <is>
          <t>GISLAVED</t>
        </is>
      </c>
      <c r="G6230" t="n">
        <v>1.6</v>
      </c>
      <c r="H6230" t="n">
        <v>0</v>
      </c>
      <c r="I6230" t="n">
        <v>0</v>
      </c>
      <c r="J6230" t="n">
        <v>0</v>
      </c>
      <c r="K6230" t="n">
        <v>0</v>
      </c>
      <c r="L6230" t="n">
        <v>0</v>
      </c>
      <c r="M6230" t="n">
        <v>0</v>
      </c>
      <c r="N6230" t="n">
        <v>0</v>
      </c>
      <c r="O6230" t="n">
        <v>0</v>
      </c>
      <c r="P6230" t="n">
        <v>0</v>
      </c>
      <c r="Q6230" t="n">
        <v>0</v>
      </c>
      <c r="R6230" s="2" t="inlineStr"/>
    </row>
    <row r="6231" ht="15" customHeight="1">
      <c r="A6231" t="inlineStr">
        <is>
          <t>A 25481-2025</t>
        </is>
      </c>
      <c r="B6231" s="1" t="n">
        <v>45802.92633101852</v>
      </c>
      <c r="C6231" s="1" t="n">
        <v>45962</v>
      </c>
      <c r="D6231" t="inlineStr">
        <is>
          <t>JÖNKÖPINGS LÄN</t>
        </is>
      </c>
      <c r="E6231" t="inlineStr">
        <is>
          <t>VÄRNAMO</t>
        </is>
      </c>
      <c r="F6231" t="inlineStr">
        <is>
          <t>Övriga Aktiebolag</t>
        </is>
      </c>
      <c r="G6231" t="n">
        <v>3</v>
      </c>
      <c r="H6231" t="n">
        <v>0</v>
      </c>
      <c r="I6231" t="n">
        <v>0</v>
      </c>
      <c r="J6231" t="n">
        <v>0</v>
      </c>
      <c r="K6231" t="n">
        <v>0</v>
      </c>
      <c r="L6231" t="n">
        <v>0</v>
      </c>
      <c r="M6231" t="n">
        <v>0</v>
      </c>
      <c r="N6231" t="n">
        <v>0</v>
      </c>
      <c r="O6231" t="n">
        <v>0</v>
      </c>
      <c r="P6231" t="n">
        <v>0</v>
      </c>
      <c r="Q6231" t="n">
        <v>0</v>
      </c>
      <c r="R6231" s="2" t="inlineStr"/>
    </row>
    <row r="6232" ht="15" customHeight="1">
      <c r="A6232" t="inlineStr">
        <is>
          <t>A 22168-2022</t>
        </is>
      </c>
      <c r="B6232" s="1" t="n">
        <v>44712</v>
      </c>
      <c r="C6232" s="1" t="n">
        <v>45962</v>
      </c>
      <c r="D6232" t="inlineStr">
        <is>
          <t>JÖNKÖPINGS LÄN</t>
        </is>
      </c>
      <c r="E6232" t="inlineStr">
        <is>
          <t>GISLAVED</t>
        </is>
      </c>
      <c r="G6232" t="n">
        <v>1.2</v>
      </c>
      <c r="H6232" t="n">
        <v>0</v>
      </c>
      <c r="I6232" t="n">
        <v>0</v>
      </c>
      <c r="J6232" t="n">
        <v>0</v>
      </c>
      <c r="K6232" t="n">
        <v>0</v>
      </c>
      <c r="L6232" t="n">
        <v>0</v>
      </c>
      <c r="M6232" t="n">
        <v>0</v>
      </c>
      <c r="N6232" t="n">
        <v>0</v>
      </c>
      <c r="O6232" t="n">
        <v>0</v>
      </c>
      <c r="P6232" t="n">
        <v>0</v>
      </c>
      <c r="Q6232" t="n">
        <v>0</v>
      </c>
      <c r="R6232" s="2" t="inlineStr"/>
    </row>
    <row r="6233" ht="15" customHeight="1">
      <c r="A6233" t="inlineStr">
        <is>
          <t>A 10783-2025</t>
        </is>
      </c>
      <c r="B6233" s="1" t="n">
        <v>45722.48475694445</v>
      </c>
      <c r="C6233" s="1" t="n">
        <v>45962</v>
      </c>
      <c r="D6233" t="inlineStr">
        <is>
          <t>JÖNKÖPINGS LÄN</t>
        </is>
      </c>
      <c r="E6233" t="inlineStr">
        <is>
          <t>GISLAVED</t>
        </is>
      </c>
      <c r="G6233" t="n">
        <v>0.8</v>
      </c>
      <c r="H6233" t="n">
        <v>0</v>
      </c>
      <c r="I6233" t="n">
        <v>0</v>
      </c>
      <c r="J6233" t="n">
        <v>0</v>
      </c>
      <c r="K6233" t="n">
        <v>0</v>
      </c>
      <c r="L6233" t="n">
        <v>0</v>
      </c>
      <c r="M6233" t="n">
        <v>0</v>
      </c>
      <c r="N6233" t="n">
        <v>0</v>
      </c>
      <c r="O6233" t="n">
        <v>0</v>
      </c>
      <c r="P6233" t="n">
        <v>0</v>
      </c>
      <c r="Q6233" t="n">
        <v>0</v>
      </c>
      <c r="R6233" s="2" t="inlineStr"/>
    </row>
    <row r="6234" ht="15" customHeight="1">
      <c r="A6234" t="inlineStr">
        <is>
          <t>A 15082-2025</t>
        </is>
      </c>
      <c r="B6234" s="1" t="n">
        <v>45743.87862268519</v>
      </c>
      <c r="C6234" s="1" t="n">
        <v>45962</v>
      </c>
      <c r="D6234" t="inlineStr">
        <is>
          <t>JÖNKÖPINGS LÄN</t>
        </is>
      </c>
      <c r="E6234" t="inlineStr">
        <is>
          <t>GNOSJÖ</t>
        </is>
      </c>
      <c r="G6234" t="n">
        <v>2.3</v>
      </c>
      <c r="H6234" t="n">
        <v>0</v>
      </c>
      <c r="I6234" t="n">
        <v>0</v>
      </c>
      <c r="J6234" t="n">
        <v>0</v>
      </c>
      <c r="K6234" t="n">
        <v>0</v>
      </c>
      <c r="L6234" t="n">
        <v>0</v>
      </c>
      <c r="M6234" t="n">
        <v>0</v>
      </c>
      <c r="N6234" t="n">
        <v>0</v>
      </c>
      <c r="O6234" t="n">
        <v>0</v>
      </c>
      <c r="P6234" t="n">
        <v>0</v>
      </c>
      <c r="Q6234" t="n">
        <v>0</v>
      </c>
      <c r="R6234" s="2" t="inlineStr"/>
    </row>
    <row r="6235" ht="15" customHeight="1">
      <c r="A6235" t="inlineStr">
        <is>
          <t>A 47248-2021</t>
        </is>
      </c>
      <c r="B6235" s="1" t="n">
        <v>44447.38677083333</v>
      </c>
      <c r="C6235" s="1" t="n">
        <v>45962</v>
      </c>
      <c r="D6235" t="inlineStr">
        <is>
          <t>JÖNKÖPINGS LÄN</t>
        </is>
      </c>
      <c r="E6235" t="inlineStr">
        <is>
          <t>GISLAVED</t>
        </is>
      </c>
      <c r="G6235" t="n">
        <v>0.7</v>
      </c>
      <c r="H6235" t="n">
        <v>0</v>
      </c>
      <c r="I6235" t="n">
        <v>0</v>
      </c>
      <c r="J6235" t="n">
        <v>0</v>
      </c>
      <c r="K6235" t="n">
        <v>0</v>
      </c>
      <c r="L6235" t="n">
        <v>0</v>
      </c>
      <c r="M6235" t="n">
        <v>0</v>
      </c>
      <c r="N6235" t="n">
        <v>0</v>
      </c>
      <c r="O6235" t="n">
        <v>0</v>
      </c>
      <c r="P6235" t="n">
        <v>0</v>
      </c>
      <c r="Q6235" t="n">
        <v>0</v>
      </c>
      <c r="R6235" s="2" t="inlineStr"/>
    </row>
    <row r="6236" ht="15" customHeight="1">
      <c r="A6236" t="inlineStr">
        <is>
          <t>A 60268-2020</t>
        </is>
      </c>
      <c r="B6236" s="1" t="n">
        <v>44151</v>
      </c>
      <c r="C6236" s="1" t="n">
        <v>45962</v>
      </c>
      <c r="D6236" t="inlineStr">
        <is>
          <t>JÖNKÖPINGS LÄN</t>
        </is>
      </c>
      <c r="E6236" t="inlineStr">
        <is>
          <t>VÄRNAMO</t>
        </is>
      </c>
      <c r="G6236" t="n">
        <v>3.1</v>
      </c>
      <c r="H6236" t="n">
        <v>0</v>
      </c>
      <c r="I6236" t="n">
        <v>0</v>
      </c>
      <c r="J6236" t="n">
        <v>0</v>
      </c>
      <c r="K6236" t="n">
        <v>0</v>
      </c>
      <c r="L6236" t="n">
        <v>0</v>
      </c>
      <c r="M6236" t="n">
        <v>0</v>
      </c>
      <c r="N6236" t="n">
        <v>0</v>
      </c>
      <c r="O6236" t="n">
        <v>0</v>
      </c>
      <c r="P6236" t="n">
        <v>0</v>
      </c>
      <c r="Q6236" t="n">
        <v>0</v>
      </c>
      <c r="R6236" s="2" t="inlineStr"/>
    </row>
    <row r="6237" ht="15" customHeight="1">
      <c r="A6237" t="inlineStr">
        <is>
          <t>A 22542-2025</t>
        </is>
      </c>
      <c r="B6237" s="1" t="n">
        <v>45788.3231712963</v>
      </c>
      <c r="C6237" s="1" t="n">
        <v>45962</v>
      </c>
      <c r="D6237" t="inlineStr">
        <is>
          <t>JÖNKÖPINGS LÄN</t>
        </is>
      </c>
      <c r="E6237" t="inlineStr">
        <is>
          <t>JÖNKÖPING</t>
        </is>
      </c>
      <c r="G6237" t="n">
        <v>2.1</v>
      </c>
      <c r="H6237" t="n">
        <v>0</v>
      </c>
      <c r="I6237" t="n">
        <v>0</v>
      </c>
      <c r="J6237" t="n">
        <v>0</v>
      </c>
      <c r="K6237" t="n">
        <v>0</v>
      </c>
      <c r="L6237" t="n">
        <v>0</v>
      </c>
      <c r="M6237" t="n">
        <v>0</v>
      </c>
      <c r="N6237" t="n">
        <v>0</v>
      </c>
      <c r="O6237" t="n">
        <v>0</v>
      </c>
      <c r="P6237" t="n">
        <v>0</v>
      </c>
      <c r="Q6237" t="n">
        <v>0</v>
      </c>
      <c r="R6237" s="2" t="inlineStr"/>
    </row>
    <row r="6238" ht="15" customHeight="1">
      <c r="A6238" t="inlineStr">
        <is>
          <t>A 5104-2023</t>
        </is>
      </c>
      <c r="B6238" s="1" t="n">
        <v>44958.65167824074</v>
      </c>
      <c r="C6238" s="1" t="n">
        <v>45962</v>
      </c>
      <c r="D6238" t="inlineStr">
        <is>
          <t>JÖNKÖPINGS LÄN</t>
        </is>
      </c>
      <c r="E6238" t="inlineStr">
        <is>
          <t>GISLAVED</t>
        </is>
      </c>
      <c r="G6238" t="n">
        <v>0.6</v>
      </c>
      <c r="H6238" t="n">
        <v>0</v>
      </c>
      <c r="I6238" t="n">
        <v>0</v>
      </c>
      <c r="J6238" t="n">
        <v>0</v>
      </c>
      <c r="K6238" t="n">
        <v>0</v>
      </c>
      <c r="L6238" t="n">
        <v>0</v>
      </c>
      <c r="M6238" t="n">
        <v>0</v>
      </c>
      <c r="N6238" t="n">
        <v>0</v>
      </c>
      <c r="O6238" t="n">
        <v>0</v>
      </c>
      <c r="P6238" t="n">
        <v>0</v>
      </c>
      <c r="Q6238" t="n">
        <v>0</v>
      </c>
      <c r="R6238" s="2" t="inlineStr"/>
    </row>
    <row r="6239" ht="15" customHeight="1">
      <c r="A6239" t="inlineStr">
        <is>
          <t>A 14587-2024</t>
        </is>
      </c>
      <c r="B6239" s="1" t="n">
        <v>45395.40734953704</v>
      </c>
      <c r="C6239" s="1" t="n">
        <v>45962</v>
      </c>
      <c r="D6239" t="inlineStr">
        <is>
          <t>JÖNKÖPINGS LÄN</t>
        </is>
      </c>
      <c r="E6239" t="inlineStr">
        <is>
          <t>GISLAVED</t>
        </is>
      </c>
      <c r="G6239" t="n">
        <v>1.9</v>
      </c>
      <c r="H6239" t="n">
        <v>0</v>
      </c>
      <c r="I6239" t="n">
        <v>0</v>
      </c>
      <c r="J6239" t="n">
        <v>0</v>
      </c>
      <c r="K6239" t="n">
        <v>0</v>
      </c>
      <c r="L6239" t="n">
        <v>0</v>
      </c>
      <c r="M6239" t="n">
        <v>0</v>
      </c>
      <c r="N6239" t="n">
        <v>0</v>
      </c>
      <c r="O6239" t="n">
        <v>0</v>
      </c>
      <c r="P6239" t="n">
        <v>0</v>
      </c>
      <c r="Q6239" t="n">
        <v>0</v>
      </c>
      <c r="R6239" s="2" t="inlineStr"/>
    </row>
    <row r="6240" ht="15" customHeight="1">
      <c r="A6240" t="inlineStr">
        <is>
          <t>A 33274-2024</t>
        </is>
      </c>
      <c r="B6240" s="1" t="n">
        <v>45518.69004629629</v>
      </c>
      <c r="C6240" s="1" t="n">
        <v>45962</v>
      </c>
      <c r="D6240" t="inlineStr">
        <is>
          <t>JÖNKÖPINGS LÄN</t>
        </is>
      </c>
      <c r="E6240" t="inlineStr">
        <is>
          <t>GISLAVED</t>
        </is>
      </c>
      <c r="G6240" t="n">
        <v>0.8</v>
      </c>
      <c r="H6240" t="n">
        <v>0</v>
      </c>
      <c r="I6240" t="n">
        <v>0</v>
      </c>
      <c r="J6240" t="n">
        <v>0</v>
      </c>
      <c r="K6240" t="n">
        <v>0</v>
      </c>
      <c r="L6240" t="n">
        <v>0</v>
      </c>
      <c r="M6240" t="n">
        <v>0</v>
      </c>
      <c r="N6240" t="n">
        <v>0</v>
      </c>
      <c r="O6240" t="n">
        <v>0</v>
      </c>
      <c r="P6240" t="n">
        <v>0</v>
      </c>
      <c r="Q6240" t="n">
        <v>0</v>
      </c>
      <c r="R6240" s="2" t="inlineStr"/>
    </row>
    <row r="6241" ht="15" customHeight="1">
      <c r="A6241" t="inlineStr">
        <is>
          <t>A 36618-2025</t>
        </is>
      </c>
      <c r="B6241" s="1" t="n">
        <v>45870.62930555556</v>
      </c>
      <c r="C6241" s="1" t="n">
        <v>45962</v>
      </c>
      <c r="D6241" t="inlineStr">
        <is>
          <t>JÖNKÖPINGS LÄN</t>
        </is>
      </c>
      <c r="E6241" t="inlineStr">
        <is>
          <t>JÖNKÖPING</t>
        </is>
      </c>
      <c r="F6241" t="inlineStr">
        <is>
          <t>Sveaskog</t>
        </is>
      </c>
      <c r="G6241" t="n">
        <v>0.7</v>
      </c>
      <c r="H6241" t="n">
        <v>0</v>
      </c>
      <c r="I6241" t="n">
        <v>0</v>
      </c>
      <c r="J6241" t="n">
        <v>0</v>
      </c>
      <c r="K6241" t="n">
        <v>0</v>
      </c>
      <c r="L6241" t="n">
        <v>0</v>
      </c>
      <c r="M6241" t="n">
        <v>0</v>
      </c>
      <c r="N6241" t="n">
        <v>0</v>
      </c>
      <c r="O6241" t="n">
        <v>0</v>
      </c>
      <c r="P6241" t="n">
        <v>0</v>
      </c>
      <c r="Q6241" t="n">
        <v>0</v>
      </c>
      <c r="R6241" s="2" t="inlineStr"/>
    </row>
    <row r="6242" ht="15" customHeight="1">
      <c r="A6242" t="inlineStr">
        <is>
          <t>A 62204-2020</t>
        </is>
      </c>
      <c r="B6242" s="1" t="n">
        <v>44159</v>
      </c>
      <c r="C6242" s="1" t="n">
        <v>45962</v>
      </c>
      <c r="D6242" t="inlineStr">
        <is>
          <t>JÖNKÖPINGS LÄN</t>
        </is>
      </c>
      <c r="E6242" t="inlineStr">
        <is>
          <t>SÄVSJÖ</t>
        </is>
      </c>
      <c r="G6242" t="n">
        <v>2.1</v>
      </c>
      <c r="H6242" t="n">
        <v>0</v>
      </c>
      <c r="I6242" t="n">
        <v>0</v>
      </c>
      <c r="J6242" t="n">
        <v>0</v>
      </c>
      <c r="K6242" t="n">
        <v>0</v>
      </c>
      <c r="L6242" t="n">
        <v>0</v>
      </c>
      <c r="M6242" t="n">
        <v>0</v>
      </c>
      <c r="N6242" t="n">
        <v>0</v>
      </c>
      <c r="O6242" t="n">
        <v>0</v>
      </c>
      <c r="P6242" t="n">
        <v>0</v>
      </c>
      <c r="Q6242" t="n">
        <v>0</v>
      </c>
      <c r="R6242" s="2" t="inlineStr"/>
    </row>
    <row r="6243" ht="15" customHeight="1">
      <c r="A6243" t="inlineStr">
        <is>
          <t>A 1038-2024</t>
        </is>
      </c>
      <c r="B6243" s="1" t="n">
        <v>45301</v>
      </c>
      <c r="C6243" s="1" t="n">
        <v>45962</v>
      </c>
      <c r="D6243" t="inlineStr">
        <is>
          <t>JÖNKÖPINGS LÄN</t>
        </is>
      </c>
      <c r="E6243" t="inlineStr">
        <is>
          <t>GISLAVED</t>
        </is>
      </c>
      <c r="G6243" t="n">
        <v>5.6</v>
      </c>
      <c r="H6243" t="n">
        <v>0</v>
      </c>
      <c r="I6243" t="n">
        <v>0</v>
      </c>
      <c r="J6243" t="n">
        <v>0</v>
      </c>
      <c r="K6243" t="n">
        <v>0</v>
      </c>
      <c r="L6243" t="n">
        <v>0</v>
      </c>
      <c r="M6243" t="n">
        <v>0</v>
      </c>
      <c r="N6243" t="n">
        <v>0</v>
      </c>
      <c r="O6243" t="n">
        <v>0</v>
      </c>
      <c r="P6243" t="n">
        <v>0</v>
      </c>
      <c r="Q6243" t="n">
        <v>0</v>
      </c>
      <c r="R6243" s="2" t="inlineStr"/>
    </row>
    <row r="6244" ht="15" customHeight="1">
      <c r="A6244" t="inlineStr">
        <is>
          <t>A 36589-2025</t>
        </is>
      </c>
      <c r="B6244" s="1" t="n">
        <v>45870.48773148148</v>
      </c>
      <c r="C6244" s="1" t="n">
        <v>45962</v>
      </c>
      <c r="D6244" t="inlineStr">
        <is>
          <t>JÖNKÖPINGS LÄN</t>
        </is>
      </c>
      <c r="E6244" t="inlineStr">
        <is>
          <t>NÄSSJÖ</t>
        </is>
      </c>
      <c r="G6244" t="n">
        <v>2.7</v>
      </c>
      <c r="H6244" t="n">
        <v>0</v>
      </c>
      <c r="I6244" t="n">
        <v>0</v>
      </c>
      <c r="J6244" t="n">
        <v>0</v>
      </c>
      <c r="K6244" t="n">
        <v>0</v>
      </c>
      <c r="L6244" t="n">
        <v>0</v>
      </c>
      <c r="M6244" t="n">
        <v>0</v>
      </c>
      <c r="N6244" t="n">
        <v>0</v>
      </c>
      <c r="O6244" t="n">
        <v>0</v>
      </c>
      <c r="P6244" t="n">
        <v>0</v>
      </c>
      <c r="Q6244" t="n">
        <v>0</v>
      </c>
      <c r="R6244" s="2" t="inlineStr"/>
    </row>
    <row r="6245" ht="15" customHeight="1">
      <c r="A6245" t="inlineStr">
        <is>
          <t>A 39301-2025</t>
        </is>
      </c>
      <c r="B6245" s="1" t="n">
        <v>45888</v>
      </c>
      <c r="C6245" s="1" t="n">
        <v>45962</v>
      </c>
      <c r="D6245" t="inlineStr">
        <is>
          <t>JÖNKÖPINGS LÄN</t>
        </is>
      </c>
      <c r="E6245" t="inlineStr">
        <is>
          <t>VETLANDA</t>
        </is>
      </c>
      <c r="G6245" t="n">
        <v>4.5</v>
      </c>
      <c r="H6245" t="n">
        <v>0</v>
      </c>
      <c r="I6245" t="n">
        <v>0</v>
      </c>
      <c r="J6245" t="n">
        <v>0</v>
      </c>
      <c r="K6245" t="n">
        <v>0</v>
      </c>
      <c r="L6245" t="n">
        <v>0</v>
      </c>
      <c r="M6245" t="n">
        <v>0</v>
      </c>
      <c r="N6245" t="n">
        <v>0</v>
      </c>
      <c r="O6245" t="n">
        <v>0</v>
      </c>
      <c r="P6245" t="n">
        <v>0</v>
      </c>
      <c r="Q6245" t="n">
        <v>0</v>
      </c>
      <c r="R6245" s="2" t="inlineStr"/>
    </row>
    <row r="6246" ht="15" customHeight="1">
      <c r="A6246" t="inlineStr">
        <is>
          <t>A 36744-2021</t>
        </is>
      </c>
      <c r="B6246" s="1" t="n">
        <v>44392.62262731481</v>
      </c>
      <c r="C6246" s="1" t="n">
        <v>45962</v>
      </c>
      <c r="D6246" t="inlineStr">
        <is>
          <t>JÖNKÖPINGS LÄN</t>
        </is>
      </c>
      <c r="E6246" t="inlineStr">
        <is>
          <t>GISLAVED</t>
        </is>
      </c>
      <c r="G6246" t="n">
        <v>0.5</v>
      </c>
      <c r="H6246" t="n">
        <v>0</v>
      </c>
      <c r="I6246" t="n">
        <v>0</v>
      </c>
      <c r="J6246" t="n">
        <v>0</v>
      </c>
      <c r="K6246" t="n">
        <v>0</v>
      </c>
      <c r="L6246" t="n">
        <v>0</v>
      </c>
      <c r="M6246" t="n">
        <v>0</v>
      </c>
      <c r="N6246" t="n">
        <v>0</v>
      </c>
      <c r="O6246" t="n">
        <v>0</v>
      </c>
      <c r="P6246" t="n">
        <v>0</v>
      </c>
      <c r="Q6246" t="n">
        <v>0</v>
      </c>
      <c r="R6246" s="2" t="inlineStr"/>
    </row>
    <row r="6247" ht="15" customHeight="1">
      <c r="A6247" t="inlineStr">
        <is>
          <t>A 6250-2021</t>
        </is>
      </c>
      <c r="B6247" s="1" t="n">
        <v>44235</v>
      </c>
      <c r="C6247" s="1" t="n">
        <v>45962</v>
      </c>
      <c r="D6247" t="inlineStr">
        <is>
          <t>JÖNKÖPINGS LÄN</t>
        </is>
      </c>
      <c r="E6247" t="inlineStr">
        <is>
          <t>GISLAVED</t>
        </is>
      </c>
      <c r="G6247" t="n">
        <v>1.2</v>
      </c>
      <c r="H6247" t="n">
        <v>0</v>
      </c>
      <c r="I6247" t="n">
        <v>0</v>
      </c>
      <c r="J6247" t="n">
        <v>0</v>
      </c>
      <c r="K6247" t="n">
        <v>0</v>
      </c>
      <c r="L6247" t="n">
        <v>0</v>
      </c>
      <c r="M6247" t="n">
        <v>0</v>
      </c>
      <c r="N6247" t="n">
        <v>0</v>
      </c>
      <c r="O6247" t="n">
        <v>0</v>
      </c>
      <c r="P6247" t="n">
        <v>0</v>
      </c>
      <c r="Q6247" t="n">
        <v>0</v>
      </c>
      <c r="R6247" s="2" t="inlineStr"/>
    </row>
    <row r="6248" ht="15" customHeight="1">
      <c r="A6248" t="inlineStr">
        <is>
          <t>A 47343-2025</t>
        </is>
      </c>
      <c r="B6248" s="1" t="n">
        <v>45930.56997685185</v>
      </c>
      <c r="C6248" s="1" t="n">
        <v>45962</v>
      </c>
      <c r="D6248" t="inlineStr">
        <is>
          <t>JÖNKÖPINGS LÄN</t>
        </is>
      </c>
      <c r="E6248" t="inlineStr">
        <is>
          <t>VÄRNAMO</t>
        </is>
      </c>
      <c r="G6248" t="n">
        <v>4.1</v>
      </c>
      <c r="H6248" t="n">
        <v>0</v>
      </c>
      <c r="I6248" t="n">
        <v>0</v>
      </c>
      <c r="J6248" t="n">
        <v>0</v>
      </c>
      <c r="K6248" t="n">
        <v>0</v>
      </c>
      <c r="L6248" t="n">
        <v>0</v>
      </c>
      <c r="M6248" t="n">
        <v>0</v>
      </c>
      <c r="N6248" t="n">
        <v>0</v>
      </c>
      <c r="O6248" t="n">
        <v>0</v>
      </c>
      <c r="P6248" t="n">
        <v>0</v>
      </c>
      <c r="Q6248" t="n">
        <v>0</v>
      </c>
      <c r="R6248" s="2" t="inlineStr"/>
    </row>
    <row r="6249" ht="15" customHeight="1">
      <c r="A6249" t="inlineStr">
        <is>
          <t>A 36663-2025</t>
        </is>
      </c>
      <c r="B6249" s="1" t="n">
        <v>45873.36478009259</v>
      </c>
      <c r="C6249" s="1" t="n">
        <v>45962</v>
      </c>
      <c r="D6249" t="inlineStr">
        <is>
          <t>JÖNKÖPINGS LÄN</t>
        </is>
      </c>
      <c r="E6249" t="inlineStr">
        <is>
          <t>GISLAVED</t>
        </is>
      </c>
      <c r="G6249" t="n">
        <v>1.4</v>
      </c>
      <c r="H6249" t="n">
        <v>0</v>
      </c>
      <c r="I6249" t="n">
        <v>0</v>
      </c>
      <c r="J6249" t="n">
        <v>0</v>
      </c>
      <c r="K6249" t="n">
        <v>0</v>
      </c>
      <c r="L6249" t="n">
        <v>0</v>
      </c>
      <c r="M6249" t="n">
        <v>0</v>
      </c>
      <c r="N6249" t="n">
        <v>0</v>
      </c>
      <c r="O6249" t="n">
        <v>0</v>
      </c>
      <c r="P6249" t="n">
        <v>0</v>
      </c>
      <c r="Q6249" t="n">
        <v>0</v>
      </c>
      <c r="R6249" s="2" t="inlineStr"/>
    </row>
    <row r="6250" ht="15" customHeight="1">
      <c r="A6250" t="inlineStr">
        <is>
          <t>A 14742-2022</t>
        </is>
      </c>
      <c r="B6250" s="1" t="n">
        <v>44656</v>
      </c>
      <c r="C6250" s="1" t="n">
        <v>45962</v>
      </c>
      <c r="D6250" t="inlineStr">
        <is>
          <t>JÖNKÖPINGS LÄN</t>
        </is>
      </c>
      <c r="E6250" t="inlineStr">
        <is>
          <t>MULLSJÖ</t>
        </is>
      </c>
      <c r="G6250" t="n">
        <v>2.2</v>
      </c>
      <c r="H6250" t="n">
        <v>0</v>
      </c>
      <c r="I6250" t="n">
        <v>0</v>
      </c>
      <c r="J6250" t="n">
        <v>0</v>
      </c>
      <c r="K6250" t="n">
        <v>0</v>
      </c>
      <c r="L6250" t="n">
        <v>0</v>
      </c>
      <c r="M6250" t="n">
        <v>0</v>
      </c>
      <c r="N6250" t="n">
        <v>0</v>
      </c>
      <c r="O6250" t="n">
        <v>0</v>
      </c>
      <c r="P6250" t="n">
        <v>0</v>
      </c>
      <c r="Q6250" t="n">
        <v>0</v>
      </c>
      <c r="R6250" s="2" t="inlineStr"/>
    </row>
    <row r="6251" ht="15" customHeight="1">
      <c r="A6251" t="inlineStr">
        <is>
          <t>A 60653-2021</t>
        </is>
      </c>
      <c r="B6251" s="1" t="n">
        <v>44496.62851851852</v>
      </c>
      <c r="C6251" s="1" t="n">
        <v>45962</v>
      </c>
      <c r="D6251" t="inlineStr">
        <is>
          <t>JÖNKÖPINGS LÄN</t>
        </is>
      </c>
      <c r="E6251" t="inlineStr">
        <is>
          <t>GISLAVED</t>
        </is>
      </c>
      <c r="G6251" t="n">
        <v>1.1</v>
      </c>
      <c r="H6251" t="n">
        <v>0</v>
      </c>
      <c r="I6251" t="n">
        <v>0</v>
      </c>
      <c r="J6251" t="n">
        <v>0</v>
      </c>
      <c r="K6251" t="n">
        <v>0</v>
      </c>
      <c r="L6251" t="n">
        <v>0</v>
      </c>
      <c r="M6251" t="n">
        <v>0</v>
      </c>
      <c r="N6251" t="n">
        <v>0</v>
      </c>
      <c r="O6251" t="n">
        <v>0</v>
      </c>
      <c r="P6251" t="n">
        <v>0</v>
      </c>
      <c r="Q6251" t="n">
        <v>0</v>
      </c>
      <c r="R6251" s="2" t="inlineStr"/>
    </row>
    <row r="6252" ht="15" customHeight="1">
      <c r="A6252" t="inlineStr">
        <is>
          <t>A 36706-2025</t>
        </is>
      </c>
      <c r="B6252" s="1" t="n">
        <v>45873.4584837963</v>
      </c>
      <c r="C6252" s="1" t="n">
        <v>45962</v>
      </c>
      <c r="D6252" t="inlineStr">
        <is>
          <t>JÖNKÖPINGS LÄN</t>
        </is>
      </c>
      <c r="E6252" t="inlineStr">
        <is>
          <t>VÄRNAMO</t>
        </is>
      </c>
      <c r="G6252" t="n">
        <v>2.3</v>
      </c>
      <c r="H6252" t="n">
        <v>0</v>
      </c>
      <c r="I6252" t="n">
        <v>0</v>
      </c>
      <c r="J6252" t="n">
        <v>0</v>
      </c>
      <c r="K6252" t="n">
        <v>0</v>
      </c>
      <c r="L6252" t="n">
        <v>0</v>
      </c>
      <c r="M6252" t="n">
        <v>0</v>
      </c>
      <c r="N6252" t="n">
        <v>0</v>
      </c>
      <c r="O6252" t="n">
        <v>0</v>
      </c>
      <c r="P6252" t="n">
        <v>0</v>
      </c>
      <c r="Q6252" t="n">
        <v>0</v>
      </c>
      <c r="R6252" s="2" t="inlineStr"/>
    </row>
    <row r="6253" ht="15" customHeight="1">
      <c r="A6253" t="inlineStr">
        <is>
          <t>A 14745-2022</t>
        </is>
      </c>
      <c r="B6253" s="1" t="n">
        <v>44656</v>
      </c>
      <c r="C6253" s="1" t="n">
        <v>45962</v>
      </c>
      <c r="D6253" t="inlineStr">
        <is>
          <t>JÖNKÖPINGS LÄN</t>
        </is>
      </c>
      <c r="E6253" t="inlineStr">
        <is>
          <t>MULLSJÖ</t>
        </is>
      </c>
      <c r="G6253" t="n">
        <v>1</v>
      </c>
      <c r="H6253" t="n">
        <v>0</v>
      </c>
      <c r="I6253" t="n">
        <v>0</v>
      </c>
      <c r="J6253" t="n">
        <v>0</v>
      </c>
      <c r="K6253" t="n">
        <v>0</v>
      </c>
      <c r="L6253" t="n">
        <v>0</v>
      </c>
      <c r="M6253" t="n">
        <v>0</v>
      </c>
      <c r="N6253" t="n">
        <v>0</v>
      </c>
      <c r="O6253" t="n">
        <v>0</v>
      </c>
      <c r="P6253" t="n">
        <v>0</v>
      </c>
      <c r="Q6253" t="n">
        <v>0</v>
      </c>
      <c r="R6253" s="2" t="inlineStr"/>
    </row>
    <row r="6254" ht="15" customHeight="1">
      <c r="A6254" t="inlineStr">
        <is>
          <t>A 31886-2021</t>
        </is>
      </c>
      <c r="B6254" s="1" t="n">
        <v>44370.45275462963</v>
      </c>
      <c r="C6254" s="1" t="n">
        <v>45962</v>
      </c>
      <c r="D6254" t="inlineStr">
        <is>
          <t>JÖNKÖPINGS LÄN</t>
        </is>
      </c>
      <c r="E6254" t="inlineStr">
        <is>
          <t>SÄVSJÖ</t>
        </is>
      </c>
      <c r="G6254" t="n">
        <v>4</v>
      </c>
      <c r="H6254" t="n">
        <v>0</v>
      </c>
      <c r="I6254" t="n">
        <v>0</v>
      </c>
      <c r="J6254" t="n">
        <v>0</v>
      </c>
      <c r="K6254" t="n">
        <v>0</v>
      </c>
      <c r="L6254" t="n">
        <v>0</v>
      </c>
      <c r="M6254" t="n">
        <v>0</v>
      </c>
      <c r="N6254" t="n">
        <v>0</v>
      </c>
      <c r="O6254" t="n">
        <v>0</v>
      </c>
      <c r="P6254" t="n">
        <v>0</v>
      </c>
      <c r="Q6254" t="n">
        <v>0</v>
      </c>
      <c r="R6254" s="2" t="inlineStr"/>
    </row>
    <row r="6255" ht="15" customHeight="1">
      <c r="A6255" t="inlineStr">
        <is>
          <t>A 36664-2025</t>
        </is>
      </c>
      <c r="B6255" s="1" t="n">
        <v>45873.36563657408</v>
      </c>
      <c r="C6255" s="1" t="n">
        <v>45962</v>
      </c>
      <c r="D6255" t="inlineStr">
        <is>
          <t>JÖNKÖPINGS LÄN</t>
        </is>
      </c>
      <c r="E6255" t="inlineStr">
        <is>
          <t>GISLAVED</t>
        </is>
      </c>
      <c r="G6255" t="n">
        <v>0.4</v>
      </c>
      <c r="H6255" t="n">
        <v>0</v>
      </c>
      <c r="I6255" t="n">
        <v>0</v>
      </c>
      <c r="J6255" t="n">
        <v>0</v>
      </c>
      <c r="K6255" t="n">
        <v>0</v>
      </c>
      <c r="L6255" t="n">
        <v>0</v>
      </c>
      <c r="M6255" t="n">
        <v>0</v>
      </c>
      <c r="N6255" t="n">
        <v>0</v>
      </c>
      <c r="O6255" t="n">
        <v>0</v>
      </c>
      <c r="P6255" t="n">
        <v>0</v>
      </c>
      <c r="Q6255" t="n">
        <v>0</v>
      </c>
      <c r="R6255" s="2" t="inlineStr"/>
    </row>
    <row r="6256" ht="15" customHeight="1">
      <c r="A6256" t="inlineStr">
        <is>
          <t>A 47215-2025</t>
        </is>
      </c>
      <c r="B6256" s="1" t="n">
        <v>45930.38502314815</v>
      </c>
      <c r="C6256" s="1" t="n">
        <v>45962</v>
      </c>
      <c r="D6256" t="inlineStr">
        <is>
          <t>JÖNKÖPINGS LÄN</t>
        </is>
      </c>
      <c r="E6256" t="inlineStr">
        <is>
          <t>GISLAVED</t>
        </is>
      </c>
      <c r="G6256" t="n">
        <v>1.3</v>
      </c>
      <c r="H6256" t="n">
        <v>0</v>
      </c>
      <c r="I6256" t="n">
        <v>0</v>
      </c>
      <c r="J6256" t="n">
        <v>0</v>
      </c>
      <c r="K6256" t="n">
        <v>0</v>
      </c>
      <c r="L6256" t="n">
        <v>0</v>
      </c>
      <c r="M6256" t="n">
        <v>0</v>
      </c>
      <c r="N6256" t="n">
        <v>0</v>
      </c>
      <c r="O6256" t="n">
        <v>0</v>
      </c>
      <c r="P6256" t="n">
        <v>0</v>
      </c>
      <c r="Q6256" t="n">
        <v>0</v>
      </c>
      <c r="R6256" s="2" t="inlineStr"/>
    </row>
    <row r="6257" ht="15" customHeight="1">
      <c r="A6257" t="inlineStr">
        <is>
          <t>A 36808-2025</t>
        </is>
      </c>
      <c r="B6257" s="1" t="n">
        <v>45873.71123842592</v>
      </c>
      <c r="C6257" s="1" t="n">
        <v>45962</v>
      </c>
      <c r="D6257" t="inlineStr">
        <is>
          <t>JÖNKÖPINGS LÄN</t>
        </is>
      </c>
      <c r="E6257" t="inlineStr">
        <is>
          <t>NÄSSJÖ</t>
        </is>
      </c>
      <c r="G6257" t="n">
        <v>1.3</v>
      </c>
      <c r="H6257" t="n">
        <v>0</v>
      </c>
      <c r="I6257" t="n">
        <v>0</v>
      </c>
      <c r="J6257" t="n">
        <v>0</v>
      </c>
      <c r="K6257" t="n">
        <v>0</v>
      </c>
      <c r="L6257" t="n">
        <v>0</v>
      </c>
      <c r="M6257" t="n">
        <v>0</v>
      </c>
      <c r="N6257" t="n">
        <v>0</v>
      </c>
      <c r="O6257" t="n">
        <v>0</v>
      </c>
      <c r="P6257" t="n">
        <v>0</v>
      </c>
      <c r="Q6257" t="n">
        <v>0</v>
      </c>
      <c r="R6257" s="2" t="inlineStr"/>
    </row>
    <row r="6258" ht="15" customHeight="1">
      <c r="A6258" t="inlineStr">
        <is>
          <t>A 58756-2022</t>
        </is>
      </c>
      <c r="B6258" s="1" t="n">
        <v>44903.35087962963</v>
      </c>
      <c r="C6258" s="1" t="n">
        <v>45962</v>
      </c>
      <c r="D6258" t="inlineStr">
        <is>
          <t>JÖNKÖPINGS LÄN</t>
        </is>
      </c>
      <c r="E6258" t="inlineStr">
        <is>
          <t>VAGGERYD</t>
        </is>
      </c>
      <c r="G6258" t="n">
        <v>1.1</v>
      </c>
      <c r="H6258" t="n">
        <v>0</v>
      </c>
      <c r="I6258" t="n">
        <v>0</v>
      </c>
      <c r="J6258" t="n">
        <v>0</v>
      </c>
      <c r="K6258" t="n">
        <v>0</v>
      </c>
      <c r="L6258" t="n">
        <v>0</v>
      </c>
      <c r="M6258" t="n">
        <v>0</v>
      </c>
      <c r="N6258" t="n">
        <v>0</v>
      </c>
      <c r="O6258" t="n">
        <v>0</v>
      </c>
      <c r="P6258" t="n">
        <v>0</v>
      </c>
      <c r="Q6258" t="n">
        <v>0</v>
      </c>
      <c r="R6258" s="2" t="inlineStr"/>
    </row>
    <row r="6259" ht="15" customHeight="1">
      <c r="A6259" t="inlineStr">
        <is>
          <t>A 59351-2022</t>
        </is>
      </c>
      <c r="B6259" s="1" t="n">
        <v>44904.69564814815</v>
      </c>
      <c r="C6259" s="1" t="n">
        <v>45962</v>
      </c>
      <c r="D6259" t="inlineStr">
        <is>
          <t>JÖNKÖPINGS LÄN</t>
        </is>
      </c>
      <c r="E6259" t="inlineStr">
        <is>
          <t>NÄSSJÖ</t>
        </is>
      </c>
      <c r="G6259" t="n">
        <v>4.3</v>
      </c>
      <c r="H6259" t="n">
        <v>0</v>
      </c>
      <c r="I6259" t="n">
        <v>0</v>
      </c>
      <c r="J6259" t="n">
        <v>0</v>
      </c>
      <c r="K6259" t="n">
        <v>0</v>
      </c>
      <c r="L6259" t="n">
        <v>0</v>
      </c>
      <c r="M6259" t="n">
        <v>0</v>
      </c>
      <c r="N6259" t="n">
        <v>0</v>
      </c>
      <c r="O6259" t="n">
        <v>0</v>
      </c>
      <c r="P6259" t="n">
        <v>0</v>
      </c>
      <c r="Q6259" t="n">
        <v>0</v>
      </c>
      <c r="R6259" s="2" t="inlineStr"/>
    </row>
    <row r="6260" ht="15" customHeight="1">
      <c r="A6260" t="inlineStr">
        <is>
          <t>A 47221-2025</t>
        </is>
      </c>
      <c r="B6260" s="1" t="n">
        <v>45930.38706018519</v>
      </c>
      <c r="C6260" s="1" t="n">
        <v>45962</v>
      </c>
      <c r="D6260" t="inlineStr">
        <is>
          <t>JÖNKÖPINGS LÄN</t>
        </is>
      </c>
      <c r="E6260" t="inlineStr">
        <is>
          <t>GISLAVED</t>
        </is>
      </c>
      <c r="G6260" t="n">
        <v>1.2</v>
      </c>
      <c r="H6260" t="n">
        <v>0</v>
      </c>
      <c r="I6260" t="n">
        <v>0</v>
      </c>
      <c r="J6260" t="n">
        <v>0</v>
      </c>
      <c r="K6260" t="n">
        <v>0</v>
      </c>
      <c r="L6260" t="n">
        <v>0</v>
      </c>
      <c r="M6260" t="n">
        <v>0</v>
      </c>
      <c r="N6260" t="n">
        <v>0</v>
      </c>
      <c r="O6260" t="n">
        <v>0</v>
      </c>
      <c r="P6260" t="n">
        <v>0</v>
      </c>
      <c r="Q6260" t="n">
        <v>0</v>
      </c>
      <c r="R6260" s="2" t="inlineStr"/>
    </row>
    <row r="6261" ht="15" customHeight="1">
      <c r="A6261" t="inlineStr">
        <is>
          <t>A 36617-2025</t>
        </is>
      </c>
      <c r="B6261" s="1" t="n">
        <v>45870.62511574074</v>
      </c>
      <c r="C6261" s="1" t="n">
        <v>45962</v>
      </c>
      <c r="D6261" t="inlineStr">
        <is>
          <t>JÖNKÖPINGS LÄN</t>
        </is>
      </c>
      <c r="E6261" t="inlineStr">
        <is>
          <t>JÖNKÖPING</t>
        </is>
      </c>
      <c r="F6261" t="inlineStr">
        <is>
          <t>Sveaskog</t>
        </is>
      </c>
      <c r="G6261" t="n">
        <v>0.8</v>
      </c>
      <c r="H6261" t="n">
        <v>0</v>
      </c>
      <c r="I6261" t="n">
        <v>0</v>
      </c>
      <c r="J6261" t="n">
        <v>0</v>
      </c>
      <c r="K6261" t="n">
        <v>0</v>
      </c>
      <c r="L6261" t="n">
        <v>0</v>
      </c>
      <c r="M6261" t="n">
        <v>0</v>
      </c>
      <c r="N6261" t="n">
        <v>0</v>
      </c>
      <c r="O6261" t="n">
        <v>0</v>
      </c>
      <c r="P6261" t="n">
        <v>0</v>
      </c>
      <c r="Q6261" t="n">
        <v>0</v>
      </c>
      <c r="R6261" s="2" t="inlineStr"/>
    </row>
    <row r="6262" ht="15" customHeight="1">
      <c r="A6262" t="inlineStr">
        <is>
          <t>A 12382-2024</t>
        </is>
      </c>
      <c r="B6262" s="1" t="n">
        <v>45379.32574074074</v>
      </c>
      <c r="C6262" s="1" t="n">
        <v>45962</v>
      </c>
      <c r="D6262" t="inlineStr">
        <is>
          <t>JÖNKÖPINGS LÄN</t>
        </is>
      </c>
      <c r="E6262" t="inlineStr">
        <is>
          <t>VETLANDA</t>
        </is>
      </c>
      <c r="G6262" t="n">
        <v>3.9</v>
      </c>
      <c r="H6262" t="n">
        <v>0</v>
      </c>
      <c r="I6262" t="n">
        <v>0</v>
      </c>
      <c r="J6262" t="n">
        <v>0</v>
      </c>
      <c r="K6262" t="n">
        <v>0</v>
      </c>
      <c r="L6262" t="n">
        <v>0</v>
      </c>
      <c r="M6262" t="n">
        <v>0</v>
      </c>
      <c r="N6262" t="n">
        <v>0</v>
      </c>
      <c r="O6262" t="n">
        <v>0</v>
      </c>
      <c r="P6262" t="n">
        <v>0</v>
      </c>
      <c r="Q6262" t="n">
        <v>0</v>
      </c>
      <c r="R6262" s="2" t="inlineStr"/>
    </row>
    <row r="6263" ht="15" customHeight="1">
      <c r="A6263" t="inlineStr">
        <is>
          <t>A 2739-2021</t>
        </is>
      </c>
      <c r="B6263" s="1" t="n">
        <v>44215</v>
      </c>
      <c r="C6263" s="1" t="n">
        <v>45962</v>
      </c>
      <c r="D6263" t="inlineStr">
        <is>
          <t>JÖNKÖPINGS LÄN</t>
        </is>
      </c>
      <c r="E6263" t="inlineStr">
        <is>
          <t>GISLAVED</t>
        </is>
      </c>
      <c r="G6263" t="n">
        <v>0.9</v>
      </c>
      <c r="H6263" t="n">
        <v>0</v>
      </c>
      <c r="I6263" t="n">
        <v>0</v>
      </c>
      <c r="J6263" t="n">
        <v>0</v>
      </c>
      <c r="K6263" t="n">
        <v>0</v>
      </c>
      <c r="L6263" t="n">
        <v>0</v>
      </c>
      <c r="M6263" t="n">
        <v>0</v>
      </c>
      <c r="N6263" t="n">
        <v>0</v>
      </c>
      <c r="O6263" t="n">
        <v>0</v>
      </c>
      <c r="P6263" t="n">
        <v>0</v>
      </c>
      <c r="Q6263" t="n">
        <v>0</v>
      </c>
      <c r="R6263" s="2" t="inlineStr"/>
    </row>
    <row r="6264" ht="15" customHeight="1">
      <c r="A6264" t="inlineStr">
        <is>
          <t>A 23202-2021</t>
        </is>
      </c>
      <c r="B6264" s="1" t="n">
        <v>44333.36072916666</v>
      </c>
      <c r="C6264" s="1" t="n">
        <v>45962</v>
      </c>
      <c r="D6264" t="inlineStr">
        <is>
          <t>JÖNKÖPINGS LÄN</t>
        </is>
      </c>
      <c r="E6264" t="inlineStr">
        <is>
          <t>GISLAVED</t>
        </is>
      </c>
      <c r="G6264" t="n">
        <v>1.4</v>
      </c>
      <c r="H6264" t="n">
        <v>0</v>
      </c>
      <c r="I6264" t="n">
        <v>0</v>
      </c>
      <c r="J6264" t="n">
        <v>0</v>
      </c>
      <c r="K6264" t="n">
        <v>0</v>
      </c>
      <c r="L6264" t="n">
        <v>0</v>
      </c>
      <c r="M6264" t="n">
        <v>0</v>
      </c>
      <c r="N6264" t="n">
        <v>0</v>
      </c>
      <c r="O6264" t="n">
        <v>0</v>
      </c>
      <c r="P6264" t="n">
        <v>0</v>
      </c>
      <c r="Q6264" t="n">
        <v>0</v>
      </c>
      <c r="R6264" s="2" t="inlineStr"/>
    </row>
    <row r="6265" ht="15" customHeight="1">
      <c r="A6265" t="inlineStr">
        <is>
          <t>A 14927-2024</t>
        </is>
      </c>
      <c r="B6265" s="1" t="n">
        <v>45398.62652777778</v>
      </c>
      <c r="C6265" s="1" t="n">
        <v>45962</v>
      </c>
      <c r="D6265" t="inlineStr">
        <is>
          <t>JÖNKÖPINGS LÄN</t>
        </is>
      </c>
      <c r="E6265" t="inlineStr">
        <is>
          <t>VETLANDA</t>
        </is>
      </c>
      <c r="G6265" t="n">
        <v>1.1</v>
      </c>
      <c r="H6265" t="n">
        <v>0</v>
      </c>
      <c r="I6265" t="n">
        <v>0</v>
      </c>
      <c r="J6265" t="n">
        <v>0</v>
      </c>
      <c r="K6265" t="n">
        <v>0</v>
      </c>
      <c r="L6265" t="n">
        <v>0</v>
      </c>
      <c r="M6265" t="n">
        <v>0</v>
      </c>
      <c r="N6265" t="n">
        <v>0</v>
      </c>
      <c r="O6265" t="n">
        <v>0</v>
      </c>
      <c r="P6265" t="n">
        <v>0</v>
      </c>
      <c r="Q6265" t="n">
        <v>0</v>
      </c>
      <c r="R6265" s="2" t="inlineStr"/>
    </row>
    <row r="6266" ht="15" customHeight="1">
      <c r="A6266" t="inlineStr">
        <is>
          <t>A 36596-2025</t>
        </is>
      </c>
      <c r="B6266" s="1" t="n">
        <v>45870.51346064815</v>
      </c>
      <c r="C6266" s="1" t="n">
        <v>45962</v>
      </c>
      <c r="D6266" t="inlineStr">
        <is>
          <t>JÖNKÖPINGS LÄN</t>
        </is>
      </c>
      <c r="E6266" t="inlineStr">
        <is>
          <t>GISLAVED</t>
        </is>
      </c>
      <c r="F6266" t="inlineStr">
        <is>
          <t>Sveaskog</t>
        </is>
      </c>
      <c r="G6266" t="n">
        <v>6.7</v>
      </c>
      <c r="H6266" t="n">
        <v>0</v>
      </c>
      <c r="I6266" t="n">
        <v>0</v>
      </c>
      <c r="J6266" t="n">
        <v>0</v>
      </c>
      <c r="K6266" t="n">
        <v>0</v>
      </c>
      <c r="L6266" t="n">
        <v>0</v>
      </c>
      <c r="M6266" t="n">
        <v>0</v>
      </c>
      <c r="N6266" t="n">
        <v>0</v>
      </c>
      <c r="O6266" t="n">
        <v>0</v>
      </c>
      <c r="P6266" t="n">
        <v>0</v>
      </c>
      <c r="Q6266" t="n">
        <v>0</v>
      </c>
      <c r="R6266" s="2" t="inlineStr"/>
    </row>
    <row r="6267" ht="15" customHeight="1">
      <c r="A6267" t="inlineStr">
        <is>
          <t>A 39412-2025</t>
        </is>
      </c>
      <c r="B6267" s="1" t="n">
        <v>45889.65611111111</v>
      </c>
      <c r="C6267" s="1" t="n">
        <v>45962</v>
      </c>
      <c r="D6267" t="inlineStr">
        <is>
          <t>JÖNKÖPINGS LÄN</t>
        </is>
      </c>
      <c r="E6267" t="inlineStr">
        <is>
          <t>GISLAVED</t>
        </is>
      </c>
      <c r="G6267" t="n">
        <v>2.6</v>
      </c>
      <c r="H6267" t="n">
        <v>0</v>
      </c>
      <c r="I6267" t="n">
        <v>0</v>
      </c>
      <c r="J6267" t="n">
        <v>0</v>
      </c>
      <c r="K6267" t="n">
        <v>0</v>
      </c>
      <c r="L6267" t="n">
        <v>0</v>
      </c>
      <c r="M6267" t="n">
        <v>0</v>
      </c>
      <c r="N6267" t="n">
        <v>0</v>
      </c>
      <c r="O6267" t="n">
        <v>0</v>
      </c>
      <c r="P6267" t="n">
        <v>0</v>
      </c>
      <c r="Q6267" t="n">
        <v>0</v>
      </c>
      <c r="R6267" s="2" t="inlineStr"/>
    </row>
    <row r="6268" ht="15" customHeight="1">
      <c r="A6268" t="inlineStr">
        <is>
          <t>A 25758-2024</t>
        </is>
      </c>
      <c r="B6268" s="1" t="n">
        <v>45465.70548611111</v>
      </c>
      <c r="C6268" s="1" t="n">
        <v>45962</v>
      </c>
      <c r="D6268" t="inlineStr">
        <is>
          <t>JÖNKÖPINGS LÄN</t>
        </is>
      </c>
      <c r="E6268" t="inlineStr">
        <is>
          <t>GISLAVED</t>
        </is>
      </c>
      <c r="G6268" t="n">
        <v>1.1</v>
      </c>
      <c r="H6268" t="n">
        <v>0</v>
      </c>
      <c r="I6268" t="n">
        <v>0</v>
      </c>
      <c r="J6268" t="n">
        <v>0</v>
      </c>
      <c r="K6268" t="n">
        <v>0</v>
      </c>
      <c r="L6268" t="n">
        <v>0</v>
      </c>
      <c r="M6268" t="n">
        <v>0</v>
      </c>
      <c r="N6268" t="n">
        <v>0</v>
      </c>
      <c r="O6268" t="n">
        <v>0</v>
      </c>
      <c r="P6268" t="n">
        <v>0</v>
      </c>
      <c r="Q6268" t="n">
        <v>0</v>
      </c>
      <c r="R6268" s="2" t="inlineStr"/>
    </row>
    <row r="6269" ht="15" customHeight="1">
      <c r="A6269" t="inlineStr">
        <is>
          <t>A 25752-2024</t>
        </is>
      </c>
      <c r="B6269" s="1" t="n">
        <v>45465.63829861111</v>
      </c>
      <c r="C6269" s="1" t="n">
        <v>45962</v>
      </c>
      <c r="D6269" t="inlineStr">
        <is>
          <t>JÖNKÖPINGS LÄN</t>
        </is>
      </c>
      <c r="E6269" t="inlineStr">
        <is>
          <t>GISLAVED</t>
        </is>
      </c>
      <c r="G6269" t="n">
        <v>0.7</v>
      </c>
      <c r="H6269" t="n">
        <v>0</v>
      </c>
      <c r="I6269" t="n">
        <v>0</v>
      </c>
      <c r="J6269" t="n">
        <v>0</v>
      </c>
      <c r="K6269" t="n">
        <v>0</v>
      </c>
      <c r="L6269" t="n">
        <v>0</v>
      </c>
      <c r="M6269" t="n">
        <v>0</v>
      </c>
      <c r="N6269" t="n">
        <v>0</v>
      </c>
      <c r="O6269" t="n">
        <v>0</v>
      </c>
      <c r="P6269" t="n">
        <v>0</v>
      </c>
      <c r="Q6269" t="n">
        <v>0</v>
      </c>
      <c r="R6269" s="2" t="inlineStr"/>
    </row>
    <row r="6270" ht="15" customHeight="1">
      <c r="A6270" t="inlineStr">
        <is>
          <t>A 53715-2021</t>
        </is>
      </c>
      <c r="B6270" s="1" t="n">
        <v>44469.49696759259</v>
      </c>
      <c r="C6270" s="1" t="n">
        <v>45962</v>
      </c>
      <c r="D6270" t="inlineStr">
        <is>
          <t>JÖNKÖPINGS LÄN</t>
        </is>
      </c>
      <c r="E6270" t="inlineStr">
        <is>
          <t>GISLAVED</t>
        </is>
      </c>
      <c r="G6270" t="n">
        <v>3</v>
      </c>
      <c r="H6270" t="n">
        <v>0</v>
      </c>
      <c r="I6270" t="n">
        <v>0</v>
      </c>
      <c r="J6270" t="n">
        <v>0</v>
      </c>
      <c r="K6270" t="n">
        <v>0</v>
      </c>
      <c r="L6270" t="n">
        <v>0</v>
      </c>
      <c r="M6270" t="n">
        <v>0</v>
      </c>
      <c r="N6270" t="n">
        <v>0</v>
      </c>
      <c r="O6270" t="n">
        <v>0</v>
      </c>
      <c r="P6270" t="n">
        <v>0</v>
      </c>
      <c r="Q6270" t="n">
        <v>0</v>
      </c>
      <c r="R6270" s="2" t="inlineStr"/>
    </row>
    <row r="6271" ht="15" customHeight="1">
      <c r="A6271" t="inlineStr">
        <is>
          <t>A 51929-2024</t>
        </is>
      </c>
      <c r="B6271" s="1" t="n">
        <v>45607</v>
      </c>
      <c r="C6271" s="1" t="n">
        <v>45962</v>
      </c>
      <c r="D6271" t="inlineStr">
        <is>
          <t>JÖNKÖPINGS LÄN</t>
        </is>
      </c>
      <c r="E6271" t="inlineStr">
        <is>
          <t>GISLAVED</t>
        </is>
      </c>
      <c r="G6271" t="n">
        <v>1.5</v>
      </c>
      <c r="H6271" t="n">
        <v>0</v>
      </c>
      <c r="I6271" t="n">
        <v>0</v>
      </c>
      <c r="J6271" t="n">
        <v>0</v>
      </c>
      <c r="K6271" t="n">
        <v>0</v>
      </c>
      <c r="L6271" t="n">
        <v>0</v>
      </c>
      <c r="M6271" t="n">
        <v>0</v>
      </c>
      <c r="N6271" t="n">
        <v>0</v>
      </c>
      <c r="O6271" t="n">
        <v>0</v>
      </c>
      <c r="P6271" t="n">
        <v>0</v>
      </c>
      <c r="Q6271" t="n">
        <v>0</v>
      </c>
      <c r="R6271" s="2" t="inlineStr"/>
    </row>
    <row r="6272" ht="15" customHeight="1">
      <c r="A6272" t="inlineStr">
        <is>
          <t>A 47477-2025</t>
        </is>
      </c>
      <c r="B6272" s="1" t="n">
        <v>45930.67966435185</v>
      </c>
      <c r="C6272" s="1" t="n">
        <v>45962</v>
      </c>
      <c r="D6272" t="inlineStr">
        <is>
          <t>JÖNKÖPINGS LÄN</t>
        </is>
      </c>
      <c r="E6272" t="inlineStr">
        <is>
          <t>TRANÅS</t>
        </is>
      </c>
      <c r="G6272" t="n">
        <v>4.7</v>
      </c>
      <c r="H6272" t="n">
        <v>0</v>
      </c>
      <c r="I6272" t="n">
        <v>0</v>
      </c>
      <c r="J6272" t="n">
        <v>0</v>
      </c>
      <c r="K6272" t="n">
        <v>0</v>
      </c>
      <c r="L6272" t="n">
        <v>0</v>
      </c>
      <c r="M6272" t="n">
        <v>0</v>
      </c>
      <c r="N6272" t="n">
        <v>0</v>
      </c>
      <c r="O6272" t="n">
        <v>0</v>
      </c>
      <c r="P6272" t="n">
        <v>0</v>
      </c>
      <c r="Q6272" t="n">
        <v>0</v>
      </c>
      <c r="R6272" s="2" t="inlineStr"/>
    </row>
    <row r="6273" ht="15" customHeight="1">
      <c r="A6273" t="inlineStr">
        <is>
          <t>A 25649-2023</t>
        </is>
      </c>
      <c r="B6273" s="1" t="n">
        <v>45089.80048611111</v>
      </c>
      <c r="C6273" s="1" t="n">
        <v>45962</v>
      </c>
      <c r="D6273" t="inlineStr">
        <is>
          <t>JÖNKÖPINGS LÄN</t>
        </is>
      </c>
      <c r="E6273" t="inlineStr">
        <is>
          <t>GISLAVED</t>
        </is>
      </c>
      <c r="F6273" t="inlineStr">
        <is>
          <t>Sveaskog</t>
        </is>
      </c>
      <c r="G6273" t="n">
        <v>5.7</v>
      </c>
      <c r="H6273" t="n">
        <v>0</v>
      </c>
      <c r="I6273" t="n">
        <v>0</v>
      </c>
      <c r="J6273" t="n">
        <v>0</v>
      </c>
      <c r="K6273" t="n">
        <v>0</v>
      </c>
      <c r="L6273" t="n">
        <v>0</v>
      </c>
      <c r="M6273" t="n">
        <v>0</v>
      </c>
      <c r="N6273" t="n">
        <v>0</v>
      </c>
      <c r="O6273" t="n">
        <v>0</v>
      </c>
      <c r="P6273" t="n">
        <v>0</v>
      </c>
      <c r="Q6273" t="n">
        <v>0</v>
      </c>
      <c r="R6273" s="2" t="inlineStr"/>
    </row>
    <row r="6274" ht="15" customHeight="1">
      <c r="A6274" t="inlineStr">
        <is>
          <t>A 39340-2025</t>
        </is>
      </c>
      <c r="B6274" s="1" t="n">
        <v>45889</v>
      </c>
      <c r="C6274" s="1" t="n">
        <v>45962</v>
      </c>
      <c r="D6274" t="inlineStr">
        <is>
          <t>JÖNKÖPINGS LÄN</t>
        </is>
      </c>
      <c r="E6274" t="inlineStr">
        <is>
          <t>VETLANDA</t>
        </is>
      </c>
      <c r="G6274" t="n">
        <v>2.9</v>
      </c>
      <c r="H6274" t="n">
        <v>0</v>
      </c>
      <c r="I6274" t="n">
        <v>0</v>
      </c>
      <c r="J6274" t="n">
        <v>0</v>
      </c>
      <c r="K6274" t="n">
        <v>0</v>
      </c>
      <c r="L6274" t="n">
        <v>0</v>
      </c>
      <c r="M6274" t="n">
        <v>0</v>
      </c>
      <c r="N6274" t="n">
        <v>0</v>
      </c>
      <c r="O6274" t="n">
        <v>0</v>
      </c>
      <c r="P6274" t="n">
        <v>0</v>
      </c>
      <c r="Q6274" t="n">
        <v>0</v>
      </c>
      <c r="R6274" s="2" t="inlineStr"/>
    </row>
    <row r="6275" ht="15" customHeight="1">
      <c r="A6275" t="inlineStr">
        <is>
          <t>A 56869-2022</t>
        </is>
      </c>
      <c r="B6275" s="1" t="n">
        <v>44894.53177083333</v>
      </c>
      <c r="C6275" s="1" t="n">
        <v>45962</v>
      </c>
      <c r="D6275" t="inlineStr">
        <is>
          <t>JÖNKÖPINGS LÄN</t>
        </is>
      </c>
      <c r="E6275" t="inlineStr">
        <is>
          <t>NÄSSJÖ</t>
        </is>
      </c>
      <c r="G6275" t="n">
        <v>1</v>
      </c>
      <c r="H6275" t="n">
        <v>0</v>
      </c>
      <c r="I6275" t="n">
        <v>0</v>
      </c>
      <c r="J6275" t="n">
        <v>0</v>
      </c>
      <c r="K6275" t="n">
        <v>0</v>
      </c>
      <c r="L6275" t="n">
        <v>0</v>
      </c>
      <c r="M6275" t="n">
        <v>0</v>
      </c>
      <c r="N6275" t="n">
        <v>0</v>
      </c>
      <c r="O6275" t="n">
        <v>0</v>
      </c>
      <c r="P6275" t="n">
        <v>0</v>
      </c>
      <c r="Q6275" t="n">
        <v>0</v>
      </c>
      <c r="R6275" s="2" t="inlineStr"/>
    </row>
    <row r="6276" ht="15" customHeight="1">
      <c r="A6276" t="inlineStr">
        <is>
          <t>A 52993-2024</t>
        </is>
      </c>
      <c r="B6276" s="1" t="n">
        <v>45611.37762731482</v>
      </c>
      <c r="C6276" s="1" t="n">
        <v>45962</v>
      </c>
      <c r="D6276" t="inlineStr">
        <is>
          <t>JÖNKÖPINGS LÄN</t>
        </is>
      </c>
      <c r="E6276" t="inlineStr">
        <is>
          <t>GISLAVED</t>
        </is>
      </c>
      <c r="G6276" t="n">
        <v>1.1</v>
      </c>
      <c r="H6276" t="n">
        <v>0</v>
      </c>
      <c r="I6276" t="n">
        <v>0</v>
      </c>
      <c r="J6276" t="n">
        <v>0</v>
      </c>
      <c r="K6276" t="n">
        <v>0</v>
      </c>
      <c r="L6276" t="n">
        <v>0</v>
      </c>
      <c r="M6276" t="n">
        <v>0</v>
      </c>
      <c r="N6276" t="n">
        <v>0</v>
      </c>
      <c r="O6276" t="n">
        <v>0</v>
      </c>
      <c r="P6276" t="n">
        <v>0</v>
      </c>
      <c r="Q6276" t="n">
        <v>0</v>
      </c>
      <c r="R6276" s="2" t="inlineStr"/>
    </row>
    <row r="6277" ht="15" customHeight="1">
      <c r="A6277" t="inlineStr">
        <is>
          <t>A 22308-2025</t>
        </is>
      </c>
      <c r="B6277" s="1" t="n">
        <v>45786.36444444444</v>
      </c>
      <c r="C6277" s="1" t="n">
        <v>45962</v>
      </c>
      <c r="D6277" t="inlineStr">
        <is>
          <t>JÖNKÖPINGS LÄN</t>
        </is>
      </c>
      <c r="E6277" t="inlineStr">
        <is>
          <t>VETLANDA</t>
        </is>
      </c>
      <c r="G6277" t="n">
        <v>3.7</v>
      </c>
      <c r="H6277" t="n">
        <v>0</v>
      </c>
      <c r="I6277" t="n">
        <v>0</v>
      </c>
      <c r="J6277" t="n">
        <v>0</v>
      </c>
      <c r="K6277" t="n">
        <v>0</v>
      </c>
      <c r="L6277" t="n">
        <v>0</v>
      </c>
      <c r="M6277" t="n">
        <v>0</v>
      </c>
      <c r="N6277" t="n">
        <v>0</v>
      </c>
      <c r="O6277" t="n">
        <v>0</v>
      </c>
      <c r="P6277" t="n">
        <v>0</v>
      </c>
      <c r="Q6277" t="n">
        <v>0</v>
      </c>
      <c r="R6277" s="2" t="inlineStr"/>
    </row>
    <row r="6278" ht="15" customHeight="1">
      <c r="A6278" t="inlineStr">
        <is>
          <t>A 5105-2023</t>
        </is>
      </c>
      <c r="B6278" s="1" t="n">
        <v>44958.65390046296</v>
      </c>
      <c r="C6278" s="1" t="n">
        <v>45962</v>
      </c>
      <c r="D6278" t="inlineStr">
        <is>
          <t>JÖNKÖPINGS LÄN</t>
        </is>
      </c>
      <c r="E6278" t="inlineStr">
        <is>
          <t>GISLAVED</t>
        </is>
      </c>
      <c r="G6278" t="n">
        <v>0.5</v>
      </c>
      <c r="H6278" t="n">
        <v>0</v>
      </c>
      <c r="I6278" t="n">
        <v>0</v>
      </c>
      <c r="J6278" t="n">
        <v>0</v>
      </c>
      <c r="K6278" t="n">
        <v>0</v>
      </c>
      <c r="L6278" t="n">
        <v>0</v>
      </c>
      <c r="M6278" t="n">
        <v>0</v>
      </c>
      <c r="N6278" t="n">
        <v>0</v>
      </c>
      <c r="O6278" t="n">
        <v>0</v>
      </c>
      <c r="P6278" t="n">
        <v>0</v>
      </c>
      <c r="Q6278" t="n">
        <v>0</v>
      </c>
      <c r="R6278" s="2" t="inlineStr"/>
    </row>
    <row r="6279" ht="15" customHeight="1">
      <c r="A6279" t="inlineStr">
        <is>
          <t>A 25755-2024</t>
        </is>
      </c>
      <c r="B6279" s="1" t="n">
        <v>45465.64491898148</v>
      </c>
      <c r="C6279" s="1" t="n">
        <v>45962</v>
      </c>
      <c r="D6279" t="inlineStr">
        <is>
          <t>JÖNKÖPINGS LÄN</t>
        </is>
      </c>
      <c r="E6279" t="inlineStr">
        <is>
          <t>GISLAVED</t>
        </is>
      </c>
      <c r="G6279" t="n">
        <v>0.5</v>
      </c>
      <c r="H6279" t="n">
        <v>0</v>
      </c>
      <c r="I6279" t="n">
        <v>0</v>
      </c>
      <c r="J6279" t="n">
        <v>0</v>
      </c>
      <c r="K6279" t="n">
        <v>0</v>
      </c>
      <c r="L6279" t="n">
        <v>0</v>
      </c>
      <c r="M6279" t="n">
        <v>0</v>
      </c>
      <c r="N6279" t="n">
        <v>0</v>
      </c>
      <c r="O6279" t="n">
        <v>0</v>
      </c>
      <c r="P6279" t="n">
        <v>0</v>
      </c>
      <c r="Q6279" t="n">
        <v>0</v>
      </c>
      <c r="R6279" s="2" t="inlineStr"/>
    </row>
    <row r="6280" ht="15" customHeight="1">
      <c r="A6280" t="inlineStr">
        <is>
          <t>A 36145-2021</t>
        </is>
      </c>
      <c r="B6280" s="1" t="n">
        <v>44389.58666666667</v>
      </c>
      <c r="C6280" s="1" t="n">
        <v>45962</v>
      </c>
      <c r="D6280" t="inlineStr">
        <is>
          <t>JÖNKÖPINGS LÄN</t>
        </is>
      </c>
      <c r="E6280" t="inlineStr">
        <is>
          <t>GISLAVED</t>
        </is>
      </c>
      <c r="G6280" t="n">
        <v>0.5</v>
      </c>
      <c r="H6280" t="n">
        <v>0</v>
      </c>
      <c r="I6280" t="n">
        <v>0</v>
      </c>
      <c r="J6280" t="n">
        <v>0</v>
      </c>
      <c r="K6280" t="n">
        <v>0</v>
      </c>
      <c r="L6280" t="n">
        <v>0</v>
      </c>
      <c r="M6280" t="n">
        <v>0</v>
      </c>
      <c r="N6280" t="n">
        <v>0</v>
      </c>
      <c r="O6280" t="n">
        <v>0</v>
      </c>
      <c r="P6280" t="n">
        <v>0</v>
      </c>
      <c r="Q6280" t="n">
        <v>0</v>
      </c>
      <c r="R6280" s="2" t="inlineStr"/>
    </row>
    <row r="6281" ht="15" customHeight="1">
      <c r="A6281" t="inlineStr">
        <is>
          <t>A 25753-2024</t>
        </is>
      </c>
      <c r="B6281" s="1" t="n">
        <v>45465.64028935185</v>
      </c>
      <c r="C6281" s="1" t="n">
        <v>45962</v>
      </c>
      <c r="D6281" t="inlineStr">
        <is>
          <t>JÖNKÖPINGS LÄN</t>
        </is>
      </c>
      <c r="E6281" t="inlineStr">
        <is>
          <t>GISLAVED</t>
        </is>
      </c>
      <c r="G6281" t="n">
        <v>3.2</v>
      </c>
      <c r="H6281" t="n">
        <v>0</v>
      </c>
      <c r="I6281" t="n">
        <v>0</v>
      </c>
      <c r="J6281" t="n">
        <v>0</v>
      </c>
      <c r="K6281" t="n">
        <v>0</v>
      </c>
      <c r="L6281" t="n">
        <v>0</v>
      </c>
      <c r="M6281" t="n">
        <v>0</v>
      </c>
      <c r="N6281" t="n">
        <v>0</v>
      </c>
      <c r="O6281" t="n">
        <v>0</v>
      </c>
      <c r="P6281" t="n">
        <v>0</v>
      </c>
      <c r="Q6281" t="n">
        <v>0</v>
      </c>
      <c r="R6281" s="2" t="inlineStr"/>
    </row>
    <row r="6282" ht="15" customHeight="1">
      <c r="A6282" t="inlineStr">
        <is>
          <t>A 39043-2025</t>
        </is>
      </c>
      <c r="B6282" s="1" t="n">
        <v>45888</v>
      </c>
      <c r="C6282" s="1" t="n">
        <v>45962</v>
      </c>
      <c r="D6282" t="inlineStr">
        <is>
          <t>JÖNKÖPINGS LÄN</t>
        </is>
      </c>
      <c r="E6282" t="inlineStr">
        <is>
          <t>TRANÅS</t>
        </is>
      </c>
      <c r="G6282" t="n">
        <v>4.6</v>
      </c>
      <c r="H6282" t="n">
        <v>0</v>
      </c>
      <c r="I6282" t="n">
        <v>0</v>
      </c>
      <c r="J6282" t="n">
        <v>0</v>
      </c>
      <c r="K6282" t="n">
        <v>0</v>
      </c>
      <c r="L6282" t="n">
        <v>0</v>
      </c>
      <c r="M6282" t="n">
        <v>0</v>
      </c>
      <c r="N6282" t="n">
        <v>0</v>
      </c>
      <c r="O6282" t="n">
        <v>0</v>
      </c>
      <c r="P6282" t="n">
        <v>0</v>
      </c>
      <c r="Q6282" t="n">
        <v>0</v>
      </c>
      <c r="R6282" s="2" t="inlineStr"/>
    </row>
    <row r="6283" ht="15" customHeight="1">
      <c r="A6283" t="inlineStr">
        <is>
          <t>A 25757-2024</t>
        </is>
      </c>
      <c r="B6283" s="1" t="n">
        <v>45465.70149305555</v>
      </c>
      <c r="C6283" s="1" t="n">
        <v>45962</v>
      </c>
      <c r="D6283" t="inlineStr">
        <is>
          <t>JÖNKÖPINGS LÄN</t>
        </is>
      </c>
      <c r="E6283" t="inlineStr">
        <is>
          <t>GISLAVED</t>
        </is>
      </c>
      <c r="G6283" t="n">
        <v>3.8</v>
      </c>
      <c r="H6283" t="n">
        <v>0</v>
      </c>
      <c r="I6283" t="n">
        <v>0</v>
      </c>
      <c r="J6283" t="n">
        <v>0</v>
      </c>
      <c r="K6283" t="n">
        <v>0</v>
      </c>
      <c r="L6283" t="n">
        <v>0</v>
      </c>
      <c r="M6283" t="n">
        <v>0</v>
      </c>
      <c r="N6283" t="n">
        <v>0</v>
      </c>
      <c r="O6283" t="n">
        <v>0</v>
      </c>
      <c r="P6283" t="n">
        <v>0</v>
      </c>
      <c r="Q6283" t="n">
        <v>0</v>
      </c>
      <c r="R6283" s="2" t="inlineStr"/>
    </row>
    <row r="6284" ht="15" customHeight="1">
      <c r="A6284" t="inlineStr">
        <is>
          <t>A 22168-2021</t>
        </is>
      </c>
      <c r="B6284" s="1" t="n">
        <v>44325.76335648148</v>
      </c>
      <c r="C6284" s="1" t="n">
        <v>45962</v>
      </c>
      <c r="D6284" t="inlineStr">
        <is>
          <t>JÖNKÖPINGS LÄN</t>
        </is>
      </c>
      <c r="E6284" t="inlineStr">
        <is>
          <t>JÖNKÖPING</t>
        </is>
      </c>
      <c r="G6284" t="n">
        <v>5.9</v>
      </c>
      <c r="H6284" t="n">
        <v>0</v>
      </c>
      <c r="I6284" t="n">
        <v>0</v>
      </c>
      <c r="J6284" t="n">
        <v>0</v>
      </c>
      <c r="K6284" t="n">
        <v>0</v>
      </c>
      <c r="L6284" t="n">
        <v>0</v>
      </c>
      <c r="M6284" t="n">
        <v>0</v>
      </c>
      <c r="N6284" t="n">
        <v>0</v>
      </c>
      <c r="O6284" t="n">
        <v>0</v>
      </c>
      <c r="P6284" t="n">
        <v>0</v>
      </c>
      <c r="Q6284" t="n">
        <v>0</v>
      </c>
      <c r="R6284" s="2" t="inlineStr"/>
    </row>
    <row r="6285" ht="15" customHeight="1">
      <c r="A6285" t="inlineStr">
        <is>
          <t>A 46867-2023</t>
        </is>
      </c>
      <c r="B6285" s="1" t="n">
        <v>45200.66200231481</v>
      </c>
      <c r="C6285" s="1" t="n">
        <v>45962</v>
      </c>
      <c r="D6285" t="inlineStr">
        <is>
          <t>JÖNKÖPINGS LÄN</t>
        </is>
      </c>
      <c r="E6285" t="inlineStr">
        <is>
          <t>VÄRNAMO</t>
        </is>
      </c>
      <c r="F6285" t="inlineStr">
        <is>
          <t>Övriga Aktiebolag</t>
        </is>
      </c>
      <c r="G6285" t="n">
        <v>1.3</v>
      </c>
      <c r="H6285" t="n">
        <v>0</v>
      </c>
      <c r="I6285" t="n">
        <v>0</v>
      </c>
      <c r="J6285" t="n">
        <v>0</v>
      </c>
      <c r="K6285" t="n">
        <v>0</v>
      </c>
      <c r="L6285" t="n">
        <v>0</v>
      </c>
      <c r="M6285" t="n">
        <v>0</v>
      </c>
      <c r="N6285" t="n">
        <v>0</v>
      </c>
      <c r="O6285" t="n">
        <v>0</v>
      </c>
      <c r="P6285" t="n">
        <v>0</v>
      </c>
      <c r="Q6285" t="n">
        <v>0</v>
      </c>
      <c r="R6285" s="2" t="inlineStr"/>
    </row>
    <row r="6286" ht="15" customHeight="1">
      <c r="A6286" t="inlineStr">
        <is>
          <t>A 47299-2025</t>
        </is>
      </c>
      <c r="B6286" s="1" t="n">
        <v>45930.50085648148</v>
      </c>
      <c r="C6286" s="1" t="n">
        <v>45962</v>
      </c>
      <c r="D6286" t="inlineStr">
        <is>
          <t>JÖNKÖPINGS LÄN</t>
        </is>
      </c>
      <c r="E6286" t="inlineStr">
        <is>
          <t>VETLANDA</t>
        </is>
      </c>
      <c r="G6286" t="n">
        <v>1.1</v>
      </c>
      <c r="H6286" t="n">
        <v>0</v>
      </c>
      <c r="I6286" t="n">
        <v>0</v>
      </c>
      <c r="J6286" t="n">
        <v>0</v>
      </c>
      <c r="K6286" t="n">
        <v>0</v>
      </c>
      <c r="L6286" t="n">
        <v>0</v>
      </c>
      <c r="M6286" t="n">
        <v>0</v>
      </c>
      <c r="N6286" t="n">
        <v>0</v>
      </c>
      <c r="O6286" t="n">
        <v>0</v>
      </c>
      <c r="P6286" t="n">
        <v>0</v>
      </c>
      <c r="Q6286" t="n">
        <v>0</v>
      </c>
      <c r="R6286" s="2" t="inlineStr"/>
    </row>
    <row r="6287" ht="15" customHeight="1">
      <c r="A6287" t="inlineStr">
        <is>
          <t>A 47300-2025</t>
        </is>
      </c>
      <c r="B6287" s="1" t="n">
        <v>45930.50304398148</v>
      </c>
      <c r="C6287" s="1" t="n">
        <v>45962</v>
      </c>
      <c r="D6287" t="inlineStr">
        <is>
          <t>JÖNKÖPINGS LÄN</t>
        </is>
      </c>
      <c r="E6287" t="inlineStr">
        <is>
          <t>VETLANDA</t>
        </is>
      </c>
      <c r="G6287" t="n">
        <v>0.6</v>
      </c>
      <c r="H6287" t="n">
        <v>0</v>
      </c>
      <c r="I6287" t="n">
        <v>0</v>
      </c>
      <c r="J6287" t="n">
        <v>0</v>
      </c>
      <c r="K6287" t="n">
        <v>0</v>
      </c>
      <c r="L6287" t="n">
        <v>0</v>
      </c>
      <c r="M6287" t="n">
        <v>0</v>
      </c>
      <c r="N6287" t="n">
        <v>0</v>
      </c>
      <c r="O6287" t="n">
        <v>0</v>
      </c>
      <c r="P6287" t="n">
        <v>0</v>
      </c>
      <c r="Q6287" t="n">
        <v>0</v>
      </c>
      <c r="R6287" s="2" t="inlineStr"/>
    </row>
    <row r="6288" ht="15" customHeight="1">
      <c r="A6288" t="inlineStr">
        <is>
          <t>A 36774-2025</t>
        </is>
      </c>
      <c r="B6288" s="1" t="n">
        <v>45873.59123842593</v>
      </c>
      <c r="C6288" s="1" t="n">
        <v>45962</v>
      </c>
      <c r="D6288" t="inlineStr">
        <is>
          <t>JÖNKÖPINGS LÄN</t>
        </is>
      </c>
      <c r="E6288" t="inlineStr">
        <is>
          <t>VETLANDA</t>
        </is>
      </c>
      <c r="G6288" t="n">
        <v>1.9</v>
      </c>
      <c r="H6288" t="n">
        <v>0</v>
      </c>
      <c r="I6288" t="n">
        <v>0</v>
      </c>
      <c r="J6288" t="n">
        <v>0</v>
      </c>
      <c r="K6288" t="n">
        <v>0</v>
      </c>
      <c r="L6288" t="n">
        <v>0</v>
      </c>
      <c r="M6288" t="n">
        <v>0</v>
      </c>
      <c r="N6288" t="n">
        <v>0</v>
      </c>
      <c r="O6288" t="n">
        <v>0</v>
      </c>
      <c r="P6288" t="n">
        <v>0</v>
      </c>
      <c r="Q6288" t="n">
        <v>0</v>
      </c>
      <c r="R6288" s="2" t="inlineStr"/>
    </row>
    <row r="6289" ht="15" customHeight="1">
      <c r="A6289" t="inlineStr">
        <is>
          <t>A 12593-2025</t>
        </is>
      </c>
      <c r="B6289" s="1" t="n">
        <v>45732.85637731481</v>
      </c>
      <c r="C6289" s="1" t="n">
        <v>45962</v>
      </c>
      <c r="D6289" t="inlineStr">
        <is>
          <t>JÖNKÖPINGS LÄN</t>
        </is>
      </c>
      <c r="E6289" t="inlineStr">
        <is>
          <t>NÄSSJÖ</t>
        </is>
      </c>
      <c r="G6289" t="n">
        <v>2</v>
      </c>
      <c r="H6289" t="n">
        <v>0</v>
      </c>
      <c r="I6289" t="n">
        <v>0</v>
      </c>
      <c r="J6289" t="n">
        <v>0</v>
      </c>
      <c r="K6289" t="n">
        <v>0</v>
      </c>
      <c r="L6289" t="n">
        <v>0</v>
      </c>
      <c r="M6289" t="n">
        <v>0</v>
      </c>
      <c r="N6289" t="n">
        <v>0</v>
      </c>
      <c r="O6289" t="n">
        <v>0</v>
      </c>
      <c r="P6289" t="n">
        <v>0</v>
      </c>
      <c r="Q6289" t="n">
        <v>0</v>
      </c>
      <c r="R6289" s="2" t="inlineStr"/>
    </row>
    <row r="6290" ht="15" customHeight="1">
      <c r="A6290" t="inlineStr">
        <is>
          <t>A 46971-2023</t>
        </is>
      </c>
      <c r="B6290" s="1" t="n">
        <v>45201.45827546297</v>
      </c>
      <c r="C6290" s="1" t="n">
        <v>45962</v>
      </c>
      <c r="D6290" t="inlineStr">
        <is>
          <t>JÖNKÖPINGS LÄN</t>
        </is>
      </c>
      <c r="E6290" t="inlineStr">
        <is>
          <t>JÖNKÖPING</t>
        </is>
      </c>
      <c r="G6290" t="n">
        <v>2.3</v>
      </c>
      <c r="H6290" t="n">
        <v>0</v>
      </c>
      <c r="I6290" t="n">
        <v>0</v>
      </c>
      <c r="J6290" t="n">
        <v>0</v>
      </c>
      <c r="K6290" t="n">
        <v>0</v>
      </c>
      <c r="L6290" t="n">
        <v>0</v>
      </c>
      <c r="M6290" t="n">
        <v>0</v>
      </c>
      <c r="N6290" t="n">
        <v>0</v>
      </c>
      <c r="O6290" t="n">
        <v>0</v>
      </c>
      <c r="P6290" t="n">
        <v>0</v>
      </c>
      <c r="Q6290" t="n">
        <v>0</v>
      </c>
      <c r="R6290" s="2" t="inlineStr"/>
    </row>
    <row r="6291" ht="15" customHeight="1">
      <c r="A6291" t="inlineStr">
        <is>
          <t>A 36662-2025</t>
        </is>
      </c>
      <c r="B6291" s="1" t="n">
        <v>45873.3636574074</v>
      </c>
      <c r="C6291" s="1" t="n">
        <v>45962</v>
      </c>
      <c r="D6291" t="inlineStr">
        <is>
          <t>JÖNKÖPINGS LÄN</t>
        </is>
      </c>
      <c r="E6291" t="inlineStr">
        <is>
          <t>VÄRNAMO</t>
        </is>
      </c>
      <c r="G6291" t="n">
        <v>0.9</v>
      </c>
      <c r="H6291" t="n">
        <v>0</v>
      </c>
      <c r="I6291" t="n">
        <v>0</v>
      </c>
      <c r="J6291" t="n">
        <v>0</v>
      </c>
      <c r="K6291" t="n">
        <v>0</v>
      </c>
      <c r="L6291" t="n">
        <v>0</v>
      </c>
      <c r="M6291" t="n">
        <v>0</v>
      </c>
      <c r="N6291" t="n">
        <v>0</v>
      </c>
      <c r="O6291" t="n">
        <v>0</v>
      </c>
      <c r="P6291" t="n">
        <v>0</v>
      </c>
      <c r="Q6291" t="n">
        <v>0</v>
      </c>
      <c r="R6291" s="2" t="inlineStr"/>
    </row>
    <row r="6292" ht="15" customHeight="1">
      <c r="A6292" t="inlineStr">
        <is>
          <t>A 5973-2025</t>
        </is>
      </c>
      <c r="B6292" s="1" t="n">
        <v>45695.51128472222</v>
      </c>
      <c r="C6292" s="1" t="n">
        <v>45962</v>
      </c>
      <c r="D6292" t="inlineStr">
        <is>
          <t>JÖNKÖPINGS LÄN</t>
        </is>
      </c>
      <c r="E6292" t="inlineStr">
        <is>
          <t>NÄSSJÖ</t>
        </is>
      </c>
      <c r="G6292" t="n">
        <v>3.6</v>
      </c>
      <c r="H6292" t="n">
        <v>0</v>
      </c>
      <c r="I6292" t="n">
        <v>0</v>
      </c>
      <c r="J6292" t="n">
        <v>0</v>
      </c>
      <c r="K6292" t="n">
        <v>0</v>
      </c>
      <c r="L6292" t="n">
        <v>0</v>
      </c>
      <c r="M6292" t="n">
        <v>0</v>
      </c>
      <c r="N6292" t="n">
        <v>0</v>
      </c>
      <c r="O6292" t="n">
        <v>0</v>
      </c>
      <c r="P6292" t="n">
        <v>0</v>
      </c>
      <c r="Q6292" t="n">
        <v>0</v>
      </c>
      <c r="R6292" s="2" t="inlineStr"/>
    </row>
    <row r="6293" ht="15" customHeight="1">
      <c r="A6293" t="inlineStr">
        <is>
          <t>A 7924-2021</t>
        </is>
      </c>
      <c r="B6293" s="1" t="n">
        <v>44243</v>
      </c>
      <c r="C6293" s="1" t="n">
        <v>45962</v>
      </c>
      <c r="D6293" t="inlineStr">
        <is>
          <t>JÖNKÖPINGS LÄN</t>
        </is>
      </c>
      <c r="E6293" t="inlineStr">
        <is>
          <t>GISLAVED</t>
        </is>
      </c>
      <c r="G6293" t="n">
        <v>1.6</v>
      </c>
      <c r="H6293" t="n">
        <v>0</v>
      </c>
      <c r="I6293" t="n">
        <v>0</v>
      </c>
      <c r="J6293" t="n">
        <v>0</v>
      </c>
      <c r="K6293" t="n">
        <v>0</v>
      </c>
      <c r="L6293" t="n">
        <v>0</v>
      </c>
      <c r="M6293" t="n">
        <v>0</v>
      </c>
      <c r="N6293" t="n">
        <v>0</v>
      </c>
      <c r="O6293" t="n">
        <v>0</v>
      </c>
      <c r="P6293" t="n">
        <v>0</v>
      </c>
      <c r="Q6293" t="n">
        <v>0</v>
      </c>
      <c r="R6293" s="2" t="inlineStr"/>
    </row>
    <row r="6294" ht="15" customHeight="1">
      <c r="A6294" t="inlineStr">
        <is>
          <t>A 14586-2024</t>
        </is>
      </c>
      <c r="B6294" s="1" t="n">
        <v>45395.4044212963</v>
      </c>
      <c r="C6294" s="1" t="n">
        <v>45962</v>
      </c>
      <c r="D6294" t="inlineStr">
        <is>
          <t>JÖNKÖPINGS LÄN</t>
        </is>
      </c>
      <c r="E6294" t="inlineStr">
        <is>
          <t>GISLAVED</t>
        </is>
      </c>
      <c r="G6294" t="n">
        <v>3</v>
      </c>
      <c r="H6294" t="n">
        <v>0</v>
      </c>
      <c r="I6294" t="n">
        <v>0</v>
      </c>
      <c r="J6294" t="n">
        <v>0</v>
      </c>
      <c r="K6294" t="n">
        <v>0</v>
      </c>
      <c r="L6294" t="n">
        <v>0</v>
      </c>
      <c r="M6294" t="n">
        <v>0</v>
      </c>
      <c r="N6294" t="n">
        <v>0</v>
      </c>
      <c r="O6294" t="n">
        <v>0</v>
      </c>
      <c r="P6294" t="n">
        <v>0</v>
      </c>
      <c r="Q6294" t="n">
        <v>0</v>
      </c>
      <c r="R6294" s="2" t="inlineStr"/>
    </row>
    <row r="6295" ht="15" customHeight="1">
      <c r="A6295" t="inlineStr">
        <is>
          <t>A 37811-2022</t>
        </is>
      </c>
      <c r="B6295" s="1" t="n">
        <v>44810</v>
      </c>
      <c r="C6295" s="1" t="n">
        <v>45962</v>
      </c>
      <c r="D6295" t="inlineStr">
        <is>
          <t>JÖNKÖPINGS LÄN</t>
        </is>
      </c>
      <c r="E6295" t="inlineStr">
        <is>
          <t>GISLAVED</t>
        </is>
      </c>
      <c r="G6295" t="n">
        <v>2.5</v>
      </c>
      <c r="H6295" t="n">
        <v>0</v>
      </c>
      <c r="I6295" t="n">
        <v>0</v>
      </c>
      <c r="J6295" t="n">
        <v>0</v>
      </c>
      <c r="K6295" t="n">
        <v>0</v>
      </c>
      <c r="L6295" t="n">
        <v>0</v>
      </c>
      <c r="M6295" t="n">
        <v>0</v>
      </c>
      <c r="N6295" t="n">
        <v>0</v>
      </c>
      <c r="O6295" t="n">
        <v>0</v>
      </c>
      <c r="P6295" t="n">
        <v>0</v>
      </c>
      <c r="Q6295" t="n">
        <v>0</v>
      </c>
      <c r="R6295" s="2" t="inlineStr"/>
    </row>
    <row r="6296" ht="15" customHeight="1">
      <c r="A6296" t="inlineStr">
        <is>
          <t>A 14724-2024</t>
        </is>
      </c>
      <c r="B6296" s="1" t="n">
        <v>45397</v>
      </c>
      <c r="C6296" s="1" t="n">
        <v>45962</v>
      </c>
      <c r="D6296" t="inlineStr">
        <is>
          <t>JÖNKÖPINGS LÄN</t>
        </is>
      </c>
      <c r="E6296" t="inlineStr">
        <is>
          <t>HABO</t>
        </is>
      </c>
      <c r="G6296" t="n">
        <v>1</v>
      </c>
      <c r="H6296" t="n">
        <v>0</v>
      </c>
      <c r="I6296" t="n">
        <v>0</v>
      </c>
      <c r="J6296" t="n">
        <v>0</v>
      </c>
      <c r="K6296" t="n">
        <v>0</v>
      </c>
      <c r="L6296" t="n">
        <v>0</v>
      </c>
      <c r="M6296" t="n">
        <v>0</v>
      </c>
      <c r="N6296" t="n">
        <v>0</v>
      </c>
      <c r="O6296" t="n">
        <v>0</v>
      </c>
      <c r="P6296" t="n">
        <v>0</v>
      </c>
      <c r="Q6296" t="n">
        <v>0</v>
      </c>
      <c r="R6296" s="2" t="inlineStr"/>
    </row>
    <row r="6297" ht="15" customHeight="1">
      <c r="A6297" t="inlineStr">
        <is>
          <t>A 39420-2025</t>
        </is>
      </c>
      <c r="B6297" s="1" t="n">
        <v>45889.6637962963</v>
      </c>
      <c r="C6297" s="1" t="n">
        <v>45962</v>
      </c>
      <c r="D6297" t="inlineStr">
        <is>
          <t>JÖNKÖPINGS LÄN</t>
        </is>
      </c>
      <c r="E6297" t="inlineStr">
        <is>
          <t>GISLAVED</t>
        </is>
      </c>
      <c r="G6297" t="n">
        <v>1.6</v>
      </c>
      <c r="H6297" t="n">
        <v>0</v>
      </c>
      <c r="I6297" t="n">
        <v>0</v>
      </c>
      <c r="J6297" t="n">
        <v>0</v>
      </c>
      <c r="K6297" t="n">
        <v>0</v>
      </c>
      <c r="L6297" t="n">
        <v>0</v>
      </c>
      <c r="M6297" t="n">
        <v>0</v>
      </c>
      <c r="N6297" t="n">
        <v>0</v>
      </c>
      <c r="O6297" t="n">
        <v>0</v>
      </c>
      <c r="P6297" t="n">
        <v>0</v>
      </c>
      <c r="Q6297" t="n">
        <v>0</v>
      </c>
      <c r="R6297" s="2" t="inlineStr"/>
    </row>
    <row r="6298" ht="15" customHeight="1">
      <c r="A6298" t="inlineStr">
        <is>
          <t>A 23722-2023</t>
        </is>
      </c>
      <c r="B6298" s="1" t="n">
        <v>45077.67440972223</v>
      </c>
      <c r="C6298" s="1" t="n">
        <v>45962</v>
      </c>
      <c r="D6298" t="inlineStr">
        <is>
          <t>JÖNKÖPINGS LÄN</t>
        </is>
      </c>
      <c r="E6298" t="inlineStr">
        <is>
          <t>GISLAVED</t>
        </is>
      </c>
      <c r="G6298" t="n">
        <v>2.2</v>
      </c>
      <c r="H6298" t="n">
        <v>0</v>
      </c>
      <c r="I6298" t="n">
        <v>0</v>
      </c>
      <c r="J6298" t="n">
        <v>0</v>
      </c>
      <c r="K6298" t="n">
        <v>0</v>
      </c>
      <c r="L6298" t="n">
        <v>0</v>
      </c>
      <c r="M6298" t="n">
        <v>0</v>
      </c>
      <c r="N6298" t="n">
        <v>0</v>
      </c>
      <c r="O6298" t="n">
        <v>0</v>
      </c>
      <c r="P6298" t="n">
        <v>0</v>
      </c>
      <c r="Q6298" t="n">
        <v>0</v>
      </c>
      <c r="R6298" s="2" t="inlineStr"/>
    </row>
    <row r="6299" ht="15" customHeight="1">
      <c r="A6299" t="inlineStr">
        <is>
          <t>A 57243-2023</t>
        </is>
      </c>
      <c r="B6299" s="1" t="n">
        <v>45245.55140046297</v>
      </c>
      <c r="C6299" s="1" t="n">
        <v>45962</v>
      </c>
      <c r="D6299" t="inlineStr">
        <is>
          <t>JÖNKÖPINGS LÄN</t>
        </is>
      </c>
      <c r="E6299" t="inlineStr">
        <is>
          <t>GISLAVED</t>
        </is>
      </c>
      <c r="G6299" t="n">
        <v>0.5</v>
      </c>
      <c r="H6299" t="n">
        <v>0</v>
      </c>
      <c r="I6299" t="n">
        <v>0</v>
      </c>
      <c r="J6299" t="n">
        <v>0</v>
      </c>
      <c r="K6299" t="n">
        <v>0</v>
      </c>
      <c r="L6299" t="n">
        <v>0</v>
      </c>
      <c r="M6299" t="n">
        <v>0</v>
      </c>
      <c r="N6299" t="n">
        <v>0</v>
      </c>
      <c r="O6299" t="n">
        <v>0</v>
      </c>
      <c r="P6299" t="n">
        <v>0</v>
      </c>
      <c r="Q6299" t="n">
        <v>0</v>
      </c>
      <c r="R6299" s="2" t="inlineStr"/>
    </row>
    <row r="6300" ht="15" customHeight="1">
      <c r="A6300" t="inlineStr">
        <is>
          <t>A 47329-2025</t>
        </is>
      </c>
      <c r="B6300" s="1" t="n">
        <v>45930.56141203704</v>
      </c>
      <c r="C6300" s="1" t="n">
        <v>45962</v>
      </c>
      <c r="D6300" t="inlineStr">
        <is>
          <t>JÖNKÖPINGS LÄN</t>
        </is>
      </c>
      <c r="E6300" t="inlineStr">
        <is>
          <t>NÄSSJÖ</t>
        </is>
      </c>
      <c r="G6300" t="n">
        <v>1.9</v>
      </c>
      <c r="H6300" t="n">
        <v>0</v>
      </c>
      <c r="I6300" t="n">
        <v>0</v>
      </c>
      <c r="J6300" t="n">
        <v>0</v>
      </c>
      <c r="K6300" t="n">
        <v>0</v>
      </c>
      <c r="L6300" t="n">
        <v>0</v>
      </c>
      <c r="M6300" t="n">
        <v>0</v>
      </c>
      <c r="N6300" t="n">
        <v>0</v>
      </c>
      <c r="O6300" t="n">
        <v>0</v>
      </c>
      <c r="P6300" t="n">
        <v>0</v>
      </c>
      <c r="Q6300" t="n">
        <v>0</v>
      </c>
      <c r="R6300" s="2" t="inlineStr"/>
    </row>
    <row r="6301" ht="15" customHeight="1">
      <c r="A6301" t="inlineStr">
        <is>
          <t>A 11337-2025</t>
        </is>
      </c>
      <c r="B6301" s="1" t="n">
        <v>45726.48827546297</v>
      </c>
      <c r="C6301" s="1" t="n">
        <v>45962</v>
      </c>
      <c r="D6301" t="inlineStr">
        <is>
          <t>JÖNKÖPINGS LÄN</t>
        </is>
      </c>
      <c r="E6301" t="inlineStr">
        <is>
          <t>SÄVSJÖ</t>
        </is>
      </c>
      <c r="G6301" t="n">
        <v>1.2</v>
      </c>
      <c r="H6301" t="n">
        <v>0</v>
      </c>
      <c r="I6301" t="n">
        <v>0</v>
      </c>
      <c r="J6301" t="n">
        <v>0</v>
      </c>
      <c r="K6301" t="n">
        <v>0</v>
      </c>
      <c r="L6301" t="n">
        <v>0</v>
      </c>
      <c r="M6301" t="n">
        <v>0</v>
      </c>
      <c r="N6301" t="n">
        <v>0</v>
      </c>
      <c r="O6301" t="n">
        <v>0</v>
      </c>
      <c r="P6301" t="n">
        <v>0</v>
      </c>
      <c r="Q6301" t="n">
        <v>0</v>
      </c>
      <c r="R6301" s="2" t="inlineStr"/>
    </row>
    <row r="6302" ht="15" customHeight="1">
      <c r="A6302" t="inlineStr">
        <is>
          <t>A 47357-2025</t>
        </is>
      </c>
      <c r="B6302" s="1" t="n">
        <v>45930</v>
      </c>
      <c r="C6302" s="1" t="n">
        <v>45962</v>
      </c>
      <c r="D6302" t="inlineStr">
        <is>
          <t>JÖNKÖPINGS LÄN</t>
        </is>
      </c>
      <c r="E6302" t="inlineStr">
        <is>
          <t>VETLANDA</t>
        </is>
      </c>
      <c r="F6302" t="inlineStr">
        <is>
          <t>Kyrkan</t>
        </is>
      </c>
      <c r="G6302" t="n">
        <v>6.8</v>
      </c>
      <c r="H6302" t="n">
        <v>0</v>
      </c>
      <c r="I6302" t="n">
        <v>0</v>
      </c>
      <c r="J6302" t="n">
        <v>0</v>
      </c>
      <c r="K6302" t="n">
        <v>0</v>
      </c>
      <c r="L6302" t="n">
        <v>0</v>
      </c>
      <c r="M6302" t="n">
        <v>0</v>
      </c>
      <c r="N6302" t="n">
        <v>0</v>
      </c>
      <c r="O6302" t="n">
        <v>0</v>
      </c>
      <c r="P6302" t="n">
        <v>0</v>
      </c>
      <c r="Q6302" t="n">
        <v>0</v>
      </c>
      <c r="R6302" s="2" t="inlineStr"/>
    </row>
    <row r="6303" ht="15" customHeight="1">
      <c r="A6303" t="inlineStr">
        <is>
          <t>A 47710-2025</t>
        </is>
      </c>
      <c r="B6303" s="1" t="n">
        <v>45931.61349537037</v>
      </c>
      <c r="C6303" s="1" t="n">
        <v>45962</v>
      </c>
      <c r="D6303" t="inlineStr">
        <is>
          <t>JÖNKÖPINGS LÄN</t>
        </is>
      </c>
      <c r="E6303" t="inlineStr">
        <is>
          <t>GISLAVED</t>
        </is>
      </c>
      <c r="G6303" t="n">
        <v>1.5</v>
      </c>
      <c r="H6303" t="n">
        <v>0</v>
      </c>
      <c r="I6303" t="n">
        <v>0</v>
      </c>
      <c r="J6303" t="n">
        <v>0</v>
      </c>
      <c r="K6303" t="n">
        <v>0</v>
      </c>
      <c r="L6303" t="n">
        <v>0</v>
      </c>
      <c r="M6303" t="n">
        <v>0</v>
      </c>
      <c r="N6303" t="n">
        <v>0</v>
      </c>
      <c r="O6303" t="n">
        <v>0</v>
      </c>
      <c r="P6303" t="n">
        <v>0</v>
      </c>
      <c r="Q6303" t="n">
        <v>0</v>
      </c>
      <c r="R6303" s="2" t="inlineStr"/>
    </row>
    <row r="6304" ht="15" customHeight="1">
      <c r="A6304" t="inlineStr">
        <is>
          <t>A 47712-2025</t>
        </is>
      </c>
      <c r="B6304" s="1" t="n">
        <v>45931.61493055556</v>
      </c>
      <c r="C6304" s="1" t="n">
        <v>45962</v>
      </c>
      <c r="D6304" t="inlineStr">
        <is>
          <t>JÖNKÖPINGS LÄN</t>
        </is>
      </c>
      <c r="E6304" t="inlineStr">
        <is>
          <t>GISLAVED</t>
        </is>
      </c>
      <c r="G6304" t="n">
        <v>2.5</v>
      </c>
      <c r="H6304" t="n">
        <v>0</v>
      </c>
      <c r="I6304" t="n">
        <v>0</v>
      </c>
      <c r="J6304" t="n">
        <v>0</v>
      </c>
      <c r="K6304" t="n">
        <v>0</v>
      </c>
      <c r="L6304" t="n">
        <v>0</v>
      </c>
      <c r="M6304" t="n">
        <v>0</v>
      </c>
      <c r="N6304" t="n">
        <v>0</v>
      </c>
      <c r="O6304" t="n">
        <v>0</v>
      </c>
      <c r="P6304" t="n">
        <v>0</v>
      </c>
      <c r="Q6304" t="n">
        <v>0</v>
      </c>
      <c r="R6304" s="2" t="inlineStr"/>
    </row>
    <row r="6305" ht="15" customHeight="1">
      <c r="A6305" t="inlineStr">
        <is>
          <t>A 47725-2025</t>
        </is>
      </c>
      <c r="B6305" s="1" t="n">
        <v>45931.63064814815</v>
      </c>
      <c r="C6305" s="1" t="n">
        <v>45962</v>
      </c>
      <c r="D6305" t="inlineStr">
        <is>
          <t>JÖNKÖPINGS LÄN</t>
        </is>
      </c>
      <c r="E6305" t="inlineStr">
        <is>
          <t>GISLAVED</t>
        </is>
      </c>
      <c r="G6305" t="n">
        <v>1.1</v>
      </c>
      <c r="H6305" t="n">
        <v>0</v>
      </c>
      <c r="I6305" t="n">
        <v>0</v>
      </c>
      <c r="J6305" t="n">
        <v>0</v>
      </c>
      <c r="K6305" t="n">
        <v>0</v>
      </c>
      <c r="L6305" t="n">
        <v>0</v>
      </c>
      <c r="M6305" t="n">
        <v>0</v>
      </c>
      <c r="N6305" t="n">
        <v>0</v>
      </c>
      <c r="O6305" t="n">
        <v>0</v>
      </c>
      <c r="P6305" t="n">
        <v>0</v>
      </c>
      <c r="Q6305" t="n">
        <v>0</v>
      </c>
      <c r="R6305" s="2" t="inlineStr"/>
    </row>
    <row r="6306" ht="15" customHeight="1">
      <c r="A6306" t="inlineStr">
        <is>
          <t>A 47729-2025</t>
        </is>
      </c>
      <c r="B6306" s="1" t="n">
        <v>45931.63251157408</v>
      </c>
      <c r="C6306" s="1" t="n">
        <v>45962</v>
      </c>
      <c r="D6306" t="inlineStr">
        <is>
          <t>JÖNKÖPINGS LÄN</t>
        </is>
      </c>
      <c r="E6306" t="inlineStr">
        <is>
          <t>GISLAVED</t>
        </is>
      </c>
      <c r="G6306" t="n">
        <v>0.6</v>
      </c>
      <c r="H6306" t="n">
        <v>0</v>
      </c>
      <c r="I6306" t="n">
        <v>0</v>
      </c>
      <c r="J6306" t="n">
        <v>0</v>
      </c>
      <c r="K6306" t="n">
        <v>0</v>
      </c>
      <c r="L6306" t="n">
        <v>0</v>
      </c>
      <c r="M6306" t="n">
        <v>0</v>
      </c>
      <c r="N6306" t="n">
        <v>0</v>
      </c>
      <c r="O6306" t="n">
        <v>0</v>
      </c>
      <c r="P6306" t="n">
        <v>0</v>
      </c>
      <c r="Q6306" t="n">
        <v>0</v>
      </c>
      <c r="R6306" s="2" t="inlineStr"/>
    </row>
    <row r="6307" ht="15" customHeight="1">
      <c r="A6307" t="inlineStr">
        <is>
          <t>A 47760-2025</t>
        </is>
      </c>
      <c r="B6307" s="1" t="n">
        <v>45931.67399305556</v>
      </c>
      <c r="C6307" s="1" t="n">
        <v>45962</v>
      </c>
      <c r="D6307" t="inlineStr">
        <is>
          <t>JÖNKÖPINGS LÄN</t>
        </is>
      </c>
      <c r="E6307" t="inlineStr">
        <is>
          <t>TRANÅS</t>
        </is>
      </c>
      <c r="F6307" t="inlineStr">
        <is>
          <t>Allmännings- och besparingsskogar</t>
        </is>
      </c>
      <c r="G6307" t="n">
        <v>5.8</v>
      </c>
      <c r="H6307" t="n">
        <v>0</v>
      </c>
      <c r="I6307" t="n">
        <v>0</v>
      </c>
      <c r="J6307" t="n">
        <v>0</v>
      </c>
      <c r="K6307" t="n">
        <v>0</v>
      </c>
      <c r="L6307" t="n">
        <v>0</v>
      </c>
      <c r="M6307" t="n">
        <v>0</v>
      </c>
      <c r="N6307" t="n">
        <v>0</v>
      </c>
      <c r="O6307" t="n">
        <v>0</v>
      </c>
      <c r="P6307" t="n">
        <v>0</v>
      </c>
      <c r="Q6307" t="n">
        <v>0</v>
      </c>
      <c r="R6307" s="2" t="inlineStr"/>
    </row>
    <row r="6308" ht="15" customHeight="1">
      <c r="A6308" t="inlineStr">
        <is>
          <t>A 47768-2025</t>
        </is>
      </c>
      <c r="B6308" s="1" t="n">
        <v>45931.70164351852</v>
      </c>
      <c r="C6308" s="1" t="n">
        <v>45962</v>
      </c>
      <c r="D6308" t="inlineStr">
        <is>
          <t>JÖNKÖPINGS LÄN</t>
        </is>
      </c>
      <c r="E6308" t="inlineStr">
        <is>
          <t>VETLANDA</t>
        </is>
      </c>
      <c r="G6308" t="n">
        <v>1.1</v>
      </c>
      <c r="H6308" t="n">
        <v>0</v>
      </c>
      <c r="I6308" t="n">
        <v>0</v>
      </c>
      <c r="J6308" t="n">
        <v>0</v>
      </c>
      <c r="K6308" t="n">
        <v>0</v>
      </c>
      <c r="L6308" t="n">
        <v>0</v>
      </c>
      <c r="M6308" t="n">
        <v>0</v>
      </c>
      <c r="N6308" t="n">
        <v>0</v>
      </c>
      <c r="O6308" t="n">
        <v>0</v>
      </c>
      <c r="P6308" t="n">
        <v>0</v>
      </c>
      <c r="Q6308" t="n">
        <v>0</v>
      </c>
      <c r="R6308" s="2" t="inlineStr"/>
    </row>
    <row r="6309" ht="15" customHeight="1">
      <c r="A6309" t="inlineStr">
        <is>
          <t>A 36935-2025</t>
        </is>
      </c>
      <c r="B6309" s="1" t="n">
        <v>45874.57201388889</v>
      </c>
      <c r="C6309" s="1" t="n">
        <v>45962</v>
      </c>
      <c r="D6309" t="inlineStr">
        <is>
          <t>JÖNKÖPINGS LÄN</t>
        </is>
      </c>
      <c r="E6309" t="inlineStr">
        <is>
          <t>VETLANDA</t>
        </is>
      </c>
      <c r="G6309" t="n">
        <v>2.1</v>
      </c>
      <c r="H6309" t="n">
        <v>0</v>
      </c>
      <c r="I6309" t="n">
        <v>0</v>
      </c>
      <c r="J6309" t="n">
        <v>0</v>
      </c>
      <c r="K6309" t="n">
        <v>0</v>
      </c>
      <c r="L6309" t="n">
        <v>0</v>
      </c>
      <c r="M6309" t="n">
        <v>0</v>
      </c>
      <c r="N6309" t="n">
        <v>0</v>
      </c>
      <c r="O6309" t="n">
        <v>0</v>
      </c>
      <c r="P6309" t="n">
        <v>0</v>
      </c>
      <c r="Q6309" t="n">
        <v>0</v>
      </c>
      <c r="R6309" s="2" t="inlineStr"/>
    </row>
    <row r="6310" ht="15" customHeight="1">
      <c r="A6310" t="inlineStr">
        <is>
          <t>A 6526-2023</t>
        </is>
      </c>
      <c r="B6310" s="1" t="n">
        <v>44966.41256944444</v>
      </c>
      <c r="C6310" s="1" t="n">
        <v>45962</v>
      </c>
      <c r="D6310" t="inlineStr">
        <is>
          <t>JÖNKÖPINGS LÄN</t>
        </is>
      </c>
      <c r="E6310" t="inlineStr">
        <is>
          <t>EKSJÖ</t>
        </is>
      </c>
      <c r="F6310" t="inlineStr">
        <is>
          <t>Kyrkan</t>
        </is>
      </c>
      <c r="G6310" t="n">
        <v>2.2</v>
      </c>
      <c r="H6310" t="n">
        <v>0</v>
      </c>
      <c r="I6310" t="n">
        <v>0</v>
      </c>
      <c r="J6310" t="n">
        <v>0</v>
      </c>
      <c r="K6310" t="n">
        <v>0</v>
      </c>
      <c r="L6310" t="n">
        <v>0</v>
      </c>
      <c r="M6310" t="n">
        <v>0</v>
      </c>
      <c r="N6310" t="n">
        <v>0</v>
      </c>
      <c r="O6310" t="n">
        <v>0</v>
      </c>
      <c r="P6310" t="n">
        <v>0</v>
      </c>
      <c r="Q6310" t="n">
        <v>0</v>
      </c>
      <c r="R6310" s="2" t="inlineStr"/>
    </row>
    <row r="6311" ht="15" customHeight="1">
      <c r="A6311" t="inlineStr">
        <is>
          <t>A 8503-2025</t>
        </is>
      </c>
      <c r="B6311" s="1" t="n">
        <v>45709</v>
      </c>
      <c r="C6311" s="1" t="n">
        <v>45962</v>
      </c>
      <c r="D6311" t="inlineStr">
        <is>
          <t>JÖNKÖPINGS LÄN</t>
        </is>
      </c>
      <c r="E6311" t="inlineStr">
        <is>
          <t>GISLAVED</t>
        </is>
      </c>
      <c r="F6311" t="inlineStr">
        <is>
          <t>Kommuner</t>
        </is>
      </c>
      <c r="G6311" t="n">
        <v>0.8</v>
      </c>
      <c r="H6311" t="n">
        <v>0</v>
      </c>
      <c r="I6311" t="n">
        <v>0</v>
      </c>
      <c r="J6311" t="n">
        <v>0</v>
      </c>
      <c r="K6311" t="n">
        <v>0</v>
      </c>
      <c r="L6311" t="n">
        <v>0</v>
      </c>
      <c r="M6311" t="n">
        <v>0</v>
      </c>
      <c r="N6311" t="n">
        <v>0</v>
      </c>
      <c r="O6311" t="n">
        <v>0</v>
      </c>
      <c r="P6311" t="n">
        <v>0</v>
      </c>
      <c r="Q6311" t="n">
        <v>0</v>
      </c>
      <c r="R6311" s="2" t="inlineStr"/>
    </row>
    <row r="6312" ht="15" customHeight="1">
      <c r="A6312" t="inlineStr">
        <is>
          <t>A 38957-2025</t>
        </is>
      </c>
      <c r="B6312" s="1" t="n">
        <v>45887</v>
      </c>
      <c r="C6312" s="1" t="n">
        <v>45962</v>
      </c>
      <c r="D6312" t="inlineStr">
        <is>
          <t>JÖNKÖPINGS LÄN</t>
        </is>
      </c>
      <c r="E6312" t="inlineStr">
        <is>
          <t>VÄRNAMO</t>
        </is>
      </c>
      <c r="G6312" t="n">
        <v>1.6</v>
      </c>
      <c r="H6312" t="n">
        <v>0</v>
      </c>
      <c r="I6312" t="n">
        <v>0</v>
      </c>
      <c r="J6312" t="n">
        <v>0</v>
      </c>
      <c r="K6312" t="n">
        <v>0</v>
      </c>
      <c r="L6312" t="n">
        <v>0</v>
      </c>
      <c r="M6312" t="n">
        <v>0</v>
      </c>
      <c r="N6312" t="n">
        <v>0</v>
      </c>
      <c r="O6312" t="n">
        <v>0</v>
      </c>
      <c r="P6312" t="n">
        <v>0</v>
      </c>
      <c r="Q6312" t="n">
        <v>0</v>
      </c>
      <c r="R6312" s="2" t="inlineStr"/>
    </row>
    <row r="6313" ht="15" customHeight="1">
      <c r="A6313" t="inlineStr">
        <is>
          <t>A 16587-2024</t>
        </is>
      </c>
      <c r="B6313" s="1" t="n">
        <v>45408.48957175926</v>
      </c>
      <c r="C6313" s="1" t="n">
        <v>45962</v>
      </c>
      <c r="D6313" t="inlineStr">
        <is>
          <t>JÖNKÖPINGS LÄN</t>
        </is>
      </c>
      <c r="E6313" t="inlineStr">
        <is>
          <t>TRANÅS</t>
        </is>
      </c>
      <c r="G6313" t="n">
        <v>0.9</v>
      </c>
      <c r="H6313" t="n">
        <v>0</v>
      </c>
      <c r="I6313" t="n">
        <v>0</v>
      </c>
      <c r="J6313" t="n">
        <v>0</v>
      </c>
      <c r="K6313" t="n">
        <v>0</v>
      </c>
      <c r="L6313" t="n">
        <v>0</v>
      </c>
      <c r="M6313" t="n">
        <v>0</v>
      </c>
      <c r="N6313" t="n">
        <v>0</v>
      </c>
      <c r="O6313" t="n">
        <v>0</v>
      </c>
      <c r="P6313" t="n">
        <v>0</v>
      </c>
      <c r="Q6313" t="n">
        <v>0</v>
      </c>
      <c r="R6313" s="2" t="inlineStr"/>
    </row>
    <row r="6314" ht="15" customHeight="1">
      <c r="A6314" t="inlineStr">
        <is>
          <t>A 16657-2024</t>
        </is>
      </c>
      <c r="B6314" s="1" t="n">
        <v>45408.63834490741</v>
      </c>
      <c r="C6314" s="1" t="n">
        <v>45962</v>
      </c>
      <c r="D6314" t="inlineStr">
        <is>
          <t>JÖNKÖPINGS LÄN</t>
        </is>
      </c>
      <c r="E6314" t="inlineStr">
        <is>
          <t>NÄSSJÖ</t>
        </is>
      </c>
      <c r="G6314" t="n">
        <v>1.8</v>
      </c>
      <c r="H6314" t="n">
        <v>0</v>
      </c>
      <c r="I6314" t="n">
        <v>0</v>
      </c>
      <c r="J6314" t="n">
        <v>0</v>
      </c>
      <c r="K6314" t="n">
        <v>0</v>
      </c>
      <c r="L6314" t="n">
        <v>0</v>
      </c>
      <c r="M6314" t="n">
        <v>0</v>
      </c>
      <c r="N6314" t="n">
        <v>0</v>
      </c>
      <c r="O6314" t="n">
        <v>0</v>
      </c>
      <c r="P6314" t="n">
        <v>0</v>
      </c>
      <c r="Q6314" t="n">
        <v>0</v>
      </c>
      <c r="R6314" s="2" t="inlineStr"/>
    </row>
    <row r="6315" ht="15" customHeight="1">
      <c r="A6315" t="inlineStr">
        <is>
          <t>A 23055-2022</t>
        </is>
      </c>
      <c r="B6315" s="1" t="n">
        <v>44719.43577546296</v>
      </c>
      <c r="C6315" s="1" t="n">
        <v>45962</v>
      </c>
      <c r="D6315" t="inlineStr">
        <is>
          <t>JÖNKÖPINGS LÄN</t>
        </is>
      </c>
      <c r="E6315" t="inlineStr">
        <is>
          <t>JÖNKÖPING</t>
        </is>
      </c>
      <c r="G6315" t="n">
        <v>2.7</v>
      </c>
      <c r="H6315" t="n">
        <v>0</v>
      </c>
      <c r="I6315" t="n">
        <v>0</v>
      </c>
      <c r="J6315" t="n">
        <v>0</v>
      </c>
      <c r="K6315" t="n">
        <v>0</v>
      </c>
      <c r="L6315" t="n">
        <v>0</v>
      </c>
      <c r="M6315" t="n">
        <v>0</v>
      </c>
      <c r="N6315" t="n">
        <v>0</v>
      </c>
      <c r="O6315" t="n">
        <v>0</v>
      </c>
      <c r="P6315" t="n">
        <v>0</v>
      </c>
      <c r="Q6315" t="n">
        <v>0</v>
      </c>
      <c r="R6315" s="2" t="inlineStr"/>
    </row>
    <row r="6316" ht="15" customHeight="1">
      <c r="A6316" t="inlineStr">
        <is>
          <t>A 39134-2025</t>
        </is>
      </c>
      <c r="B6316" s="1" t="n">
        <v>45888</v>
      </c>
      <c r="C6316" s="1" t="n">
        <v>45962</v>
      </c>
      <c r="D6316" t="inlineStr">
        <is>
          <t>JÖNKÖPINGS LÄN</t>
        </is>
      </c>
      <c r="E6316" t="inlineStr">
        <is>
          <t>VÄRNAMO</t>
        </is>
      </c>
      <c r="G6316" t="n">
        <v>4</v>
      </c>
      <c r="H6316" t="n">
        <v>0</v>
      </c>
      <c r="I6316" t="n">
        <v>0</v>
      </c>
      <c r="J6316" t="n">
        <v>0</v>
      </c>
      <c r="K6316" t="n">
        <v>0</v>
      </c>
      <c r="L6316" t="n">
        <v>0</v>
      </c>
      <c r="M6316" t="n">
        <v>0</v>
      </c>
      <c r="N6316" t="n">
        <v>0</v>
      </c>
      <c r="O6316" t="n">
        <v>0</v>
      </c>
      <c r="P6316" t="n">
        <v>0</v>
      </c>
      <c r="Q6316" t="n">
        <v>0</v>
      </c>
      <c r="R6316" s="2" t="inlineStr"/>
    </row>
    <row r="6317" ht="15" customHeight="1">
      <c r="A6317" t="inlineStr">
        <is>
          <t>A 19494-2022</t>
        </is>
      </c>
      <c r="B6317" s="1" t="n">
        <v>44693.49467592593</v>
      </c>
      <c r="C6317" s="1" t="n">
        <v>45962</v>
      </c>
      <c r="D6317" t="inlineStr">
        <is>
          <t>JÖNKÖPINGS LÄN</t>
        </is>
      </c>
      <c r="E6317" t="inlineStr">
        <is>
          <t>TRANÅS</t>
        </is>
      </c>
      <c r="G6317" t="n">
        <v>4.5</v>
      </c>
      <c r="H6317" t="n">
        <v>0</v>
      </c>
      <c r="I6317" t="n">
        <v>0</v>
      </c>
      <c r="J6317" t="n">
        <v>0</v>
      </c>
      <c r="K6317" t="n">
        <v>0</v>
      </c>
      <c r="L6317" t="n">
        <v>0</v>
      </c>
      <c r="M6317" t="n">
        <v>0</v>
      </c>
      <c r="N6317" t="n">
        <v>0</v>
      </c>
      <c r="O6317" t="n">
        <v>0</v>
      </c>
      <c r="P6317" t="n">
        <v>0</v>
      </c>
      <c r="Q6317" t="n">
        <v>0</v>
      </c>
      <c r="R6317" s="2" t="inlineStr"/>
    </row>
    <row r="6318" ht="15" customHeight="1">
      <c r="A6318" t="inlineStr">
        <is>
          <t>A 8748-2023</t>
        </is>
      </c>
      <c r="B6318" s="1" t="n">
        <v>44972</v>
      </c>
      <c r="C6318" s="1" t="n">
        <v>45962</v>
      </c>
      <c r="D6318" t="inlineStr">
        <is>
          <t>JÖNKÖPINGS LÄN</t>
        </is>
      </c>
      <c r="E6318" t="inlineStr">
        <is>
          <t>SÄVSJÖ</t>
        </is>
      </c>
      <c r="G6318" t="n">
        <v>0.6</v>
      </c>
      <c r="H6318" t="n">
        <v>0</v>
      </c>
      <c r="I6318" t="n">
        <v>0</v>
      </c>
      <c r="J6318" t="n">
        <v>0</v>
      </c>
      <c r="K6318" t="n">
        <v>0</v>
      </c>
      <c r="L6318" t="n">
        <v>0</v>
      </c>
      <c r="M6318" t="n">
        <v>0</v>
      </c>
      <c r="N6318" t="n">
        <v>0</v>
      </c>
      <c r="O6318" t="n">
        <v>0</v>
      </c>
      <c r="P6318" t="n">
        <v>0</v>
      </c>
      <c r="Q6318" t="n">
        <v>0</v>
      </c>
      <c r="R6318" s="2" t="inlineStr"/>
    </row>
    <row r="6319" ht="15" customHeight="1">
      <c r="A6319" t="inlineStr">
        <is>
          <t>A 47720-2025</t>
        </is>
      </c>
      <c r="B6319" s="1" t="n">
        <v>45931.62858796296</v>
      </c>
      <c r="C6319" s="1" t="n">
        <v>45962</v>
      </c>
      <c r="D6319" t="inlineStr">
        <is>
          <t>JÖNKÖPINGS LÄN</t>
        </is>
      </c>
      <c r="E6319" t="inlineStr">
        <is>
          <t>GISLAVED</t>
        </is>
      </c>
      <c r="G6319" t="n">
        <v>0.7</v>
      </c>
      <c r="H6319" t="n">
        <v>0</v>
      </c>
      <c r="I6319" t="n">
        <v>0</v>
      </c>
      <c r="J6319" t="n">
        <v>0</v>
      </c>
      <c r="K6319" t="n">
        <v>0</v>
      </c>
      <c r="L6319" t="n">
        <v>0</v>
      </c>
      <c r="M6319" t="n">
        <v>0</v>
      </c>
      <c r="N6319" t="n">
        <v>0</v>
      </c>
      <c r="O6319" t="n">
        <v>0</v>
      </c>
      <c r="P6319" t="n">
        <v>0</v>
      </c>
      <c r="Q6319" t="n">
        <v>0</v>
      </c>
      <c r="R6319" s="2" t="inlineStr"/>
    </row>
    <row r="6320" ht="15" customHeight="1">
      <c r="A6320" t="inlineStr">
        <is>
          <t>A 37918-2023</t>
        </is>
      </c>
      <c r="B6320" s="1" t="n">
        <v>45160.48722222223</v>
      </c>
      <c r="C6320" s="1" t="n">
        <v>45962</v>
      </c>
      <c r="D6320" t="inlineStr">
        <is>
          <t>JÖNKÖPINGS LÄN</t>
        </is>
      </c>
      <c r="E6320" t="inlineStr">
        <is>
          <t>EKSJÖ</t>
        </is>
      </c>
      <c r="G6320" t="n">
        <v>2.9</v>
      </c>
      <c r="H6320" t="n">
        <v>0</v>
      </c>
      <c r="I6320" t="n">
        <v>0</v>
      </c>
      <c r="J6320" t="n">
        <v>0</v>
      </c>
      <c r="K6320" t="n">
        <v>0</v>
      </c>
      <c r="L6320" t="n">
        <v>0</v>
      </c>
      <c r="M6320" t="n">
        <v>0</v>
      </c>
      <c r="N6320" t="n">
        <v>0</v>
      </c>
      <c r="O6320" t="n">
        <v>0</v>
      </c>
      <c r="P6320" t="n">
        <v>0</v>
      </c>
      <c r="Q6320" t="n">
        <v>0</v>
      </c>
      <c r="R6320" s="2" t="inlineStr"/>
    </row>
    <row r="6321" ht="15" customHeight="1">
      <c r="A6321" t="inlineStr">
        <is>
          <t>A 37209-2025</t>
        </is>
      </c>
      <c r="B6321" s="1" t="n">
        <v>45875.716875</v>
      </c>
      <c r="C6321" s="1" t="n">
        <v>45962</v>
      </c>
      <c r="D6321" t="inlineStr">
        <is>
          <t>JÖNKÖPINGS LÄN</t>
        </is>
      </c>
      <c r="E6321" t="inlineStr">
        <is>
          <t>VÄRNAMO</t>
        </is>
      </c>
      <c r="G6321" t="n">
        <v>4.6</v>
      </c>
      <c r="H6321" t="n">
        <v>0</v>
      </c>
      <c r="I6321" t="n">
        <v>0</v>
      </c>
      <c r="J6321" t="n">
        <v>0</v>
      </c>
      <c r="K6321" t="n">
        <v>0</v>
      </c>
      <c r="L6321" t="n">
        <v>0</v>
      </c>
      <c r="M6321" t="n">
        <v>0</v>
      </c>
      <c r="N6321" t="n">
        <v>0</v>
      </c>
      <c r="O6321" t="n">
        <v>0</v>
      </c>
      <c r="P6321" t="n">
        <v>0</v>
      </c>
      <c r="Q6321" t="n">
        <v>0</v>
      </c>
      <c r="R6321" s="2" t="inlineStr"/>
    </row>
    <row r="6322" ht="15" customHeight="1">
      <c r="A6322" t="inlineStr">
        <is>
          <t>A 47717-2025</t>
        </is>
      </c>
      <c r="B6322" s="1" t="n">
        <v>45931.61743055555</v>
      </c>
      <c r="C6322" s="1" t="n">
        <v>45962</v>
      </c>
      <c r="D6322" t="inlineStr">
        <is>
          <t>JÖNKÖPINGS LÄN</t>
        </is>
      </c>
      <c r="E6322" t="inlineStr">
        <is>
          <t>VETLANDA</t>
        </is>
      </c>
      <c r="G6322" t="n">
        <v>1</v>
      </c>
      <c r="H6322" t="n">
        <v>0</v>
      </c>
      <c r="I6322" t="n">
        <v>0</v>
      </c>
      <c r="J6322" t="n">
        <v>0</v>
      </c>
      <c r="K6322" t="n">
        <v>0</v>
      </c>
      <c r="L6322" t="n">
        <v>0</v>
      </c>
      <c r="M6322" t="n">
        <v>0</v>
      </c>
      <c r="N6322" t="n">
        <v>0</v>
      </c>
      <c r="O6322" t="n">
        <v>0</v>
      </c>
      <c r="P6322" t="n">
        <v>0</v>
      </c>
      <c r="Q6322" t="n">
        <v>0</v>
      </c>
      <c r="R6322" s="2" t="inlineStr"/>
    </row>
    <row r="6323" ht="15" customHeight="1">
      <c r="A6323" t="inlineStr">
        <is>
          <t>A 47724-2025</t>
        </is>
      </c>
      <c r="B6323" s="1" t="n">
        <v>45931.62996527777</v>
      </c>
      <c r="C6323" s="1" t="n">
        <v>45962</v>
      </c>
      <c r="D6323" t="inlineStr">
        <is>
          <t>JÖNKÖPINGS LÄN</t>
        </is>
      </c>
      <c r="E6323" t="inlineStr">
        <is>
          <t>GISLAVED</t>
        </is>
      </c>
      <c r="G6323" t="n">
        <v>0.5</v>
      </c>
      <c r="H6323" t="n">
        <v>0</v>
      </c>
      <c r="I6323" t="n">
        <v>0</v>
      </c>
      <c r="J6323" t="n">
        <v>0</v>
      </c>
      <c r="K6323" t="n">
        <v>0</v>
      </c>
      <c r="L6323" t="n">
        <v>0</v>
      </c>
      <c r="M6323" t="n">
        <v>0</v>
      </c>
      <c r="N6323" t="n">
        <v>0</v>
      </c>
      <c r="O6323" t="n">
        <v>0</v>
      </c>
      <c r="P6323" t="n">
        <v>0</v>
      </c>
      <c r="Q6323" t="n">
        <v>0</v>
      </c>
      <c r="R6323" s="2" t="inlineStr"/>
    </row>
    <row r="6324" ht="15" customHeight="1">
      <c r="A6324" t="inlineStr">
        <is>
          <t>A 53536-2023</t>
        </is>
      </c>
      <c r="B6324" s="1" t="n">
        <v>45223</v>
      </c>
      <c r="C6324" s="1" t="n">
        <v>45962</v>
      </c>
      <c r="D6324" t="inlineStr">
        <is>
          <t>JÖNKÖPINGS LÄN</t>
        </is>
      </c>
      <c r="E6324" t="inlineStr">
        <is>
          <t>VÄRNAMO</t>
        </is>
      </c>
      <c r="F6324" t="inlineStr">
        <is>
          <t>Kyrkan</t>
        </is>
      </c>
      <c r="G6324" t="n">
        <v>2.6</v>
      </c>
      <c r="H6324" t="n">
        <v>0</v>
      </c>
      <c r="I6324" t="n">
        <v>0</v>
      </c>
      <c r="J6324" t="n">
        <v>0</v>
      </c>
      <c r="K6324" t="n">
        <v>0</v>
      </c>
      <c r="L6324" t="n">
        <v>0</v>
      </c>
      <c r="M6324" t="n">
        <v>0</v>
      </c>
      <c r="N6324" t="n">
        <v>0</v>
      </c>
      <c r="O6324" t="n">
        <v>0</v>
      </c>
      <c r="P6324" t="n">
        <v>0</v>
      </c>
      <c r="Q6324" t="n">
        <v>0</v>
      </c>
      <c r="R6324" s="2" t="inlineStr"/>
    </row>
    <row r="6325" ht="15" customHeight="1">
      <c r="A6325" t="inlineStr">
        <is>
          <t>A 39185-2023</t>
        </is>
      </c>
      <c r="B6325" s="1" t="n">
        <v>45162</v>
      </c>
      <c r="C6325" s="1" t="n">
        <v>45962</v>
      </c>
      <c r="D6325" t="inlineStr">
        <is>
          <t>JÖNKÖPINGS LÄN</t>
        </is>
      </c>
      <c r="E6325" t="inlineStr">
        <is>
          <t>NÄSSJÖ</t>
        </is>
      </c>
      <c r="G6325" t="n">
        <v>1.3</v>
      </c>
      <c r="H6325" t="n">
        <v>0</v>
      </c>
      <c r="I6325" t="n">
        <v>0</v>
      </c>
      <c r="J6325" t="n">
        <v>0</v>
      </c>
      <c r="K6325" t="n">
        <v>0</v>
      </c>
      <c r="L6325" t="n">
        <v>0</v>
      </c>
      <c r="M6325" t="n">
        <v>0</v>
      </c>
      <c r="N6325" t="n">
        <v>0</v>
      </c>
      <c r="O6325" t="n">
        <v>0</v>
      </c>
      <c r="P6325" t="n">
        <v>0</v>
      </c>
      <c r="Q6325" t="n">
        <v>0</v>
      </c>
      <c r="R6325" s="2" t="inlineStr"/>
    </row>
    <row r="6326" ht="15" customHeight="1">
      <c r="A6326" t="inlineStr">
        <is>
          <t>A 37107-2025</t>
        </is>
      </c>
      <c r="B6326" s="1" t="n">
        <v>45875.4878587963</v>
      </c>
      <c r="C6326" s="1" t="n">
        <v>45962</v>
      </c>
      <c r="D6326" t="inlineStr">
        <is>
          <t>JÖNKÖPINGS LÄN</t>
        </is>
      </c>
      <c r="E6326" t="inlineStr">
        <is>
          <t>VAGGERYD</t>
        </is>
      </c>
      <c r="G6326" t="n">
        <v>2.7</v>
      </c>
      <c r="H6326" t="n">
        <v>0</v>
      </c>
      <c r="I6326" t="n">
        <v>0</v>
      </c>
      <c r="J6326" t="n">
        <v>0</v>
      </c>
      <c r="K6326" t="n">
        <v>0</v>
      </c>
      <c r="L6326" t="n">
        <v>0</v>
      </c>
      <c r="M6326" t="n">
        <v>0</v>
      </c>
      <c r="N6326" t="n">
        <v>0</v>
      </c>
      <c r="O6326" t="n">
        <v>0</v>
      </c>
      <c r="P6326" t="n">
        <v>0</v>
      </c>
      <c r="Q6326" t="n">
        <v>0</v>
      </c>
      <c r="R6326" s="2" t="inlineStr"/>
    </row>
    <row r="6327" ht="15" customHeight="1">
      <c r="A6327" t="inlineStr">
        <is>
          <t>A 37131-2025</t>
        </is>
      </c>
      <c r="B6327" s="1" t="n">
        <v>45875.54335648148</v>
      </c>
      <c r="C6327" s="1" t="n">
        <v>45962</v>
      </c>
      <c r="D6327" t="inlineStr">
        <is>
          <t>JÖNKÖPINGS LÄN</t>
        </is>
      </c>
      <c r="E6327" t="inlineStr">
        <is>
          <t>MULLSJÖ</t>
        </is>
      </c>
      <c r="G6327" t="n">
        <v>2.4</v>
      </c>
      <c r="H6327" t="n">
        <v>0</v>
      </c>
      <c r="I6327" t="n">
        <v>0</v>
      </c>
      <c r="J6327" t="n">
        <v>0</v>
      </c>
      <c r="K6327" t="n">
        <v>0</v>
      </c>
      <c r="L6327" t="n">
        <v>0</v>
      </c>
      <c r="M6327" t="n">
        <v>0</v>
      </c>
      <c r="N6327" t="n">
        <v>0</v>
      </c>
      <c r="O6327" t="n">
        <v>0</v>
      </c>
      <c r="P6327" t="n">
        <v>0</v>
      </c>
      <c r="Q6327" t="n">
        <v>0</v>
      </c>
      <c r="R6327" s="2" t="inlineStr"/>
    </row>
    <row r="6328" ht="15" customHeight="1">
      <c r="A6328" t="inlineStr">
        <is>
          <t>A 47730-2025</t>
        </is>
      </c>
      <c r="B6328" s="1" t="n">
        <v>45931.63344907408</v>
      </c>
      <c r="C6328" s="1" t="n">
        <v>45962</v>
      </c>
      <c r="D6328" t="inlineStr">
        <is>
          <t>JÖNKÖPINGS LÄN</t>
        </is>
      </c>
      <c r="E6328" t="inlineStr">
        <is>
          <t>GISLAVED</t>
        </is>
      </c>
      <c r="G6328" t="n">
        <v>0.9</v>
      </c>
      <c r="H6328" t="n">
        <v>0</v>
      </c>
      <c r="I6328" t="n">
        <v>0</v>
      </c>
      <c r="J6328" t="n">
        <v>0</v>
      </c>
      <c r="K6328" t="n">
        <v>0</v>
      </c>
      <c r="L6328" t="n">
        <v>0</v>
      </c>
      <c r="M6328" t="n">
        <v>0</v>
      </c>
      <c r="N6328" t="n">
        <v>0</v>
      </c>
      <c r="O6328" t="n">
        <v>0</v>
      </c>
      <c r="P6328" t="n">
        <v>0</v>
      </c>
      <c r="Q6328" t="n">
        <v>0</v>
      </c>
      <c r="R6328" s="2" t="inlineStr"/>
    </row>
    <row r="6329" ht="15" customHeight="1">
      <c r="A6329" t="inlineStr">
        <is>
          <t>A 37143-2025</t>
        </is>
      </c>
      <c r="B6329" s="1" t="n">
        <v>45875.56215277778</v>
      </c>
      <c r="C6329" s="1" t="n">
        <v>45962</v>
      </c>
      <c r="D6329" t="inlineStr">
        <is>
          <t>JÖNKÖPINGS LÄN</t>
        </is>
      </c>
      <c r="E6329" t="inlineStr">
        <is>
          <t>VETLANDA</t>
        </is>
      </c>
      <c r="G6329" t="n">
        <v>0.5</v>
      </c>
      <c r="H6329" t="n">
        <v>0</v>
      </c>
      <c r="I6329" t="n">
        <v>0</v>
      </c>
      <c r="J6329" t="n">
        <v>0</v>
      </c>
      <c r="K6329" t="n">
        <v>0</v>
      </c>
      <c r="L6329" t="n">
        <v>0</v>
      </c>
      <c r="M6329" t="n">
        <v>0</v>
      </c>
      <c r="N6329" t="n">
        <v>0</v>
      </c>
      <c r="O6329" t="n">
        <v>0</v>
      </c>
      <c r="P6329" t="n">
        <v>0</v>
      </c>
      <c r="Q6329" t="n">
        <v>0</v>
      </c>
      <c r="R6329" s="2" t="inlineStr"/>
    </row>
    <row r="6330" ht="15" customHeight="1">
      <c r="A6330" t="inlineStr">
        <is>
          <t>A 37149-2025</t>
        </is>
      </c>
      <c r="B6330" s="1" t="n">
        <v>45875.57328703703</v>
      </c>
      <c r="C6330" s="1" t="n">
        <v>45962</v>
      </c>
      <c r="D6330" t="inlineStr">
        <is>
          <t>JÖNKÖPINGS LÄN</t>
        </is>
      </c>
      <c r="E6330" t="inlineStr">
        <is>
          <t>JÖNKÖPING</t>
        </is>
      </c>
      <c r="F6330" t="inlineStr">
        <is>
          <t>Kommuner</t>
        </is>
      </c>
      <c r="G6330" t="n">
        <v>2.1</v>
      </c>
      <c r="H6330" t="n">
        <v>0</v>
      </c>
      <c r="I6330" t="n">
        <v>0</v>
      </c>
      <c r="J6330" t="n">
        <v>0</v>
      </c>
      <c r="K6330" t="n">
        <v>0</v>
      </c>
      <c r="L6330" t="n">
        <v>0</v>
      </c>
      <c r="M6330" t="n">
        <v>0</v>
      </c>
      <c r="N6330" t="n">
        <v>0</v>
      </c>
      <c r="O6330" t="n">
        <v>0</v>
      </c>
      <c r="P6330" t="n">
        <v>0</v>
      </c>
      <c r="Q6330" t="n">
        <v>0</v>
      </c>
      <c r="R6330" s="2" t="inlineStr"/>
    </row>
    <row r="6331" ht="15" customHeight="1">
      <c r="A6331" t="inlineStr">
        <is>
          <t>A 47773-2025</t>
        </is>
      </c>
      <c r="B6331" s="1" t="n">
        <v>45931.72253472222</v>
      </c>
      <c r="C6331" s="1" t="n">
        <v>45962</v>
      </c>
      <c r="D6331" t="inlineStr">
        <is>
          <t>JÖNKÖPINGS LÄN</t>
        </is>
      </c>
      <c r="E6331" t="inlineStr">
        <is>
          <t>HABO</t>
        </is>
      </c>
      <c r="G6331" t="n">
        <v>1.2</v>
      </c>
      <c r="H6331" t="n">
        <v>0</v>
      </c>
      <c r="I6331" t="n">
        <v>0</v>
      </c>
      <c r="J6331" t="n">
        <v>0</v>
      </c>
      <c r="K6331" t="n">
        <v>0</v>
      </c>
      <c r="L6331" t="n">
        <v>0</v>
      </c>
      <c r="M6331" t="n">
        <v>0</v>
      </c>
      <c r="N6331" t="n">
        <v>0</v>
      </c>
      <c r="O6331" t="n">
        <v>0</v>
      </c>
      <c r="P6331" t="n">
        <v>0</v>
      </c>
      <c r="Q6331" t="n">
        <v>0</v>
      </c>
      <c r="R6331" s="2" t="inlineStr"/>
    </row>
    <row r="6332" ht="15" customHeight="1">
      <c r="A6332" t="inlineStr">
        <is>
          <t>A 44502-2024</t>
        </is>
      </c>
      <c r="B6332" s="1" t="n">
        <v>45574.40569444445</v>
      </c>
      <c r="C6332" s="1" t="n">
        <v>45962</v>
      </c>
      <c r="D6332" t="inlineStr">
        <is>
          <t>JÖNKÖPINGS LÄN</t>
        </is>
      </c>
      <c r="E6332" t="inlineStr">
        <is>
          <t>VETLANDA</t>
        </is>
      </c>
      <c r="G6332" t="n">
        <v>2.6</v>
      </c>
      <c r="H6332" t="n">
        <v>0</v>
      </c>
      <c r="I6332" t="n">
        <v>0</v>
      </c>
      <c r="J6332" t="n">
        <v>0</v>
      </c>
      <c r="K6332" t="n">
        <v>0</v>
      </c>
      <c r="L6332" t="n">
        <v>0</v>
      </c>
      <c r="M6332" t="n">
        <v>0</v>
      </c>
      <c r="N6332" t="n">
        <v>0</v>
      </c>
      <c r="O6332" t="n">
        <v>0</v>
      </c>
      <c r="P6332" t="n">
        <v>0</v>
      </c>
      <c r="Q6332" t="n">
        <v>0</v>
      </c>
      <c r="R6332" s="2" t="inlineStr"/>
    </row>
    <row r="6333" ht="15" customHeight="1">
      <c r="A6333" t="inlineStr">
        <is>
          <t>A 12938-2025</t>
        </is>
      </c>
      <c r="B6333" s="1" t="n">
        <v>45734.3584837963</v>
      </c>
      <c r="C6333" s="1" t="n">
        <v>45962</v>
      </c>
      <c r="D6333" t="inlineStr">
        <is>
          <t>JÖNKÖPINGS LÄN</t>
        </is>
      </c>
      <c r="E6333" t="inlineStr">
        <is>
          <t>JÖNKÖPING</t>
        </is>
      </c>
      <c r="G6333" t="n">
        <v>1</v>
      </c>
      <c r="H6333" t="n">
        <v>0</v>
      </c>
      <c r="I6333" t="n">
        <v>0</v>
      </c>
      <c r="J6333" t="n">
        <v>0</v>
      </c>
      <c r="K6333" t="n">
        <v>0</v>
      </c>
      <c r="L6333" t="n">
        <v>0</v>
      </c>
      <c r="M6333" t="n">
        <v>0</v>
      </c>
      <c r="N6333" t="n">
        <v>0</v>
      </c>
      <c r="O6333" t="n">
        <v>0</v>
      </c>
      <c r="P6333" t="n">
        <v>0</v>
      </c>
      <c r="Q6333" t="n">
        <v>0</v>
      </c>
      <c r="R6333" s="2" t="inlineStr"/>
    </row>
    <row r="6334" ht="15" customHeight="1">
      <c r="A6334" t="inlineStr">
        <is>
          <t>A 36820-2025</t>
        </is>
      </c>
      <c r="B6334" s="1" t="n">
        <v>45873.84888888889</v>
      </c>
      <c r="C6334" s="1" t="n">
        <v>45962</v>
      </c>
      <c r="D6334" t="inlineStr">
        <is>
          <t>JÖNKÖPINGS LÄN</t>
        </is>
      </c>
      <c r="E6334" t="inlineStr">
        <is>
          <t>VETLANDA</t>
        </is>
      </c>
      <c r="G6334" t="n">
        <v>5.5</v>
      </c>
      <c r="H6334" t="n">
        <v>0</v>
      </c>
      <c r="I6334" t="n">
        <v>0</v>
      </c>
      <c r="J6334" t="n">
        <v>0</v>
      </c>
      <c r="K6334" t="n">
        <v>0</v>
      </c>
      <c r="L6334" t="n">
        <v>0</v>
      </c>
      <c r="M6334" t="n">
        <v>0</v>
      </c>
      <c r="N6334" t="n">
        <v>0</v>
      </c>
      <c r="O6334" t="n">
        <v>0</v>
      </c>
      <c r="P6334" t="n">
        <v>0</v>
      </c>
      <c r="Q6334" t="n">
        <v>0</v>
      </c>
      <c r="R6334" s="2" t="inlineStr"/>
    </row>
    <row r="6335" ht="15" customHeight="1">
      <c r="A6335" t="inlineStr">
        <is>
          <t>A 2365-2025</t>
        </is>
      </c>
      <c r="B6335" s="1" t="n">
        <v>45673.71967592592</v>
      </c>
      <c r="C6335" s="1" t="n">
        <v>45962</v>
      </c>
      <c r="D6335" t="inlineStr">
        <is>
          <t>JÖNKÖPINGS LÄN</t>
        </is>
      </c>
      <c r="E6335" t="inlineStr">
        <is>
          <t>TRANÅS</t>
        </is>
      </c>
      <c r="G6335" t="n">
        <v>1</v>
      </c>
      <c r="H6335" t="n">
        <v>0</v>
      </c>
      <c r="I6335" t="n">
        <v>0</v>
      </c>
      <c r="J6335" t="n">
        <v>0</v>
      </c>
      <c r="K6335" t="n">
        <v>0</v>
      </c>
      <c r="L6335" t="n">
        <v>0</v>
      </c>
      <c r="M6335" t="n">
        <v>0</v>
      </c>
      <c r="N6335" t="n">
        <v>0</v>
      </c>
      <c r="O6335" t="n">
        <v>0</v>
      </c>
      <c r="P6335" t="n">
        <v>0</v>
      </c>
      <c r="Q6335" t="n">
        <v>0</v>
      </c>
      <c r="R6335" s="2" t="inlineStr"/>
    </row>
    <row r="6336" ht="15" customHeight="1">
      <c r="A6336" t="inlineStr">
        <is>
          <t>A 25418-2025</t>
        </is>
      </c>
      <c r="B6336" s="1" t="n">
        <v>45800.67922453704</v>
      </c>
      <c r="C6336" s="1" t="n">
        <v>45962</v>
      </c>
      <c r="D6336" t="inlineStr">
        <is>
          <t>JÖNKÖPINGS LÄN</t>
        </is>
      </c>
      <c r="E6336" t="inlineStr">
        <is>
          <t>NÄSSJÖ</t>
        </is>
      </c>
      <c r="G6336" t="n">
        <v>3.1</v>
      </c>
      <c r="H6336" t="n">
        <v>0</v>
      </c>
      <c r="I6336" t="n">
        <v>0</v>
      </c>
      <c r="J6336" t="n">
        <v>0</v>
      </c>
      <c r="K6336" t="n">
        <v>0</v>
      </c>
      <c r="L6336" t="n">
        <v>0</v>
      </c>
      <c r="M6336" t="n">
        <v>0</v>
      </c>
      <c r="N6336" t="n">
        <v>0</v>
      </c>
      <c r="O6336" t="n">
        <v>0</v>
      </c>
      <c r="P6336" t="n">
        <v>0</v>
      </c>
      <c r="Q6336" t="n">
        <v>0</v>
      </c>
      <c r="R6336" s="2" t="inlineStr"/>
    </row>
    <row r="6337" ht="15" customHeight="1">
      <c r="A6337" t="inlineStr">
        <is>
          <t>A 36724-2025</t>
        </is>
      </c>
      <c r="B6337" s="1" t="n">
        <v>45873.48230324074</v>
      </c>
      <c r="C6337" s="1" t="n">
        <v>45962</v>
      </c>
      <c r="D6337" t="inlineStr">
        <is>
          <t>JÖNKÖPINGS LÄN</t>
        </is>
      </c>
      <c r="E6337" t="inlineStr">
        <is>
          <t>VÄRNAMO</t>
        </is>
      </c>
      <c r="G6337" t="n">
        <v>1</v>
      </c>
      <c r="H6337" t="n">
        <v>0</v>
      </c>
      <c r="I6337" t="n">
        <v>0</v>
      </c>
      <c r="J6337" t="n">
        <v>0</v>
      </c>
      <c r="K6337" t="n">
        <v>0</v>
      </c>
      <c r="L6337" t="n">
        <v>0</v>
      </c>
      <c r="M6337" t="n">
        <v>0</v>
      </c>
      <c r="N6337" t="n">
        <v>0</v>
      </c>
      <c r="O6337" t="n">
        <v>0</v>
      </c>
      <c r="P6337" t="n">
        <v>0</v>
      </c>
      <c r="Q6337" t="n">
        <v>0</v>
      </c>
      <c r="R6337" s="2" t="inlineStr"/>
    </row>
    <row r="6338" ht="15" customHeight="1">
      <c r="A6338" t="inlineStr">
        <is>
          <t>A 33125-2025</t>
        </is>
      </c>
      <c r="B6338" s="1" t="n">
        <v>45840.49706018518</v>
      </c>
      <c r="C6338" s="1" t="n">
        <v>45962</v>
      </c>
      <c r="D6338" t="inlineStr">
        <is>
          <t>JÖNKÖPINGS LÄN</t>
        </is>
      </c>
      <c r="E6338" t="inlineStr">
        <is>
          <t>ANEBY</t>
        </is>
      </c>
      <c r="G6338" t="n">
        <v>2</v>
      </c>
      <c r="H6338" t="n">
        <v>0</v>
      </c>
      <c r="I6338" t="n">
        <v>0</v>
      </c>
      <c r="J6338" t="n">
        <v>0</v>
      </c>
      <c r="K6338" t="n">
        <v>0</v>
      </c>
      <c r="L6338" t="n">
        <v>0</v>
      </c>
      <c r="M6338" t="n">
        <v>0</v>
      </c>
      <c r="N6338" t="n">
        <v>0</v>
      </c>
      <c r="O6338" t="n">
        <v>0</v>
      </c>
      <c r="P6338" t="n">
        <v>0</v>
      </c>
      <c r="Q6338" t="n">
        <v>0</v>
      </c>
      <c r="R6338" s="2" t="inlineStr"/>
    </row>
    <row r="6339" ht="15" customHeight="1">
      <c r="A6339" t="inlineStr">
        <is>
          <t>A 47328-2025</t>
        </is>
      </c>
      <c r="B6339" s="1" t="n">
        <v>45930.56075231481</v>
      </c>
      <c r="C6339" s="1" t="n">
        <v>45962</v>
      </c>
      <c r="D6339" t="inlineStr">
        <is>
          <t>JÖNKÖPINGS LÄN</t>
        </is>
      </c>
      <c r="E6339" t="inlineStr">
        <is>
          <t>NÄSSJÖ</t>
        </is>
      </c>
      <c r="G6339" t="n">
        <v>1.4</v>
      </c>
      <c r="H6339" t="n">
        <v>0</v>
      </c>
      <c r="I6339" t="n">
        <v>0</v>
      </c>
      <c r="J6339" t="n">
        <v>0</v>
      </c>
      <c r="K6339" t="n">
        <v>0</v>
      </c>
      <c r="L6339" t="n">
        <v>0</v>
      </c>
      <c r="M6339" t="n">
        <v>0</v>
      </c>
      <c r="N6339" t="n">
        <v>0</v>
      </c>
      <c r="O6339" t="n">
        <v>0</v>
      </c>
      <c r="P6339" t="n">
        <v>0</v>
      </c>
      <c r="Q6339" t="n">
        <v>0</v>
      </c>
      <c r="R6339" s="2" t="inlineStr"/>
    </row>
    <row r="6340" ht="15" customHeight="1">
      <c r="A6340" t="inlineStr">
        <is>
          <t>A 5898-2024</t>
        </is>
      </c>
      <c r="B6340" s="1" t="n">
        <v>45335</v>
      </c>
      <c r="C6340" s="1" t="n">
        <v>45962</v>
      </c>
      <c r="D6340" t="inlineStr">
        <is>
          <t>JÖNKÖPINGS LÄN</t>
        </is>
      </c>
      <c r="E6340" t="inlineStr">
        <is>
          <t>TRANÅS</t>
        </is>
      </c>
      <c r="F6340" t="inlineStr">
        <is>
          <t>Allmännings- och besparingsskogar</t>
        </is>
      </c>
      <c r="G6340" t="n">
        <v>2.2</v>
      </c>
      <c r="H6340" t="n">
        <v>0</v>
      </c>
      <c r="I6340" t="n">
        <v>0</v>
      </c>
      <c r="J6340" t="n">
        <v>0</v>
      </c>
      <c r="K6340" t="n">
        <v>0</v>
      </c>
      <c r="L6340" t="n">
        <v>0</v>
      </c>
      <c r="M6340" t="n">
        <v>0</v>
      </c>
      <c r="N6340" t="n">
        <v>0</v>
      </c>
      <c r="O6340" t="n">
        <v>0</v>
      </c>
      <c r="P6340" t="n">
        <v>0</v>
      </c>
      <c r="Q6340" t="n">
        <v>0</v>
      </c>
      <c r="R6340" s="2" t="inlineStr"/>
    </row>
    <row r="6341" ht="15" customHeight="1">
      <c r="A6341" t="inlineStr">
        <is>
          <t>A 15140-2023</t>
        </is>
      </c>
      <c r="B6341" s="1" t="n">
        <v>45015</v>
      </c>
      <c r="C6341" s="1" t="n">
        <v>45962</v>
      </c>
      <c r="D6341" t="inlineStr">
        <is>
          <t>JÖNKÖPINGS LÄN</t>
        </is>
      </c>
      <c r="E6341" t="inlineStr">
        <is>
          <t>VAGGERYD</t>
        </is>
      </c>
      <c r="G6341" t="n">
        <v>2</v>
      </c>
      <c r="H6341" t="n">
        <v>0</v>
      </c>
      <c r="I6341" t="n">
        <v>0</v>
      </c>
      <c r="J6341" t="n">
        <v>0</v>
      </c>
      <c r="K6341" t="n">
        <v>0</v>
      </c>
      <c r="L6341" t="n">
        <v>0</v>
      </c>
      <c r="M6341" t="n">
        <v>0</v>
      </c>
      <c r="N6341" t="n">
        <v>0</v>
      </c>
      <c r="O6341" t="n">
        <v>0</v>
      </c>
      <c r="P6341" t="n">
        <v>0</v>
      </c>
      <c r="Q6341" t="n">
        <v>0</v>
      </c>
      <c r="R6341" s="2" t="inlineStr"/>
    </row>
    <row r="6342" ht="15" customHeight="1">
      <c r="A6342" t="inlineStr">
        <is>
          <t>A 6594-2024</t>
        </is>
      </c>
      <c r="B6342" s="1" t="n">
        <v>45341.54001157408</v>
      </c>
      <c r="C6342" s="1" t="n">
        <v>45962</v>
      </c>
      <c r="D6342" t="inlineStr">
        <is>
          <t>JÖNKÖPINGS LÄN</t>
        </is>
      </c>
      <c r="E6342" t="inlineStr">
        <is>
          <t>VETLANDA</t>
        </is>
      </c>
      <c r="G6342" t="n">
        <v>1.1</v>
      </c>
      <c r="H6342" t="n">
        <v>0</v>
      </c>
      <c r="I6342" t="n">
        <v>0</v>
      </c>
      <c r="J6342" t="n">
        <v>0</v>
      </c>
      <c r="K6342" t="n">
        <v>0</v>
      </c>
      <c r="L6342" t="n">
        <v>0</v>
      </c>
      <c r="M6342" t="n">
        <v>0</v>
      </c>
      <c r="N6342" t="n">
        <v>0</v>
      </c>
      <c r="O6342" t="n">
        <v>0</v>
      </c>
      <c r="P6342" t="n">
        <v>0</v>
      </c>
      <c r="Q6342" t="n">
        <v>0</v>
      </c>
      <c r="R6342" s="2" t="inlineStr"/>
    </row>
    <row r="6343" ht="15" customHeight="1">
      <c r="A6343" t="inlineStr">
        <is>
          <t>A 46539-2025</t>
        </is>
      </c>
      <c r="B6343" s="1" t="n">
        <v>45926.34392361111</v>
      </c>
      <c r="C6343" s="1" t="n">
        <v>45962</v>
      </c>
      <c r="D6343" t="inlineStr">
        <is>
          <t>JÖNKÖPINGS LÄN</t>
        </is>
      </c>
      <c r="E6343" t="inlineStr">
        <is>
          <t>MULLSJÖ</t>
        </is>
      </c>
      <c r="G6343" t="n">
        <v>1</v>
      </c>
      <c r="H6343" t="n">
        <v>0</v>
      </c>
      <c r="I6343" t="n">
        <v>0</v>
      </c>
      <c r="J6343" t="n">
        <v>0</v>
      </c>
      <c r="K6343" t="n">
        <v>0</v>
      </c>
      <c r="L6343" t="n">
        <v>0</v>
      </c>
      <c r="M6343" t="n">
        <v>0</v>
      </c>
      <c r="N6343" t="n">
        <v>0</v>
      </c>
      <c r="O6343" t="n">
        <v>0</v>
      </c>
      <c r="P6343" t="n">
        <v>0</v>
      </c>
      <c r="Q6343" t="n">
        <v>0</v>
      </c>
      <c r="R6343" s="2" t="inlineStr"/>
    </row>
    <row r="6344" ht="15" customHeight="1">
      <c r="A6344" t="inlineStr">
        <is>
          <t>A 5901-2024</t>
        </is>
      </c>
      <c r="B6344" s="1" t="n">
        <v>45335.76891203703</v>
      </c>
      <c r="C6344" s="1" t="n">
        <v>45962</v>
      </c>
      <c r="D6344" t="inlineStr">
        <is>
          <t>JÖNKÖPINGS LÄN</t>
        </is>
      </c>
      <c r="E6344" t="inlineStr">
        <is>
          <t>JÖNKÖPING</t>
        </is>
      </c>
      <c r="F6344" t="inlineStr">
        <is>
          <t>Kyrkan</t>
        </is>
      </c>
      <c r="G6344" t="n">
        <v>2.1</v>
      </c>
      <c r="H6344" t="n">
        <v>0</v>
      </c>
      <c r="I6344" t="n">
        <v>0</v>
      </c>
      <c r="J6344" t="n">
        <v>0</v>
      </c>
      <c r="K6344" t="n">
        <v>0</v>
      </c>
      <c r="L6344" t="n">
        <v>0</v>
      </c>
      <c r="M6344" t="n">
        <v>0</v>
      </c>
      <c r="N6344" t="n">
        <v>0</v>
      </c>
      <c r="O6344" t="n">
        <v>0</v>
      </c>
      <c r="P6344" t="n">
        <v>0</v>
      </c>
      <c r="Q6344" t="n">
        <v>0</v>
      </c>
      <c r="R6344" s="2" t="inlineStr"/>
    </row>
    <row r="6345" ht="15" customHeight="1">
      <c r="A6345" t="inlineStr">
        <is>
          <t>A 39209-2025</t>
        </is>
      </c>
      <c r="B6345" s="1" t="n">
        <v>45888.76606481482</v>
      </c>
      <c r="C6345" s="1" t="n">
        <v>45962</v>
      </c>
      <c r="D6345" t="inlineStr">
        <is>
          <t>JÖNKÖPINGS LÄN</t>
        </is>
      </c>
      <c r="E6345" t="inlineStr">
        <is>
          <t>NÄSSJÖ</t>
        </is>
      </c>
      <c r="G6345" t="n">
        <v>1.3</v>
      </c>
      <c r="H6345" t="n">
        <v>0</v>
      </c>
      <c r="I6345" t="n">
        <v>0</v>
      </c>
      <c r="J6345" t="n">
        <v>0</v>
      </c>
      <c r="K6345" t="n">
        <v>0</v>
      </c>
      <c r="L6345" t="n">
        <v>0</v>
      </c>
      <c r="M6345" t="n">
        <v>0</v>
      </c>
      <c r="N6345" t="n">
        <v>0</v>
      </c>
      <c r="O6345" t="n">
        <v>0</v>
      </c>
      <c r="P6345" t="n">
        <v>0</v>
      </c>
      <c r="Q6345" t="n">
        <v>0</v>
      </c>
      <c r="R6345" s="2" t="inlineStr"/>
    </row>
    <row r="6346" ht="15" customHeight="1">
      <c r="A6346" t="inlineStr">
        <is>
          <t>A 39210-2025</t>
        </is>
      </c>
      <c r="B6346" s="1" t="n">
        <v>45888.76744212963</v>
      </c>
      <c r="C6346" s="1" t="n">
        <v>45962</v>
      </c>
      <c r="D6346" t="inlineStr">
        <is>
          <t>JÖNKÖPINGS LÄN</t>
        </is>
      </c>
      <c r="E6346" t="inlineStr">
        <is>
          <t>NÄSSJÖ</t>
        </is>
      </c>
      <c r="G6346" t="n">
        <v>0.4</v>
      </c>
      <c r="H6346" t="n">
        <v>0</v>
      </c>
      <c r="I6346" t="n">
        <v>0</v>
      </c>
      <c r="J6346" t="n">
        <v>0</v>
      </c>
      <c r="K6346" t="n">
        <v>0</v>
      </c>
      <c r="L6346" t="n">
        <v>0</v>
      </c>
      <c r="M6346" t="n">
        <v>0</v>
      </c>
      <c r="N6346" t="n">
        <v>0</v>
      </c>
      <c r="O6346" t="n">
        <v>0</v>
      </c>
      <c r="P6346" t="n">
        <v>0</v>
      </c>
      <c r="Q6346" t="n">
        <v>0</v>
      </c>
      <c r="R6346" s="2" t="inlineStr"/>
    </row>
    <row r="6347" ht="15" customHeight="1">
      <c r="A6347" t="inlineStr">
        <is>
          <t>A 37128-2025</t>
        </is>
      </c>
      <c r="B6347" s="1" t="n">
        <v>45875.54210648148</v>
      </c>
      <c r="C6347" s="1" t="n">
        <v>45962</v>
      </c>
      <c r="D6347" t="inlineStr">
        <is>
          <t>JÖNKÖPINGS LÄN</t>
        </is>
      </c>
      <c r="E6347" t="inlineStr">
        <is>
          <t>HABO</t>
        </is>
      </c>
      <c r="G6347" t="n">
        <v>4.3</v>
      </c>
      <c r="H6347" t="n">
        <v>0</v>
      </c>
      <c r="I6347" t="n">
        <v>0</v>
      </c>
      <c r="J6347" t="n">
        <v>0</v>
      </c>
      <c r="K6347" t="n">
        <v>0</v>
      </c>
      <c r="L6347" t="n">
        <v>0</v>
      </c>
      <c r="M6347" t="n">
        <v>0</v>
      </c>
      <c r="N6347" t="n">
        <v>0</v>
      </c>
      <c r="O6347" t="n">
        <v>0</v>
      </c>
      <c r="P6347" t="n">
        <v>0</v>
      </c>
      <c r="Q6347" t="n">
        <v>0</v>
      </c>
      <c r="R6347" s="2" t="inlineStr"/>
    </row>
    <row r="6348" ht="15" customHeight="1">
      <c r="A6348" t="inlineStr">
        <is>
          <t>A 41325-2022</t>
        </is>
      </c>
      <c r="B6348" s="1" t="n">
        <v>44826</v>
      </c>
      <c r="C6348" s="1" t="n">
        <v>45962</v>
      </c>
      <c r="D6348" t="inlineStr">
        <is>
          <t>JÖNKÖPINGS LÄN</t>
        </is>
      </c>
      <c r="E6348" t="inlineStr">
        <is>
          <t>NÄSSJÖ</t>
        </is>
      </c>
      <c r="G6348" t="n">
        <v>1.5</v>
      </c>
      <c r="H6348" t="n">
        <v>0</v>
      </c>
      <c r="I6348" t="n">
        <v>0</v>
      </c>
      <c r="J6348" t="n">
        <v>0</v>
      </c>
      <c r="K6348" t="n">
        <v>0</v>
      </c>
      <c r="L6348" t="n">
        <v>0</v>
      </c>
      <c r="M6348" t="n">
        <v>0</v>
      </c>
      <c r="N6348" t="n">
        <v>0</v>
      </c>
      <c r="O6348" t="n">
        <v>0</v>
      </c>
      <c r="P6348" t="n">
        <v>0</v>
      </c>
      <c r="Q6348" t="n">
        <v>0</v>
      </c>
      <c r="R6348" s="2" t="inlineStr"/>
    </row>
    <row r="6349" ht="15" customHeight="1">
      <c r="A6349" t="inlineStr">
        <is>
          <t>A 37203-2025</t>
        </is>
      </c>
      <c r="B6349" s="1" t="n">
        <v>45875</v>
      </c>
      <c r="C6349" s="1" t="n">
        <v>45962</v>
      </c>
      <c r="D6349" t="inlineStr">
        <is>
          <t>JÖNKÖPINGS LÄN</t>
        </is>
      </c>
      <c r="E6349" t="inlineStr">
        <is>
          <t>EKSJÖ</t>
        </is>
      </c>
      <c r="G6349" t="n">
        <v>1</v>
      </c>
      <c r="H6349" t="n">
        <v>0</v>
      </c>
      <c r="I6349" t="n">
        <v>0</v>
      </c>
      <c r="J6349" t="n">
        <v>0</v>
      </c>
      <c r="K6349" t="n">
        <v>0</v>
      </c>
      <c r="L6349" t="n">
        <v>0</v>
      </c>
      <c r="M6349" t="n">
        <v>0</v>
      </c>
      <c r="N6349" t="n">
        <v>0</v>
      </c>
      <c r="O6349" t="n">
        <v>0</v>
      </c>
      <c r="P6349" t="n">
        <v>0</v>
      </c>
      <c r="Q6349" t="n">
        <v>0</v>
      </c>
      <c r="R6349" s="2" t="inlineStr"/>
    </row>
    <row r="6350" ht="15" customHeight="1">
      <c r="A6350" t="inlineStr">
        <is>
          <t>A 1695-2024</t>
        </is>
      </c>
      <c r="B6350" s="1" t="n">
        <v>45307.34739583333</v>
      </c>
      <c r="C6350" s="1" t="n">
        <v>45962</v>
      </c>
      <c r="D6350" t="inlineStr">
        <is>
          <t>JÖNKÖPINGS LÄN</t>
        </is>
      </c>
      <c r="E6350" t="inlineStr">
        <is>
          <t>VETLANDA</t>
        </is>
      </c>
      <c r="G6350" t="n">
        <v>1.6</v>
      </c>
      <c r="H6350" t="n">
        <v>0</v>
      </c>
      <c r="I6350" t="n">
        <v>0</v>
      </c>
      <c r="J6350" t="n">
        <v>0</v>
      </c>
      <c r="K6350" t="n">
        <v>0</v>
      </c>
      <c r="L6350" t="n">
        <v>0</v>
      </c>
      <c r="M6350" t="n">
        <v>0</v>
      </c>
      <c r="N6350" t="n">
        <v>0</v>
      </c>
      <c r="O6350" t="n">
        <v>0</v>
      </c>
      <c r="P6350" t="n">
        <v>0</v>
      </c>
      <c r="Q6350" t="n">
        <v>0</v>
      </c>
      <c r="R6350" s="2" t="inlineStr"/>
    </row>
    <row r="6351" ht="15" customHeight="1">
      <c r="A6351" t="inlineStr">
        <is>
          <t>A 1699-2024</t>
        </is>
      </c>
      <c r="B6351" s="1" t="n">
        <v>45307</v>
      </c>
      <c r="C6351" s="1" t="n">
        <v>45962</v>
      </c>
      <c r="D6351" t="inlineStr">
        <is>
          <t>JÖNKÖPINGS LÄN</t>
        </is>
      </c>
      <c r="E6351" t="inlineStr">
        <is>
          <t>HABO</t>
        </is>
      </c>
      <c r="G6351" t="n">
        <v>1</v>
      </c>
      <c r="H6351" t="n">
        <v>0</v>
      </c>
      <c r="I6351" t="n">
        <v>0</v>
      </c>
      <c r="J6351" t="n">
        <v>0</v>
      </c>
      <c r="K6351" t="n">
        <v>0</v>
      </c>
      <c r="L6351" t="n">
        <v>0</v>
      </c>
      <c r="M6351" t="n">
        <v>0</v>
      </c>
      <c r="N6351" t="n">
        <v>0</v>
      </c>
      <c r="O6351" t="n">
        <v>0</v>
      </c>
      <c r="P6351" t="n">
        <v>0</v>
      </c>
      <c r="Q6351" t="n">
        <v>0</v>
      </c>
      <c r="R6351" s="2" t="inlineStr"/>
    </row>
    <row r="6352" ht="15" customHeight="1">
      <c r="A6352" t="inlineStr">
        <is>
          <t>A 41403-2022</t>
        </is>
      </c>
      <c r="B6352" s="1" t="n">
        <v>44825</v>
      </c>
      <c r="C6352" s="1" t="n">
        <v>45962</v>
      </c>
      <c r="D6352" t="inlineStr">
        <is>
          <t>JÖNKÖPINGS LÄN</t>
        </is>
      </c>
      <c r="E6352" t="inlineStr">
        <is>
          <t>VETLANDA</t>
        </is>
      </c>
      <c r="G6352" t="n">
        <v>1.1</v>
      </c>
      <c r="H6352" t="n">
        <v>0</v>
      </c>
      <c r="I6352" t="n">
        <v>0</v>
      </c>
      <c r="J6352" t="n">
        <v>0</v>
      </c>
      <c r="K6352" t="n">
        <v>0</v>
      </c>
      <c r="L6352" t="n">
        <v>0</v>
      </c>
      <c r="M6352" t="n">
        <v>0</v>
      </c>
      <c r="N6352" t="n">
        <v>0</v>
      </c>
      <c r="O6352" t="n">
        <v>0</v>
      </c>
      <c r="P6352" t="n">
        <v>0</v>
      </c>
      <c r="Q6352" t="n">
        <v>0</v>
      </c>
      <c r="R6352" s="2" t="inlineStr"/>
    </row>
    <row r="6353" ht="15" customHeight="1">
      <c r="A6353" t="inlineStr">
        <is>
          <t>A 36886-2025</t>
        </is>
      </c>
      <c r="B6353" s="1" t="n">
        <v>45874.44326388889</v>
      </c>
      <c r="C6353" s="1" t="n">
        <v>45962</v>
      </c>
      <c r="D6353" t="inlineStr">
        <is>
          <t>JÖNKÖPINGS LÄN</t>
        </is>
      </c>
      <c r="E6353" t="inlineStr">
        <is>
          <t>NÄSSJÖ</t>
        </is>
      </c>
      <c r="G6353" t="n">
        <v>0.8</v>
      </c>
      <c r="H6353" t="n">
        <v>0</v>
      </c>
      <c r="I6353" t="n">
        <v>0</v>
      </c>
      <c r="J6353" t="n">
        <v>0</v>
      </c>
      <c r="K6353" t="n">
        <v>0</v>
      </c>
      <c r="L6353" t="n">
        <v>0</v>
      </c>
      <c r="M6353" t="n">
        <v>0</v>
      </c>
      <c r="N6353" t="n">
        <v>0</v>
      </c>
      <c r="O6353" t="n">
        <v>0</v>
      </c>
      <c r="P6353" t="n">
        <v>0</v>
      </c>
      <c r="Q6353" t="n">
        <v>0</v>
      </c>
      <c r="R6353" s="2" t="inlineStr"/>
    </row>
    <row r="6354" ht="15" customHeight="1">
      <c r="A6354" t="inlineStr">
        <is>
          <t>A 61666-2022</t>
        </is>
      </c>
      <c r="B6354" s="1" t="n">
        <v>44917</v>
      </c>
      <c r="C6354" s="1" t="n">
        <v>45962</v>
      </c>
      <c r="D6354" t="inlineStr">
        <is>
          <t>JÖNKÖPINGS LÄN</t>
        </is>
      </c>
      <c r="E6354" t="inlineStr">
        <is>
          <t>VETLANDA</t>
        </is>
      </c>
      <c r="G6354" t="n">
        <v>5.8</v>
      </c>
      <c r="H6354" t="n">
        <v>0</v>
      </c>
      <c r="I6354" t="n">
        <v>0</v>
      </c>
      <c r="J6354" t="n">
        <v>0</v>
      </c>
      <c r="K6354" t="n">
        <v>0</v>
      </c>
      <c r="L6354" t="n">
        <v>0</v>
      </c>
      <c r="M6354" t="n">
        <v>0</v>
      </c>
      <c r="N6354" t="n">
        <v>0</v>
      </c>
      <c r="O6354" t="n">
        <v>0</v>
      </c>
      <c r="P6354" t="n">
        <v>0</v>
      </c>
      <c r="Q6354" t="n">
        <v>0</v>
      </c>
      <c r="R6354" s="2" t="inlineStr"/>
    </row>
    <row r="6355" ht="15" customHeight="1">
      <c r="A6355" t="inlineStr">
        <is>
          <t>A 3160-2025</t>
        </is>
      </c>
      <c r="B6355" s="1" t="n">
        <v>45679.33732638889</v>
      </c>
      <c r="C6355" s="1" t="n">
        <v>45962</v>
      </c>
      <c r="D6355" t="inlineStr">
        <is>
          <t>JÖNKÖPINGS LÄN</t>
        </is>
      </c>
      <c r="E6355" t="inlineStr">
        <is>
          <t>NÄSSJÖ</t>
        </is>
      </c>
      <c r="G6355" t="n">
        <v>1.2</v>
      </c>
      <c r="H6355" t="n">
        <v>0</v>
      </c>
      <c r="I6355" t="n">
        <v>0</v>
      </c>
      <c r="J6355" t="n">
        <v>0</v>
      </c>
      <c r="K6355" t="n">
        <v>0</v>
      </c>
      <c r="L6355" t="n">
        <v>0</v>
      </c>
      <c r="M6355" t="n">
        <v>0</v>
      </c>
      <c r="N6355" t="n">
        <v>0</v>
      </c>
      <c r="O6355" t="n">
        <v>0</v>
      </c>
      <c r="P6355" t="n">
        <v>0</v>
      </c>
      <c r="Q6355" t="n">
        <v>0</v>
      </c>
      <c r="R6355" s="2" t="inlineStr"/>
    </row>
    <row r="6356" ht="15" customHeight="1">
      <c r="A6356" t="inlineStr">
        <is>
          <t>A 39141-2025</t>
        </is>
      </c>
      <c r="B6356" s="1" t="n">
        <v>45888</v>
      </c>
      <c r="C6356" s="1" t="n">
        <v>45962</v>
      </c>
      <c r="D6356" t="inlineStr">
        <is>
          <t>JÖNKÖPINGS LÄN</t>
        </is>
      </c>
      <c r="E6356" t="inlineStr">
        <is>
          <t>VÄRNAMO</t>
        </is>
      </c>
      <c r="G6356" t="n">
        <v>1.1</v>
      </c>
      <c r="H6356" t="n">
        <v>0</v>
      </c>
      <c r="I6356" t="n">
        <v>0</v>
      </c>
      <c r="J6356" t="n">
        <v>0</v>
      </c>
      <c r="K6356" t="n">
        <v>0</v>
      </c>
      <c r="L6356" t="n">
        <v>0</v>
      </c>
      <c r="M6356" t="n">
        <v>0</v>
      </c>
      <c r="N6356" t="n">
        <v>0</v>
      </c>
      <c r="O6356" t="n">
        <v>0</v>
      </c>
      <c r="P6356" t="n">
        <v>0</v>
      </c>
      <c r="Q6356" t="n">
        <v>0</v>
      </c>
      <c r="R6356" s="2" t="inlineStr"/>
    </row>
    <row r="6357" ht="15" customHeight="1">
      <c r="A6357" t="inlineStr">
        <is>
          <t>A 39361-2025</t>
        </is>
      </c>
      <c r="B6357" s="1" t="n">
        <v>45889.55912037037</v>
      </c>
      <c r="C6357" s="1" t="n">
        <v>45962</v>
      </c>
      <c r="D6357" t="inlineStr">
        <is>
          <t>JÖNKÖPINGS LÄN</t>
        </is>
      </c>
      <c r="E6357" t="inlineStr">
        <is>
          <t>TRANÅS</t>
        </is>
      </c>
      <c r="G6357" t="n">
        <v>2.8</v>
      </c>
      <c r="H6357" t="n">
        <v>0</v>
      </c>
      <c r="I6357" t="n">
        <v>0</v>
      </c>
      <c r="J6357" t="n">
        <v>0</v>
      </c>
      <c r="K6357" t="n">
        <v>0</v>
      </c>
      <c r="L6357" t="n">
        <v>0</v>
      </c>
      <c r="M6357" t="n">
        <v>0</v>
      </c>
      <c r="N6357" t="n">
        <v>0</v>
      </c>
      <c r="O6357" t="n">
        <v>0</v>
      </c>
      <c r="P6357" t="n">
        <v>0</v>
      </c>
      <c r="Q6357" t="n">
        <v>0</v>
      </c>
      <c r="R6357" s="2" t="inlineStr"/>
    </row>
    <row r="6358" ht="15" customHeight="1">
      <c r="A6358" t="inlineStr">
        <is>
          <t>A 39387-2025</t>
        </is>
      </c>
      <c r="B6358" s="1" t="n">
        <v>45889.6171875</v>
      </c>
      <c r="C6358" s="1" t="n">
        <v>45962</v>
      </c>
      <c r="D6358" t="inlineStr">
        <is>
          <t>JÖNKÖPINGS LÄN</t>
        </is>
      </c>
      <c r="E6358" t="inlineStr">
        <is>
          <t>VETLANDA</t>
        </is>
      </c>
      <c r="G6358" t="n">
        <v>1.2</v>
      </c>
      <c r="H6358" t="n">
        <v>0</v>
      </c>
      <c r="I6358" t="n">
        <v>0</v>
      </c>
      <c r="J6358" t="n">
        <v>0</v>
      </c>
      <c r="K6358" t="n">
        <v>0</v>
      </c>
      <c r="L6358" t="n">
        <v>0</v>
      </c>
      <c r="M6358" t="n">
        <v>0</v>
      </c>
      <c r="N6358" t="n">
        <v>0</v>
      </c>
      <c r="O6358" t="n">
        <v>0</v>
      </c>
      <c r="P6358" t="n">
        <v>0</v>
      </c>
      <c r="Q6358" t="n">
        <v>0</v>
      </c>
      <c r="R6358" s="2" t="inlineStr"/>
    </row>
    <row r="6359" ht="15" customHeight="1">
      <c r="A6359" t="inlineStr">
        <is>
          <t>A 37142-2025</t>
        </is>
      </c>
      <c r="B6359" s="1" t="n">
        <v>45875.56143518518</v>
      </c>
      <c r="C6359" s="1" t="n">
        <v>45962</v>
      </c>
      <c r="D6359" t="inlineStr">
        <is>
          <t>JÖNKÖPINGS LÄN</t>
        </is>
      </c>
      <c r="E6359" t="inlineStr">
        <is>
          <t>VETLANDA</t>
        </is>
      </c>
      <c r="G6359" t="n">
        <v>0.6</v>
      </c>
      <c r="H6359" t="n">
        <v>0</v>
      </c>
      <c r="I6359" t="n">
        <v>0</v>
      </c>
      <c r="J6359" t="n">
        <v>0</v>
      </c>
      <c r="K6359" t="n">
        <v>0</v>
      </c>
      <c r="L6359" t="n">
        <v>0</v>
      </c>
      <c r="M6359" t="n">
        <v>0</v>
      </c>
      <c r="N6359" t="n">
        <v>0</v>
      </c>
      <c r="O6359" t="n">
        <v>0</v>
      </c>
      <c r="P6359" t="n">
        <v>0</v>
      </c>
      <c r="Q6359" t="n">
        <v>0</v>
      </c>
      <c r="R6359" s="2" t="inlineStr"/>
    </row>
    <row r="6360" ht="15" customHeight="1">
      <c r="A6360" t="inlineStr">
        <is>
          <t>A 42826-2023</t>
        </is>
      </c>
      <c r="B6360" s="1" t="n">
        <v>45177</v>
      </c>
      <c r="C6360" s="1" t="n">
        <v>45962</v>
      </c>
      <c r="D6360" t="inlineStr">
        <is>
          <t>JÖNKÖPINGS LÄN</t>
        </is>
      </c>
      <c r="E6360" t="inlineStr">
        <is>
          <t>VETLANDA</t>
        </is>
      </c>
      <c r="F6360" t="inlineStr">
        <is>
          <t>Kyrkan</t>
        </is>
      </c>
      <c r="G6360" t="n">
        <v>5.7</v>
      </c>
      <c r="H6360" t="n">
        <v>0</v>
      </c>
      <c r="I6360" t="n">
        <v>0</v>
      </c>
      <c r="J6360" t="n">
        <v>0</v>
      </c>
      <c r="K6360" t="n">
        <v>0</v>
      </c>
      <c r="L6360" t="n">
        <v>0</v>
      </c>
      <c r="M6360" t="n">
        <v>0</v>
      </c>
      <c r="N6360" t="n">
        <v>0</v>
      </c>
      <c r="O6360" t="n">
        <v>0</v>
      </c>
      <c r="P6360" t="n">
        <v>0</v>
      </c>
      <c r="Q6360" t="n">
        <v>0</v>
      </c>
      <c r="R6360" s="2" t="inlineStr"/>
    </row>
    <row r="6361" ht="15" customHeight="1">
      <c r="A6361" t="inlineStr">
        <is>
          <t>A 39330-2025</t>
        </is>
      </c>
      <c r="B6361" s="1" t="n">
        <v>45888</v>
      </c>
      <c r="C6361" s="1" t="n">
        <v>45962</v>
      </c>
      <c r="D6361" t="inlineStr">
        <is>
          <t>JÖNKÖPINGS LÄN</t>
        </is>
      </c>
      <c r="E6361" t="inlineStr">
        <is>
          <t>VETLANDA</t>
        </is>
      </c>
      <c r="G6361" t="n">
        <v>2.2</v>
      </c>
      <c r="H6361" t="n">
        <v>0</v>
      </c>
      <c r="I6361" t="n">
        <v>0</v>
      </c>
      <c r="J6361" t="n">
        <v>0</v>
      </c>
      <c r="K6361" t="n">
        <v>0</v>
      </c>
      <c r="L6361" t="n">
        <v>0</v>
      </c>
      <c r="M6361" t="n">
        <v>0</v>
      </c>
      <c r="N6361" t="n">
        <v>0</v>
      </c>
      <c r="O6361" t="n">
        <v>0</v>
      </c>
      <c r="P6361" t="n">
        <v>0</v>
      </c>
      <c r="Q6361" t="n">
        <v>0</v>
      </c>
      <c r="R6361" s="2" t="inlineStr"/>
    </row>
    <row r="6362" ht="15" customHeight="1">
      <c r="A6362" t="inlineStr">
        <is>
          <t>A 39352-2025</t>
        </is>
      </c>
      <c r="B6362" s="1" t="n">
        <v>45889.54539351852</v>
      </c>
      <c r="C6362" s="1" t="n">
        <v>45962</v>
      </c>
      <c r="D6362" t="inlineStr">
        <is>
          <t>JÖNKÖPINGS LÄN</t>
        </is>
      </c>
      <c r="E6362" t="inlineStr">
        <is>
          <t>VETLANDA</t>
        </is>
      </c>
      <c r="G6362" t="n">
        <v>1</v>
      </c>
      <c r="H6362" t="n">
        <v>0</v>
      </c>
      <c r="I6362" t="n">
        <v>0</v>
      </c>
      <c r="J6362" t="n">
        <v>0</v>
      </c>
      <c r="K6362" t="n">
        <v>0</v>
      </c>
      <c r="L6362" t="n">
        <v>0</v>
      </c>
      <c r="M6362" t="n">
        <v>0</v>
      </c>
      <c r="N6362" t="n">
        <v>0</v>
      </c>
      <c r="O6362" t="n">
        <v>0</v>
      </c>
      <c r="P6362" t="n">
        <v>0</v>
      </c>
      <c r="Q6362" t="n">
        <v>0</v>
      </c>
      <c r="R6362" s="2" t="inlineStr"/>
    </row>
    <row r="6363" ht="15" customHeight="1">
      <c r="A6363" t="inlineStr">
        <is>
          <t>A 36853-2025</t>
        </is>
      </c>
      <c r="B6363" s="1" t="n">
        <v>45874.39650462963</v>
      </c>
      <c r="C6363" s="1" t="n">
        <v>45962</v>
      </c>
      <c r="D6363" t="inlineStr">
        <is>
          <t>JÖNKÖPINGS LÄN</t>
        </is>
      </c>
      <c r="E6363" t="inlineStr">
        <is>
          <t>EKSJÖ</t>
        </is>
      </c>
      <c r="G6363" t="n">
        <v>1.5</v>
      </c>
      <c r="H6363" t="n">
        <v>0</v>
      </c>
      <c r="I6363" t="n">
        <v>0</v>
      </c>
      <c r="J6363" t="n">
        <v>0</v>
      </c>
      <c r="K6363" t="n">
        <v>0</v>
      </c>
      <c r="L6363" t="n">
        <v>0</v>
      </c>
      <c r="M6363" t="n">
        <v>0</v>
      </c>
      <c r="N6363" t="n">
        <v>0</v>
      </c>
      <c r="O6363" t="n">
        <v>0</v>
      </c>
      <c r="P6363" t="n">
        <v>0</v>
      </c>
      <c r="Q6363" t="n">
        <v>0</v>
      </c>
      <c r="R6363" s="2" t="inlineStr"/>
    </row>
    <row r="6364" ht="15" customHeight="1">
      <c r="A6364" t="inlineStr">
        <is>
          <t>A 37198-2025</t>
        </is>
      </c>
      <c r="B6364" s="1" t="n">
        <v>45875.67362268519</v>
      </c>
      <c r="C6364" s="1" t="n">
        <v>45962</v>
      </c>
      <c r="D6364" t="inlineStr">
        <is>
          <t>JÖNKÖPINGS LÄN</t>
        </is>
      </c>
      <c r="E6364" t="inlineStr">
        <is>
          <t>GNOSJÖ</t>
        </is>
      </c>
      <c r="G6364" t="n">
        <v>3.7</v>
      </c>
      <c r="H6364" t="n">
        <v>0</v>
      </c>
      <c r="I6364" t="n">
        <v>0</v>
      </c>
      <c r="J6364" t="n">
        <v>0</v>
      </c>
      <c r="K6364" t="n">
        <v>0</v>
      </c>
      <c r="L6364" t="n">
        <v>0</v>
      </c>
      <c r="M6364" t="n">
        <v>0</v>
      </c>
      <c r="N6364" t="n">
        <v>0</v>
      </c>
      <c r="O6364" t="n">
        <v>0</v>
      </c>
      <c r="P6364" t="n">
        <v>0</v>
      </c>
      <c r="Q6364" t="n">
        <v>0</v>
      </c>
      <c r="R6364" s="2" t="inlineStr"/>
    </row>
    <row r="6365" ht="15" customHeight="1">
      <c r="A6365" t="inlineStr">
        <is>
          <t>A 34518-2023</t>
        </is>
      </c>
      <c r="B6365" s="1" t="n">
        <v>45140.38641203703</v>
      </c>
      <c r="C6365" s="1" t="n">
        <v>45962</v>
      </c>
      <c r="D6365" t="inlineStr">
        <is>
          <t>JÖNKÖPINGS LÄN</t>
        </is>
      </c>
      <c r="E6365" t="inlineStr">
        <is>
          <t>TRANÅS</t>
        </is>
      </c>
      <c r="G6365" t="n">
        <v>2.3</v>
      </c>
      <c r="H6365" t="n">
        <v>0</v>
      </c>
      <c r="I6365" t="n">
        <v>0</v>
      </c>
      <c r="J6365" t="n">
        <v>0</v>
      </c>
      <c r="K6365" t="n">
        <v>0</v>
      </c>
      <c r="L6365" t="n">
        <v>0</v>
      </c>
      <c r="M6365" t="n">
        <v>0</v>
      </c>
      <c r="N6365" t="n">
        <v>0</v>
      </c>
      <c r="O6365" t="n">
        <v>0</v>
      </c>
      <c r="P6365" t="n">
        <v>0</v>
      </c>
      <c r="Q6365" t="n">
        <v>0</v>
      </c>
      <c r="R6365" s="2" t="inlineStr"/>
    </row>
    <row r="6366" ht="15" customHeight="1">
      <c r="A6366" t="inlineStr">
        <is>
          <t>A 47619-2025</t>
        </is>
      </c>
      <c r="B6366" s="1" t="n">
        <v>45931.48114583334</v>
      </c>
      <c r="C6366" s="1" t="n">
        <v>45962</v>
      </c>
      <c r="D6366" t="inlineStr">
        <is>
          <t>JÖNKÖPINGS LÄN</t>
        </is>
      </c>
      <c r="E6366" t="inlineStr">
        <is>
          <t>NÄSSJÖ</t>
        </is>
      </c>
      <c r="G6366" t="n">
        <v>1.1</v>
      </c>
      <c r="H6366" t="n">
        <v>0</v>
      </c>
      <c r="I6366" t="n">
        <v>0</v>
      </c>
      <c r="J6366" t="n">
        <v>0</v>
      </c>
      <c r="K6366" t="n">
        <v>0</v>
      </c>
      <c r="L6366" t="n">
        <v>0</v>
      </c>
      <c r="M6366" t="n">
        <v>0</v>
      </c>
      <c r="N6366" t="n">
        <v>0</v>
      </c>
      <c r="O6366" t="n">
        <v>0</v>
      </c>
      <c r="P6366" t="n">
        <v>0</v>
      </c>
      <c r="Q6366" t="n">
        <v>0</v>
      </c>
      <c r="R6366" s="2" t="inlineStr"/>
    </row>
    <row r="6367" ht="15" customHeight="1">
      <c r="A6367" t="inlineStr">
        <is>
          <t>A 14610-2025</t>
        </is>
      </c>
      <c r="B6367" s="1" t="n">
        <v>45742.3846412037</v>
      </c>
      <c r="C6367" s="1" t="n">
        <v>45962</v>
      </c>
      <c r="D6367" t="inlineStr">
        <is>
          <t>JÖNKÖPINGS LÄN</t>
        </is>
      </c>
      <c r="E6367" t="inlineStr">
        <is>
          <t>VETLANDA</t>
        </is>
      </c>
      <c r="G6367" t="n">
        <v>0.8</v>
      </c>
      <c r="H6367" t="n">
        <v>0</v>
      </c>
      <c r="I6367" t="n">
        <v>0</v>
      </c>
      <c r="J6367" t="n">
        <v>0</v>
      </c>
      <c r="K6367" t="n">
        <v>0</v>
      </c>
      <c r="L6367" t="n">
        <v>0</v>
      </c>
      <c r="M6367" t="n">
        <v>0</v>
      </c>
      <c r="N6367" t="n">
        <v>0</v>
      </c>
      <c r="O6367" t="n">
        <v>0</v>
      </c>
      <c r="P6367" t="n">
        <v>0</v>
      </c>
      <c r="Q6367" t="n">
        <v>0</v>
      </c>
      <c r="R6367" s="2" t="inlineStr"/>
    </row>
    <row r="6368" ht="15" customHeight="1">
      <c r="A6368" t="inlineStr">
        <is>
          <t>A 39264-2025</t>
        </is>
      </c>
      <c r="B6368" s="1" t="n">
        <v>45889.37385416667</v>
      </c>
      <c r="C6368" s="1" t="n">
        <v>45962</v>
      </c>
      <c r="D6368" t="inlineStr">
        <is>
          <t>JÖNKÖPINGS LÄN</t>
        </is>
      </c>
      <c r="E6368" t="inlineStr">
        <is>
          <t>VETLANDA</t>
        </is>
      </c>
      <c r="G6368" t="n">
        <v>2.1</v>
      </c>
      <c r="H6368" t="n">
        <v>0</v>
      </c>
      <c r="I6368" t="n">
        <v>0</v>
      </c>
      <c r="J6368" t="n">
        <v>0</v>
      </c>
      <c r="K6368" t="n">
        <v>0</v>
      </c>
      <c r="L6368" t="n">
        <v>0</v>
      </c>
      <c r="M6368" t="n">
        <v>0</v>
      </c>
      <c r="N6368" t="n">
        <v>0</v>
      </c>
      <c r="O6368" t="n">
        <v>0</v>
      </c>
      <c r="P6368" t="n">
        <v>0</v>
      </c>
      <c r="Q6368" t="n">
        <v>0</v>
      </c>
      <c r="R6368" s="2" t="inlineStr"/>
    </row>
    <row r="6369" ht="15" customHeight="1">
      <c r="A6369" t="inlineStr">
        <is>
          <t>A 7930-2024</t>
        </is>
      </c>
      <c r="B6369" s="1" t="n">
        <v>45350.48736111111</v>
      </c>
      <c r="C6369" s="1" t="n">
        <v>45962</v>
      </c>
      <c r="D6369" t="inlineStr">
        <is>
          <t>JÖNKÖPINGS LÄN</t>
        </is>
      </c>
      <c r="E6369" t="inlineStr">
        <is>
          <t>GISLAVED</t>
        </is>
      </c>
      <c r="G6369" t="n">
        <v>1.2</v>
      </c>
      <c r="H6369" t="n">
        <v>0</v>
      </c>
      <c r="I6369" t="n">
        <v>0</v>
      </c>
      <c r="J6369" t="n">
        <v>0</v>
      </c>
      <c r="K6369" t="n">
        <v>0</v>
      </c>
      <c r="L6369" t="n">
        <v>0</v>
      </c>
      <c r="M6369" t="n">
        <v>0</v>
      </c>
      <c r="N6369" t="n">
        <v>0</v>
      </c>
      <c r="O6369" t="n">
        <v>0</v>
      </c>
      <c r="P6369" t="n">
        <v>0</v>
      </c>
      <c r="Q6369" t="n">
        <v>0</v>
      </c>
      <c r="R6369" s="2" t="inlineStr"/>
    </row>
    <row r="6370" ht="15" customHeight="1">
      <c r="A6370" t="inlineStr">
        <is>
          <t>A 39313-2025</t>
        </is>
      </c>
      <c r="B6370" s="1" t="n">
        <v>45888</v>
      </c>
      <c r="C6370" s="1" t="n">
        <v>45962</v>
      </c>
      <c r="D6370" t="inlineStr">
        <is>
          <t>JÖNKÖPINGS LÄN</t>
        </is>
      </c>
      <c r="E6370" t="inlineStr">
        <is>
          <t>VETLANDA</t>
        </is>
      </c>
      <c r="G6370" t="n">
        <v>2.5</v>
      </c>
      <c r="H6370" t="n">
        <v>0</v>
      </c>
      <c r="I6370" t="n">
        <v>0</v>
      </c>
      <c r="J6370" t="n">
        <v>0</v>
      </c>
      <c r="K6370" t="n">
        <v>0</v>
      </c>
      <c r="L6370" t="n">
        <v>0</v>
      </c>
      <c r="M6370" t="n">
        <v>0</v>
      </c>
      <c r="N6370" t="n">
        <v>0</v>
      </c>
      <c r="O6370" t="n">
        <v>0</v>
      </c>
      <c r="P6370" t="n">
        <v>0</v>
      </c>
      <c r="Q6370" t="n">
        <v>0</v>
      </c>
      <c r="R6370" s="2" t="inlineStr"/>
    </row>
    <row r="6371" ht="15" customHeight="1">
      <c r="A6371" t="inlineStr">
        <is>
          <t>A 39316-2025</t>
        </is>
      </c>
      <c r="B6371" s="1" t="n">
        <v>45888</v>
      </c>
      <c r="C6371" s="1" t="n">
        <v>45962</v>
      </c>
      <c r="D6371" t="inlineStr">
        <is>
          <t>JÖNKÖPINGS LÄN</t>
        </is>
      </c>
      <c r="E6371" t="inlineStr">
        <is>
          <t>VETLANDA</t>
        </is>
      </c>
      <c r="G6371" t="n">
        <v>0.6</v>
      </c>
      <c r="H6371" t="n">
        <v>0</v>
      </c>
      <c r="I6371" t="n">
        <v>0</v>
      </c>
      <c r="J6371" t="n">
        <v>0</v>
      </c>
      <c r="K6371" t="n">
        <v>0</v>
      </c>
      <c r="L6371" t="n">
        <v>0</v>
      </c>
      <c r="M6371" t="n">
        <v>0</v>
      </c>
      <c r="N6371" t="n">
        <v>0</v>
      </c>
      <c r="O6371" t="n">
        <v>0</v>
      </c>
      <c r="P6371" t="n">
        <v>0</v>
      </c>
      <c r="Q6371" t="n">
        <v>0</v>
      </c>
      <c r="R6371" s="2" t="inlineStr"/>
    </row>
    <row r="6372" ht="15" customHeight="1">
      <c r="A6372" t="inlineStr">
        <is>
          <t>A 39322-2025</t>
        </is>
      </c>
      <c r="B6372" s="1" t="n">
        <v>45889.47633101852</v>
      </c>
      <c r="C6372" s="1" t="n">
        <v>45962</v>
      </c>
      <c r="D6372" t="inlineStr">
        <is>
          <t>JÖNKÖPINGS LÄN</t>
        </is>
      </c>
      <c r="E6372" t="inlineStr">
        <is>
          <t>NÄSSJÖ</t>
        </is>
      </c>
      <c r="G6372" t="n">
        <v>0.7</v>
      </c>
      <c r="H6372" t="n">
        <v>0</v>
      </c>
      <c r="I6372" t="n">
        <v>0</v>
      </c>
      <c r="J6372" t="n">
        <v>0</v>
      </c>
      <c r="K6372" t="n">
        <v>0</v>
      </c>
      <c r="L6372" t="n">
        <v>0</v>
      </c>
      <c r="M6372" t="n">
        <v>0</v>
      </c>
      <c r="N6372" t="n">
        <v>0</v>
      </c>
      <c r="O6372" t="n">
        <v>0</v>
      </c>
      <c r="P6372" t="n">
        <v>0</v>
      </c>
      <c r="Q6372" t="n">
        <v>0</v>
      </c>
      <c r="R6372" s="2" t="inlineStr"/>
    </row>
    <row r="6373" ht="15" customHeight="1">
      <c r="A6373" t="inlineStr">
        <is>
          <t>A 39323-2025</t>
        </is>
      </c>
      <c r="B6373" s="1" t="n">
        <v>45889.47859953704</v>
      </c>
      <c r="C6373" s="1" t="n">
        <v>45962</v>
      </c>
      <c r="D6373" t="inlineStr">
        <is>
          <t>JÖNKÖPINGS LÄN</t>
        </is>
      </c>
      <c r="E6373" t="inlineStr">
        <is>
          <t>NÄSSJÖ</t>
        </is>
      </c>
      <c r="G6373" t="n">
        <v>1.9</v>
      </c>
      <c r="H6373" t="n">
        <v>0</v>
      </c>
      <c r="I6373" t="n">
        <v>0</v>
      </c>
      <c r="J6373" t="n">
        <v>0</v>
      </c>
      <c r="K6373" t="n">
        <v>0</v>
      </c>
      <c r="L6373" t="n">
        <v>0</v>
      </c>
      <c r="M6373" t="n">
        <v>0</v>
      </c>
      <c r="N6373" t="n">
        <v>0</v>
      </c>
      <c r="O6373" t="n">
        <v>0</v>
      </c>
      <c r="P6373" t="n">
        <v>0</v>
      </c>
      <c r="Q6373" t="n">
        <v>0</v>
      </c>
      <c r="R6373" s="2" t="inlineStr"/>
    </row>
    <row r="6374" ht="15" customHeight="1">
      <c r="A6374" t="inlineStr">
        <is>
          <t>A 39326-2025</t>
        </is>
      </c>
      <c r="B6374" s="1" t="n">
        <v>45889.48162037037</v>
      </c>
      <c r="C6374" s="1" t="n">
        <v>45962</v>
      </c>
      <c r="D6374" t="inlineStr">
        <is>
          <t>JÖNKÖPINGS LÄN</t>
        </is>
      </c>
      <c r="E6374" t="inlineStr">
        <is>
          <t>NÄSSJÖ</t>
        </is>
      </c>
      <c r="G6374" t="n">
        <v>1.3</v>
      </c>
      <c r="H6374" t="n">
        <v>0</v>
      </c>
      <c r="I6374" t="n">
        <v>0</v>
      </c>
      <c r="J6374" t="n">
        <v>0</v>
      </c>
      <c r="K6374" t="n">
        <v>0</v>
      </c>
      <c r="L6374" t="n">
        <v>0</v>
      </c>
      <c r="M6374" t="n">
        <v>0</v>
      </c>
      <c r="N6374" t="n">
        <v>0</v>
      </c>
      <c r="O6374" t="n">
        <v>0</v>
      </c>
      <c r="P6374" t="n">
        <v>0</v>
      </c>
      <c r="Q6374" t="n">
        <v>0</v>
      </c>
      <c r="R6374" s="2" t="inlineStr"/>
    </row>
    <row r="6375" ht="15" customHeight="1">
      <c r="A6375" t="inlineStr">
        <is>
          <t>A 35320-2023</t>
        </is>
      </c>
      <c r="B6375" s="1" t="n">
        <v>45146.40634259259</v>
      </c>
      <c r="C6375" s="1" t="n">
        <v>45962</v>
      </c>
      <c r="D6375" t="inlineStr">
        <is>
          <t>JÖNKÖPINGS LÄN</t>
        </is>
      </c>
      <c r="E6375" t="inlineStr">
        <is>
          <t>SÄVSJÖ</t>
        </is>
      </c>
      <c r="G6375" t="n">
        <v>0.4</v>
      </c>
      <c r="H6375" t="n">
        <v>0</v>
      </c>
      <c r="I6375" t="n">
        <v>0</v>
      </c>
      <c r="J6375" t="n">
        <v>0</v>
      </c>
      <c r="K6375" t="n">
        <v>0</v>
      </c>
      <c r="L6375" t="n">
        <v>0</v>
      </c>
      <c r="M6375" t="n">
        <v>0</v>
      </c>
      <c r="N6375" t="n">
        <v>0</v>
      </c>
      <c r="O6375" t="n">
        <v>0</v>
      </c>
      <c r="P6375" t="n">
        <v>0</v>
      </c>
      <c r="Q6375" t="n">
        <v>0</v>
      </c>
      <c r="R6375" s="2" t="inlineStr"/>
    </row>
    <row r="6376" ht="15" customHeight="1">
      <c r="A6376" t="inlineStr">
        <is>
          <t>A 32374-2024</t>
        </is>
      </c>
      <c r="B6376" s="1" t="n">
        <v>45512.60466435185</v>
      </c>
      <c r="C6376" s="1" t="n">
        <v>45962</v>
      </c>
      <c r="D6376" t="inlineStr">
        <is>
          <t>JÖNKÖPINGS LÄN</t>
        </is>
      </c>
      <c r="E6376" t="inlineStr">
        <is>
          <t>VÄRNAMO</t>
        </is>
      </c>
      <c r="G6376" t="n">
        <v>1.6</v>
      </c>
      <c r="H6376" t="n">
        <v>0</v>
      </c>
      <c r="I6376" t="n">
        <v>0</v>
      </c>
      <c r="J6376" t="n">
        <v>0</v>
      </c>
      <c r="K6376" t="n">
        <v>0</v>
      </c>
      <c r="L6376" t="n">
        <v>0</v>
      </c>
      <c r="M6376" t="n">
        <v>0</v>
      </c>
      <c r="N6376" t="n">
        <v>0</v>
      </c>
      <c r="O6376" t="n">
        <v>0</v>
      </c>
      <c r="P6376" t="n">
        <v>0</v>
      </c>
      <c r="Q6376" t="n">
        <v>0</v>
      </c>
      <c r="R6376" s="2" t="inlineStr"/>
    </row>
    <row r="6377" ht="15" customHeight="1">
      <c r="A6377" t="inlineStr">
        <is>
          <t>A 37133-2025</t>
        </is>
      </c>
      <c r="B6377" s="1" t="n">
        <v>45875.54409722222</v>
      </c>
      <c r="C6377" s="1" t="n">
        <v>45962</v>
      </c>
      <c r="D6377" t="inlineStr">
        <is>
          <t>JÖNKÖPINGS LÄN</t>
        </is>
      </c>
      <c r="E6377" t="inlineStr">
        <is>
          <t>MULLSJÖ</t>
        </is>
      </c>
      <c r="G6377" t="n">
        <v>2.4</v>
      </c>
      <c r="H6377" t="n">
        <v>0</v>
      </c>
      <c r="I6377" t="n">
        <v>0</v>
      </c>
      <c r="J6377" t="n">
        <v>0</v>
      </c>
      <c r="K6377" t="n">
        <v>0</v>
      </c>
      <c r="L6377" t="n">
        <v>0</v>
      </c>
      <c r="M6377" t="n">
        <v>0</v>
      </c>
      <c r="N6377" t="n">
        <v>0</v>
      </c>
      <c r="O6377" t="n">
        <v>0</v>
      </c>
      <c r="P6377" t="n">
        <v>0</v>
      </c>
      <c r="Q6377" t="n">
        <v>0</v>
      </c>
      <c r="R6377" s="2" t="inlineStr"/>
    </row>
    <row r="6378" ht="15" customHeight="1">
      <c r="A6378" t="inlineStr">
        <is>
          <t>A 37144-2025</t>
        </is>
      </c>
      <c r="B6378" s="1" t="n">
        <v>45875.56277777778</v>
      </c>
      <c r="C6378" s="1" t="n">
        <v>45962</v>
      </c>
      <c r="D6378" t="inlineStr">
        <is>
          <t>JÖNKÖPINGS LÄN</t>
        </is>
      </c>
      <c r="E6378" t="inlineStr">
        <is>
          <t>VETLANDA</t>
        </is>
      </c>
      <c r="G6378" t="n">
        <v>0.5</v>
      </c>
      <c r="H6378" t="n">
        <v>0</v>
      </c>
      <c r="I6378" t="n">
        <v>0</v>
      </c>
      <c r="J6378" t="n">
        <v>0</v>
      </c>
      <c r="K6378" t="n">
        <v>0</v>
      </c>
      <c r="L6378" t="n">
        <v>0</v>
      </c>
      <c r="M6378" t="n">
        <v>0</v>
      </c>
      <c r="N6378" t="n">
        <v>0</v>
      </c>
      <c r="O6378" t="n">
        <v>0</v>
      </c>
      <c r="P6378" t="n">
        <v>0</v>
      </c>
      <c r="Q6378" t="n">
        <v>0</v>
      </c>
      <c r="R6378" s="2" t="inlineStr"/>
    </row>
    <row r="6379" ht="15" customHeight="1">
      <c r="A6379" t="inlineStr">
        <is>
          <t>A 41173-2023</t>
        </is>
      </c>
      <c r="B6379" s="1" t="n">
        <v>45174.35186342592</v>
      </c>
      <c r="C6379" s="1" t="n">
        <v>45962</v>
      </c>
      <c r="D6379" t="inlineStr">
        <is>
          <t>JÖNKÖPINGS LÄN</t>
        </is>
      </c>
      <c r="E6379" t="inlineStr">
        <is>
          <t>VETLANDA</t>
        </is>
      </c>
      <c r="F6379" t="inlineStr">
        <is>
          <t>Sveaskog</t>
        </is>
      </c>
      <c r="G6379" t="n">
        <v>0.6</v>
      </c>
      <c r="H6379" t="n">
        <v>0</v>
      </c>
      <c r="I6379" t="n">
        <v>0</v>
      </c>
      <c r="J6379" t="n">
        <v>0</v>
      </c>
      <c r="K6379" t="n">
        <v>0</v>
      </c>
      <c r="L6379" t="n">
        <v>0</v>
      </c>
      <c r="M6379" t="n">
        <v>0</v>
      </c>
      <c r="N6379" t="n">
        <v>0</v>
      </c>
      <c r="O6379" t="n">
        <v>0</v>
      </c>
      <c r="P6379" t="n">
        <v>0</v>
      </c>
      <c r="Q6379" t="n">
        <v>0</v>
      </c>
      <c r="R6379" s="2" t="inlineStr"/>
    </row>
    <row r="6380" ht="15" customHeight="1">
      <c r="A6380" t="inlineStr">
        <is>
          <t>A 47022-2021</t>
        </is>
      </c>
      <c r="B6380" s="1" t="n">
        <v>44446</v>
      </c>
      <c r="C6380" s="1" t="n">
        <v>45962</v>
      </c>
      <c r="D6380" t="inlineStr">
        <is>
          <t>JÖNKÖPINGS LÄN</t>
        </is>
      </c>
      <c r="E6380" t="inlineStr">
        <is>
          <t>GNOSJÖ</t>
        </is>
      </c>
      <c r="G6380" t="n">
        <v>4.1</v>
      </c>
      <c r="H6380" t="n">
        <v>0</v>
      </c>
      <c r="I6380" t="n">
        <v>0</v>
      </c>
      <c r="J6380" t="n">
        <v>0</v>
      </c>
      <c r="K6380" t="n">
        <v>0</v>
      </c>
      <c r="L6380" t="n">
        <v>0</v>
      </c>
      <c r="M6380" t="n">
        <v>0</v>
      </c>
      <c r="N6380" t="n">
        <v>0</v>
      </c>
      <c r="O6380" t="n">
        <v>0</v>
      </c>
      <c r="P6380" t="n">
        <v>0</v>
      </c>
      <c r="Q6380" t="n">
        <v>0</v>
      </c>
      <c r="R6380" s="2" t="inlineStr"/>
    </row>
    <row r="6381" ht="15" customHeight="1">
      <c r="A6381" t="inlineStr">
        <is>
          <t>A 47711-2025</t>
        </is>
      </c>
      <c r="B6381" s="1" t="n">
        <v>45931.6143287037</v>
      </c>
      <c r="C6381" s="1" t="n">
        <v>45962</v>
      </c>
      <c r="D6381" t="inlineStr">
        <is>
          <t>JÖNKÖPINGS LÄN</t>
        </is>
      </c>
      <c r="E6381" t="inlineStr">
        <is>
          <t>GISLAVED</t>
        </is>
      </c>
      <c r="G6381" t="n">
        <v>0.6</v>
      </c>
      <c r="H6381" t="n">
        <v>0</v>
      </c>
      <c r="I6381" t="n">
        <v>0</v>
      </c>
      <c r="J6381" t="n">
        <v>0</v>
      </c>
      <c r="K6381" t="n">
        <v>0</v>
      </c>
      <c r="L6381" t="n">
        <v>0</v>
      </c>
      <c r="M6381" t="n">
        <v>0</v>
      </c>
      <c r="N6381" t="n">
        <v>0</v>
      </c>
      <c r="O6381" t="n">
        <v>0</v>
      </c>
      <c r="P6381" t="n">
        <v>0</v>
      </c>
      <c r="Q6381" t="n">
        <v>0</v>
      </c>
      <c r="R6381" s="2" t="inlineStr"/>
    </row>
    <row r="6382" ht="15" customHeight="1">
      <c r="A6382" t="inlineStr">
        <is>
          <t>A 10996-2024</t>
        </is>
      </c>
      <c r="B6382" s="1" t="n">
        <v>45370</v>
      </c>
      <c r="C6382" s="1" t="n">
        <v>45962</v>
      </c>
      <c r="D6382" t="inlineStr">
        <is>
          <t>JÖNKÖPINGS LÄN</t>
        </is>
      </c>
      <c r="E6382" t="inlineStr">
        <is>
          <t>GNOSJÖ</t>
        </is>
      </c>
      <c r="G6382" t="n">
        <v>5.9</v>
      </c>
      <c r="H6382" t="n">
        <v>0</v>
      </c>
      <c r="I6382" t="n">
        <v>0</v>
      </c>
      <c r="J6382" t="n">
        <v>0</v>
      </c>
      <c r="K6382" t="n">
        <v>0</v>
      </c>
      <c r="L6382" t="n">
        <v>0</v>
      </c>
      <c r="M6382" t="n">
        <v>0</v>
      </c>
      <c r="N6382" t="n">
        <v>0</v>
      </c>
      <c r="O6382" t="n">
        <v>0</v>
      </c>
      <c r="P6382" t="n">
        <v>0</v>
      </c>
      <c r="Q6382" t="n">
        <v>0</v>
      </c>
      <c r="R6382" s="2" t="inlineStr"/>
    </row>
    <row r="6383" ht="15" customHeight="1">
      <c r="A6383" t="inlineStr">
        <is>
          <t>A 37173-2025</t>
        </is>
      </c>
      <c r="B6383" s="1" t="n">
        <v>45875.61380787037</v>
      </c>
      <c r="C6383" s="1" t="n">
        <v>45962</v>
      </c>
      <c r="D6383" t="inlineStr">
        <is>
          <t>JÖNKÖPINGS LÄN</t>
        </is>
      </c>
      <c r="E6383" t="inlineStr">
        <is>
          <t>EKSJÖ</t>
        </is>
      </c>
      <c r="G6383" t="n">
        <v>1.4</v>
      </c>
      <c r="H6383" t="n">
        <v>0</v>
      </c>
      <c r="I6383" t="n">
        <v>0</v>
      </c>
      <c r="J6383" t="n">
        <v>0</v>
      </c>
      <c r="K6383" t="n">
        <v>0</v>
      </c>
      <c r="L6383" t="n">
        <v>0</v>
      </c>
      <c r="M6383" t="n">
        <v>0</v>
      </c>
      <c r="N6383" t="n">
        <v>0</v>
      </c>
      <c r="O6383" t="n">
        <v>0</v>
      </c>
      <c r="P6383" t="n">
        <v>0</v>
      </c>
      <c r="Q6383" t="n">
        <v>0</v>
      </c>
      <c r="R6383" s="2" t="inlineStr"/>
    </row>
    <row r="6384" ht="15" customHeight="1">
      <c r="A6384" t="inlineStr">
        <is>
          <t>A 30051-2024</t>
        </is>
      </c>
      <c r="B6384" s="1" t="n">
        <v>45488</v>
      </c>
      <c r="C6384" s="1" t="n">
        <v>45962</v>
      </c>
      <c r="D6384" t="inlineStr">
        <is>
          <t>JÖNKÖPINGS LÄN</t>
        </is>
      </c>
      <c r="E6384" t="inlineStr">
        <is>
          <t>GISLAVED</t>
        </is>
      </c>
      <c r="G6384" t="n">
        <v>0.6</v>
      </c>
      <c r="H6384" t="n">
        <v>0</v>
      </c>
      <c r="I6384" t="n">
        <v>0</v>
      </c>
      <c r="J6384" t="n">
        <v>0</v>
      </c>
      <c r="K6384" t="n">
        <v>0</v>
      </c>
      <c r="L6384" t="n">
        <v>0</v>
      </c>
      <c r="M6384" t="n">
        <v>0</v>
      </c>
      <c r="N6384" t="n">
        <v>0</v>
      </c>
      <c r="O6384" t="n">
        <v>0</v>
      </c>
      <c r="P6384" t="n">
        <v>0</v>
      </c>
      <c r="Q6384" t="n">
        <v>0</v>
      </c>
      <c r="R6384" s="2" t="inlineStr"/>
    </row>
    <row r="6385" ht="15" customHeight="1">
      <c r="A6385" t="inlineStr">
        <is>
          <t>A 39965-2022</t>
        </is>
      </c>
      <c r="B6385" s="1" t="n">
        <v>44820</v>
      </c>
      <c r="C6385" s="1" t="n">
        <v>45962</v>
      </c>
      <c r="D6385" t="inlineStr">
        <is>
          <t>JÖNKÖPINGS LÄN</t>
        </is>
      </c>
      <c r="E6385" t="inlineStr">
        <is>
          <t>VÄRNAMO</t>
        </is>
      </c>
      <c r="G6385" t="n">
        <v>1.2</v>
      </c>
      <c r="H6385" t="n">
        <v>0</v>
      </c>
      <c r="I6385" t="n">
        <v>0</v>
      </c>
      <c r="J6385" t="n">
        <v>0</v>
      </c>
      <c r="K6385" t="n">
        <v>0</v>
      </c>
      <c r="L6385" t="n">
        <v>0</v>
      </c>
      <c r="M6385" t="n">
        <v>0</v>
      </c>
      <c r="N6385" t="n">
        <v>0</v>
      </c>
      <c r="O6385" t="n">
        <v>0</v>
      </c>
      <c r="P6385" t="n">
        <v>0</v>
      </c>
      <c r="Q6385" t="n">
        <v>0</v>
      </c>
      <c r="R6385" s="2" t="inlineStr"/>
    </row>
    <row r="6386" ht="15" customHeight="1">
      <c r="A6386" t="inlineStr">
        <is>
          <t>A 39011-2025</t>
        </is>
      </c>
      <c r="B6386" s="1" t="n">
        <v>45888.35375</v>
      </c>
      <c r="C6386" s="1" t="n">
        <v>45962</v>
      </c>
      <c r="D6386" t="inlineStr">
        <is>
          <t>JÖNKÖPINGS LÄN</t>
        </is>
      </c>
      <c r="E6386" t="inlineStr">
        <is>
          <t>VETLANDA</t>
        </is>
      </c>
      <c r="G6386" t="n">
        <v>0</v>
      </c>
      <c r="H6386" t="n">
        <v>0</v>
      </c>
      <c r="I6386" t="n">
        <v>0</v>
      </c>
      <c r="J6386" t="n">
        <v>0</v>
      </c>
      <c r="K6386" t="n">
        <v>0</v>
      </c>
      <c r="L6386" t="n">
        <v>0</v>
      </c>
      <c r="M6386" t="n">
        <v>0</v>
      </c>
      <c r="N6386" t="n">
        <v>0</v>
      </c>
      <c r="O6386" t="n">
        <v>0</v>
      </c>
      <c r="P6386" t="n">
        <v>0</v>
      </c>
      <c r="Q6386" t="n">
        <v>0</v>
      </c>
      <c r="R6386" s="2" t="inlineStr"/>
    </row>
    <row r="6387" ht="15" customHeight="1">
      <c r="A6387" t="inlineStr">
        <is>
          <t>A 10302-2024</t>
        </is>
      </c>
      <c r="B6387" s="1" t="n">
        <v>45365.51081018519</v>
      </c>
      <c r="C6387" s="1" t="n">
        <v>45962</v>
      </c>
      <c r="D6387" t="inlineStr">
        <is>
          <t>JÖNKÖPINGS LÄN</t>
        </is>
      </c>
      <c r="E6387" t="inlineStr">
        <is>
          <t>ANEBY</t>
        </is>
      </c>
      <c r="F6387" t="inlineStr">
        <is>
          <t>Sveaskog</t>
        </is>
      </c>
      <c r="G6387" t="n">
        <v>0.7</v>
      </c>
      <c r="H6387" t="n">
        <v>0</v>
      </c>
      <c r="I6387" t="n">
        <v>0</v>
      </c>
      <c r="J6387" t="n">
        <v>0</v>
      </c>
      <c r="K6387" t="n">
        <v>0</v>
      </c>
      <c r="L6387" t="n">
        <v>0</v>
      </c>
      <c r="M6387" t="n">
        <v>0</v>
      </c>
      <c r="N6387" t="n">
        <v>0</v>
      </c>
      <c r="O6387" t="n">
        <v>0</v>
      </c>
      <c r="P6387" t="n">
        <v>0</v>
      </c>
      <c r="Q6387" t="n">
        <v>0</v>
      </c>
      <c r="R6387" s="2" t="inlineStr"/>
    </row>
    <row r="6388" ht="15" customHeight="1">
      <c r="A6388" t="inlineStr">
        <is>
          <t>A 39275-2025</t>
        </is>
      </c>
      <c r="B6388" s="1" t="n">
        <v>45888</v>
      </c>
      <c r="C6388" s="1" t="n">
        <v>45962</v>
      </c>
      <c r="D6388" t="inlineStr">
        <is>
          <t>JÖNKÖPINGS LÄN</t>
        </is>
      </c>
      <c r="E6388" t="inlineStr">
        <is>
          <t>VETLANDA</t>
        </is>
      </c>
      <c r="G6388" t="n">
        <v>1.8</v>
      </c>
      <c r="H6388" t="n">
        <v>0</v>
      </c>
      <c r="I6388" t="n">
        <v>0</v>
      </c>
      <c r="J6388" t="n">
        <v>0</v>
      </c>
      <c r="K6388" t="n">
        <v>0</v>
      </c>
      <c r="L6388" t="n">
        <v>0</v>
      </c>
      <c r="M6388" t="n">
        <v>0</v>
      </c>
      <c r="N6388" t="n">
        <v>0</v>
      </c>
      <c r="O6388" t="n">
        <v>0</v>
      </c>
      <c r="P6388" t="n">
        <v>0</v>
      </c>
      <c r="Q6388" t="n">
        <v>0</v>
      </c>
      <c r="R6388" s="2" t="inlineStr"/>
    </row>
    <row r="6389" ht="15" customHeight="1">
      <c r="A6389" t="inlineStr">
        <is>
          <t>A 27609-2025</t>
        </is>
      </c>
      <c r="B6389" s="1" t="n">
        <v>45813.53417824074</v>
      </c>
      <c r="C6389" s="1" t="n">
        <v>45962</v>
      </c>
      <c r="D6389" t="inlineStr">
        <is>
          <t>JÖNKÖPINGS LÄN</t>
        </is>
      </c>
      <c r="E6389" t="inlineStr">
        <is>
          <t>GISLAVED</t>
        </is>
      </c>
      <c r="G6389" t="n">
        <v>2.5</v>
      </c>
      <c r="H6389" t="n">
        <v>0</v>
      </c>
      <c r="I6389" t="n">
        <v>0</v>
      </c>
      <c r="J6389" t="n">
        <v>0</v>
      </c>
      <c r="K6389" t="n">
        <v>0</v>
      </c>
      <c r="L6389" t="n">
        <v>0</v>
      </c>
      <c r="M6389" t="n">
        <v>0</v>
      </c>
      <c r="N6389" t="n">
        <v>0</v>
      </c>
      <c r="O6389" t="n">
        <v>0</v>
      </c>
      <c r="P6389" t="n">
        <v>0</v>
      </c>
      <c r="Q6389" t="n">
        <v>0</v>
      </c>
      <c r="R6389" s="2" t="inlineStr"/>
    </row>
    <row r="6390" ht="15" customHeight="1">
      <c r="A6390" t="inlineStr">
        <is>
          <t>A 26512-2023</t>
        </is>
      </c>
      <c r="B6390" s="1" t="n">
        <v>45092</v>
      </c>
      <c r="C6390" s="1" t="n">
        <v>45962</v>
      </c>
      <c r="D6390" t="inlineStr">
        <is>
          <t>JÖNKÖPINGS LÄN</t>
        </is>
      </c>
      <c r="E6390" t="inlineStr">
        <is>
          <t>JÖNKÖPING</t>
        </is>
      </c>
      <c r="G6390" t="n">
        <v>2.5</v>
      </c>
      <c r="H6390" t="n">
        <v>0</v>
      </c>
      <c r="I6390" t="n">
        <v>0</v>
      </c>
      <c r="J6390" t="n">
        <v>0</v>
      </c>
      <c r="K6390" t="n">
        <v>0</v>
      </c>
      <c r="L6390" t="n">
        <v>0</v>
      </c>
      <c r="M6390" t="n">
        <v>0</v>
      </c>
      <c r="N6390" t="n">
        <v>0</v>
      </c>
      <c r="O6390" t="n">
        <v>0</v>
      </c>
      <c r="P6390" t="n">
        <v>0</v>
      </c>
      <c r="Q6390" t="n">
        <v>0</v>
      </c>
      <c r="R6390" s="2" t="inlineStr"/>
    </row>
    <row r="6391" ht="15" customHeight="1">
      <c r="A6391" t="inlineStr">
        <is>
          <t>A 37042-2025</t>
        </is>
      </c>
      <c r="B6391" s="1" t="n">
        <v>45875.33354166667</v>
      </c>
      <c r="C6391" s="1" t="n">
        <v>45962</v>
      </c>
      <c r="D6391" t="inlineStr">
        <is>
          <t>JÖNKÖPINGS LÄN</t>
        </is>
      </c>
      <c r="E6391" t="inlineStr">
        <is>
          <t>GISLAVED</t>
        </is>
      </c>
      <c r="G6391" t="n">
        <v>4.5</v>
      </c>
      <c r="H6391" t="n">
        <v>0</v>
      </c>
      <c r="I6391" t="n">
        <v>0</v>
      </c>
      <c r="J6391" t="n">
        <v>0</v>
      </c>
      <c r="K6391" t="n">
        <v>0</v>
      </c>
      <c r="L6391" t="n">
        <v>0</v>
      </c>
      <c r="M6391" t="n">
        <v>0</v>
      </c>
      <c r="N6391" t="n">
        <v>0</v>
      </c>
      <c r="O6391" t="n">
        <v>0</v>
      </c>
      <c r="P6391" t="n">
        <v>0</v>
      </c>
      <c r="Q6391" t="n">
        <v>0</v>
      </c>
      <c r="R6391" s="2" t="inlineStr"/>
    </row>
    <row r="6392" ht="15" customHeight="1">
      <c r="A6392" t="inlineStr">
        <is>
          <t>A 37170-2025</t>
        </is>
      </c>
      <c r="B6392" s="1" t="n">
        <v>45875.60922453704</v>
      </c>
      <c r="C6392" s="1" t="n">
        <v>45962</v>
      </c>
      <c r="D6392" t="inlineStr">
        <is>
          <t>JÖNKÖPINGS LÄN</t>
        </is>
      </c>
      <c r="E6392" t="inlineStr">
        <is>
          <t>JÖNKÖPING</t>
        </is>
      </c>
      <c r="G6392" t="n">
        <v>1.2</v>
      </c>
      <c r="H6392" t="n">
        <v>0</v>
      </c>
      <c r="I6392" t="n">
        <v>0</v>
      </c>
      <c r="J6392" t="n">
        <v>0</v>
      </c>
      <c r="K6392" t="n">
        <v>0</v>
      </c>
      <c r="L6392" t="n">
        <v>0</v>
      </c>
      <c r="M6392" t="n">
        <v>0</v>
      </c>
      <c r="N6392" t="n">
        <v>0</v>
      </c>
      <c r="O6392" t="n">
        <v>0</v>
      </c>
      <c r="P6392" t="n">
        <v>0</v>
      </c>
      <c r="Q6392" t="n">
        <v>0</v>
      </c>
      <c r="R6392" s="2" t="inlineStr"/>
    </row>
    <row r="6393" ht="15" customHeight="1">
      <c r="A6393" t="inlineStr">
        <is>
          <t>A 11007-2024</t>
        </is>
      </c>
      <c r="B6393" s="1" t="n">
        <v>45370</v>
      </c>
      <c r="C6393" s="1" t="n">
        <v>45962</v>
      </c>
      <c r="D6393" t="inlineStr">
        <is>
          <t>JÖNKÖPINGS LÄN</t>
        </is>
      </c>
      <c r="E6393" t="inlineStr">
        <is>
          <t>EKSJÖ</t>
        </is>
      </c>
      <c r="G6393" t="n">
        <v>0.5</v>
      </c>
      <c r="H6393" t="n">
        <v>0</v>
      </c>
      <c r="I6393" t="n">
        <v>0</v>
      </c>
      <c r="J6393" t="n">
        <v>0</v>
      </c>
      <c r="K6393" t="n">
        <v>0</v>
      </c>
      <c r="L6393" t="n">
        <v>0</v>
      </c>
      <c r="M6393" t="n">
        <v>0</v>
      </c>
      <c r="N6393" t="n">
        <v>0</v>
      </c>
      <c r="O6393" t="n">
        <v>0</v>
      </c>
      <c r="P6393" t="n">
        <v>0</v>
      </c>
      <c r="Q6393" t="n">
        <v>0</v>
      </c>
      <c r="R6393" s="2" t="inlineStr"/>
    </row>
    <row r="6394" ht="15" customHeight="1">
      <c r="A6394" t="inlineStr">
        <is>
          <t>A 37169-2025</t>
        </is>
      </c>
      <c r="B6394" s="1" t="n">
        <v>45875.6087962963</v>
      </c>
      <c r="C6394" s="1" t="n">
        <v>45962</v>
      </c>
      <c r="D6394" t="inlineStr">
        <is>
          <t>JÖNKÖPINGS LÄN</t>
        </is>
      </c>
      <c r="E6394" t="inlineStr">
        <is>
          <t>EKSJÖ</t>
        </is>
      </c>
      <c r="G6394" t="n">
        <v>1.9</v>
      </c>
      <c r="H6394" t="n">
        <v>0</v>
      </c>
      <c r="I6394" t="n">
        <v>0</v>
      </c>
      <c r="J6394" t="n">
        <v>0</v>
      </c>
      <c r="K6394" t="n">
        <v>0</v>
      </c>
      <c r="L6394" t="n">
        <v>0</v>
      </c>
      <c r="M6394" t="n">
        <v>0</v>
      </c>
      <c r="N6394" t="n">
        <v>0</v>
      </c>
      <c r="O6394" t="n">
        <v>0</v>
      </c>
      <c r="P6394" t="n">
        <v>0</v>
      </c>
      <c r="Q6394" t="n">
        <v>0</v>
      </c>
      <c r="R6394" s="2" t="inlineStr"/>
    </row>
    <row r="6395" ht="15" customHeight="1">
      <c r="A6395" t="inlineStr">
        <is>
          <t>A 52454-2024</t>
        </is>
      </c>
      <c r="B6395" s="1" t="n">
        <v>45609.50959490741</v>
      </c>
      <c r="C6395" s="1" t="n">
        <v>45962</v>
      </c>
      <c r="D6395" t="inlineStr">
        <is>
          <t>JÖNKÖPINGS LÄN</t>
        </is>
      </c>
      <c r="E6395" t="inlineStr">
        <is>
          <t>VAGGERYD</t>
        </is>
      </c>
      <c r="F6395" t="inlineStr">
        <is>
          <t>Sveaskog</t>
        </is>
      </c>
      <c r="G6395" t="n">
        <v>2.4</v>
      </c>
      <c r="H6395" t="n">
        <v>0</v>
      </c>
      <c r="I6395" t="n">
        <v>0</v>
      </c>
      <c r="J6395" t="n">
        <v>0</v>
      </c>
      <c r="K6395" t="n">
        <v>0</v>
      </c>
      <c r="L6395" t="n">
        <v>0</v>
      </c>
      <c r="M6395" t="n">
        <v>0</v>
      </c>
      <c r="N6395" t="n">
        <v>0</v>
      </c>
      <c r="O6395" t="n">
        <v>0</v>
      </c>
      <c r="P6395" t="n">
        <v>0</v>
      </c>
      <c r="Q6395" t="n">
        <v>0</v>
      </c>
      <c r="R6395" s="2" t="inlineStr"/>
    </row>
    <row r="6396" ht="15" customHeight="1">
      <c r="A6396" t="inlineStr">
        <is>
          <t>A 11205-2025</t>
        </is>
      </c>
      <c r="B6396" s="1" t="n">
        <v>45726.32008101852</v>
      </c>
      <c r="C6396" s="1" t="n">
        <v>45962</v>
      </c>
      <c r="D6396" t="inlineStr">
        <is>
          <t>JÖNKÖPINGS LÄN</t>
        </is>
      </c>
      <c r="E6396" t="inlineStr">
        <is>
          <t>VETLANDA</t>
        </is>
      </c>
      <c r="G6396" t="n">
        <v>1.5</v>
      </c>
      <c r="H6396" t="n">
        <v>0</v>
      </c>
      <c r="I6396" t="n">
        <v>0</v>
      </c>
      <c r="J6396" t="n">
        <v>0</v>
      </c>
      <c r="K6396" t="n">
        <v>0</v>
      </c>
      <c r="L6396" t="n">
        <v>0</v>
      </c>
      <c r="M6396" t="n">
        <v>0</v>
      </c>
      <c r="N6396" t="n">
        <v>0</v>
      </c>
      <c r="O6396" t="n">
        <v>0</v>
      </c>
      <c r="P6396" t="n">
        <v>0</v>
      </c>
      <c r="Q6396" t="n">
        <v>0</v>
      </c>
      <c r="R6396" s="2" t="inlineStr"/>
    </row>
    <row r="6397" ht="15" customHeight="1">
      <c r="A6397" t="inlineStr">
        <is>
          <t>A 23637-2024</t>
        </is>
      </c>
      <c r="B6397" s="1" t="n">
        <v>45454.48295138889</v>
      </c>
      <c r="C6397" s="1" t="n">
        <v>45962</v>
      </c>
      <c r="D6397" t="inlineStr">
        <is>
          <t>JÖNKÖPINGS LÄN</t>
        </is>
      </c>
      <c r="E6397" t="inlineStr">
        <is>
          <t>SÄVSJÖ</t>
        </is>
      </c>
      <c r="G6397" t="n">
        <v>1.1</v>
      </c>
      <c r="H6397" t="n">
        <v>0</v>
      </c>
      <c r="I6397" t="n">
        <v>0</v>
      </c>
      <c r="J6397" t="n">
        <v>0</v>
      </c>
      <c r="K6397" t="n">
        <v>0</v>
      </c>
      <c r="L6397" t="n">
        <v>0</v>
      </c>
      <c r="M6397" t="n">
        <v>0</v>
      </c>
      <c r="N6397" t="n">
        <v>0</v>
      </c>
      <c r="O6397" t="n">
        <v>0</v>
      </c>
      <c r="P6397" t="n">
        <v>0</v>
      </c>
      <c r="Q6397" t="n">
        <v>0</v>
      </c>
      <c r="R6397" s="2" t="inlineStr"/>
    </row>
    <row r="6398" ht="15" customHeight="1">
      <c r="A6398" t="inlineStr">
        <is>
          <t>A 39026-2025</t>
        </is>
      </c>
      <c r="B6398" s="1" t="n">
        <v>45888.39927083333</v>
      </c>
      <c r="C6398" s="1" t="n">
        <v>45962</v>
      </c>
      <c r="D6398" t="inlineStr">
        <is>
          <t>JÖNKÖPINGS LÄN</t>
        </is>
      </c>
      <c r="E6398" t="inlineStr">
        <is>
          <t>VETLANDA</t>
        </is>
      </c>
      <c r="G6398" t="n">
        <v>2</v>
      </c>
      <c r="H6398" t="n">
        <v>0</v>
      </c>
      <c r="I6398" t="n">
        <v>0</v>
      </c>
      <c r="J6398" t="n">
        <v>0</v>
      </c>
      <c r="K6398" t="n">
        <v>0</v>
      </c>
      <c r="L6398" t="n">
        <v>0</v>
      </c>
      <c r="M6398" t="n">
        <v>0</v>
      </c>
      <c r="N6398" t="n">
        <v>0</v>
      </c>
      <c r="O6398" t="n">
        <v>0</v>
      </c>
      <c r="P6398" t="n">
        <v>0</v>
      </c>
      <c r="Q6398" t="n">
        <v>0</v>
      </c>
      <c r="R6398" s="2" t="inlineStr"/>
    </row>
    <row r="6399" ht="15" customHeight="1">
      <c r="A6399" t="inlineStr">
        <is>
          <t>A 47386-2025</t>
        </is>
      </c>
      <c r="B6399" s="1" t="n">
        <v>45930</v>
      </c>
      <c r="C6399" s="1" t="n">
        <v>45962</v>
      </c>
      <c r="D6399" t="inlineStr">
        <is>
          <t>JÖNKÖPINGS LÄN</t>
        </is>
      </c>
      <c r="E6399" t="inlineStr">
        <is>
          <t>VETLANDA</t>
        </is>
      </c>
      <c r="F6399" t="inlineStr">
        <is>
          <t>Kyrkan</t>
        </is>
      </c>
      <c r="G6399" t="n">
        <v>5.2</v>
      </c>
      <c r="H6399" t="n">
        <v>0</v>
      </c>
      <c r="I6399" t="n">
        <v>0</v>
      </c>
      <c r="J6399" t="n">
        <v>0</v>
      </c>
      <c r="K6399" t="n">
        <v>0</v>
      </c>
      <c r="L6399" t="n">
        <v>0</v>
      </c>
      <c r="M6399" t="n">
        <v>0</v>
      </c>
      <c r="N6399" t="n">
        <v>0</v>
      </c>
      <c r="O6399" t="n">
        <v>0</v>
      </c>
      <c r="P6399" t="n">
        <v>0</v>
      </c>
      <c r="Q6399" t="n">
        <v>0</v>
      </c>
      <c r="R6399" s="2" t="inlineStr"/>
    </row>
    <row r="6400" ht="15" customHeight="1">
      <c r="A6400" t="inlineStr">
        <is>
          <t>A 37438-2025</t>
        </is>
      </c>
      <c r="B6400" s="1" t="n">
        <v>45877.53517361111</v>
      </c>
      <c r="C6400" s="1" t="n">
        <v>45962</v>
      </c>
      <c r="D6400" t="inlineStr">
        <is>
          <t>JÖNKÖPINGS LÄN</t>
        </is>
      </c>
      <c r="E6400" t="inlineStr">
        <is>
          <t>HABO</t>
        </is>
      </c>
      <c r="G6400" t="n">
        <v>1.6</v>
      </c>
      <c r="H6400" t="n">
        <v>0</v>
      </c>
      <c r="I6400" t="n">
        <v>0</v>
      </c>
      <c r="J6400" t="n">
        <v>0</v>
      </c>
      <c r="K6400" t="n">
        <v>0</v>
      </c>
      <c r="L6400" t="n">
        <v>0</v>
      </c>
      <c r="M6400" t="n">
        <v>0</v>
      </c>
      <c r="N6400" t="n">
        <v>0</v>
      </c>
      <c r="O6400" t="n">
        <v>0</v>
      </c>
      <c r="P6400" t="n">
        <v>0</v>
      </c>
      <c r="Q6400" t="n">
        <v>0</v>
      </c>
      <c r="R6400" s="2" t="inlineStr"/>
    </row>
    <row r="6401" ht="15" customHeight="1">
      <c r="A6401" t="inlineStr">
        <is>
          <t>A 50564-2024</t>
        </is>
      </c>
      <c r="B6401" s="1" t="n">
        <v>45601</v>
      </c>
      <c r="C6401" s="1" t="n">
        <v>45962</v>
      </c>
      <c r="D6401" t="inlineStr">
        <is>
          <t>JÖNKÖPINGS LÄN</t>
        </is>
      </c>
      <c r="E6401" t="inlineStr">
        <is>
          <t>SÄVSJÖ</t>
        </is>
      </c>
      <c r="G6401" t="n">
        <v>1</v>
      </c>
      <c r="H6401" t="n">
        <v>0</v>
      </c>
      <c r="I6401" t="n">
        <v>0</v>
      </c>
      <c r="J6401" t="n">
        <v>0</v>
      </c>
      <c r="K6401" t="n">
        <v>0</v>
      </c>
      <c r="L6401" t="n">
        <v>0</v>
      </c>
      <c r="M6401" t="n">
        <v>0</v>
      </c>
      <c r="N6401" t="n">
        <v>0</v>
      </c>
      <c r="O6401" t="n">
        <v>0</v>
      </c>
      <c r="P6401" t="n">
        <v>0</v>
      </c>
      <c r="Q6401" t="n">
        <v>0</v>
      </c>
      <c r="R6401" s="2" t="inlineStr"/>
    </row>
    <row r="6402" ht="15" customHeight="1">
      <c r="A6402" t="inlineStr">
        <is>
          <t>A 37519-2025</t>
        </is>
      </c>
      <c r="B6402" s="1" t="n">
        <v>45877</v>
      </c>
      <c r="C6402" s="1" t="n">
        <v>45962</v>
      </c>
      <c r="D6402" t="inlineStr">
        <is>
          <t>JÖNKÖPINGS LÄN</t>
        </is>
      </c>
      <c r="E6402" t="inlineStr">
        <is>
          <t>EKSJÖ</t>
        </is>
      </c>
      <c r="G6402" t="n">
        <v>3.4</v>
      </c>
      <c r="H6402" t="n">
        <v>0</v>
      </c>
      <c r="I6402" t="n">
        <v>0</v>
      </c>
      <c r="J6402" t="n">
        <v>0</v>
      </c>
      <c r="K6402" t="n">
        <v>0</v>
      </c>
      <c r="L6402" t="n">
        <v>0</v>
      </c>
      <c r="M6402" t="n">
        <v>0</v>
      </c>
      <c r="N6402" t="n">
        <v>0</v>
      </c>
      <c r="O6402" t="n">
        <v>0</v>
      </c>
      <c r="P6402" t="n">
        <v>0</v>
      </c>
      <c r="Q6402" t="n">
        <v>0</v>
      </c>
      <c r="R6402" s="2" t="inlineStr"/>
    </row>
    <row r="6403" ht="15" customHeight="1">
      <c r="A6403" t="inlineStr">
        <is>
          <t>A 35264-2025</t>
        </is>
      </c>
      <c r="B6403" s="1" t="n">
        <v>45853.80958333334</v>
      </c>
      <c r="C6403" s="1" t="n">
        <v>45962</v>
      </c>
      <c r="D6403" t="inlineStr">
        <is>
          <t>JÖNKÖPINGS LÄN</t>
        </is>
      </c>
      <c r="E6403" t="inlineStr">
        <is>
          <t>VÄRNAMO</t>
        </is>
      </c>
      <c r="G6403" t="n">
        <v>3.3</v>
      </c>
      <c r="H6403" t="n">
        <v>0</v>
      </c>
      <c r="I6403" t="n">
        <v>0</v>
      </c>
      <c r="J6403" t="n">
        <v>0</v>
      </c>
      <c r="K6403" t="n">
        <v>0</v>
      </c>
      <c r="L6403" t="n">
        <v>0</v>
      </c>
      <c r="M6403" t="n">
        <v>0</v>
      </c>
      <c r="N6403" t="n">
        <v>0</v>
      </c>
      <c r="O6403" t="n">
        <v>0</v>
      </c>
      <c r="P6403" t="n">
        <v>0</v>
      </c>
      <c r="Q6403" t="n">
        <v>0</v>
      </c>
      <c r="R6403" s="2" t="inlineStr"/>
    </row>
    <row r="6404" ht="15" customHeight="1">
      <c r="A6404" t="inlineStr">
        <is>
          <t>A 5031-2024</t>
        </is>
      </c>
      <c r="B6404" s="1" t="n">
        <v>45329</v>
      </c>
      <c r="C6404" s="1" t="n">
        <v>45962</v>
      </c>
      <c r="D6404" t="inlineStr">
        <is>
          <t>JÖNKÖPINGS LÄN</t>
        </is>
      </c>
      <c r="E6404" t="inlineStr">
        <is>
          <t>VETLANDA</t>
        </is>
      </c>
      <c r="G6404" t="n">
        <v>3.2</v>
      </c>
      <c r="H6404" t="n">
        <v>0</v>
      </c>
      <c r="I6404" t="n">
        <v>0</v>
      </c>
      <c r="J6404" t="n">
        <v>0</v>
      </c>
      <c r="K6404" t="n">
        <v>0</v>
      </c>
      <c r="L6404" t="n">
        <v>0</v>
      </c>
      <c r="M6404" t="n">
        <v>0</v>
      </c>
      <c r="N6404" t="n">
        <v>0</v>
      </c>
      <c r="O6404" t="n">
        <v>0</v>
      </c>
      <c r="P6404" t="n">
        <v>0</v>
      </c>
      <c r="Q6404" t="n">
        <v>0</v>
      </c>
      <c r="R6404" s="2" t="inlineStr"/>
    </row>
    <row r="6405" ht="15" customHeight="1">
      <c r="A6405" t="inlineStr">
        <is>
          <t>A 30042-2025</t>
        </is>
      </c>
      <c r="B6405" s="1" t="n">
        <v>45826.57552083334</v>
      </c>
      <c r="C6405" s="1" t="n">
        <v>45962</v>
      </c>
      <c r="D6405" t="inlineStr">
        <is>
          <t>JÖNKÖPINGS LÄN</t>
        </is>
      </c>
      <c r="E6405" t="inlineStr">
        <is>
          <t>VETLANDA</t>
        </is>
      </c>
      <c r="G6405" t="n">
        <v>2.2</v>
      </c>
      <c r="H6405" t="n">
        <v>0</v>
      </c>
      <c r="I6405" t="n">
        <v>0</v>
      </c>
      <c r="J6405" t="n">
        <v>0</v>
      </c>
      <c r="K6405" t="n">
        <v>0</v>
      </c>
      <c r="L6405" t="n">
        <v>0</v>
      </c>
      <c r="M6405" t="n">
        <v>0</v>
      </c>
      <c r="N6405" t="n">
        <v>0</v>
      </c>
      <c r="O6405" t="n">
        <v>0</v>
      </c>
      <c r="P6405" t="n">
        <v>0</v>
      </c>
      <c r="Q6405" t="n">
        <v>0</v>
      </c>
      <c r="R6405" s="2" t="inlineStr"/>
    </row>
    <row r="6406" ht="15" customHeight="1">
      <c r="A6406" t="inlineStr">
        <is>
          <t>A 39045-2025</t>
        </is>
      </c>
      <c r="B6406" s="1" t="n">
        <v>45888.43959490741</v>
      </c>
      <c r="C6406" s="1" t="n">
        <v>45962</v>
      </c>
      <c r="D6406" t="inlineStr">
        <is>
          <t>JÖNKÖPINGS LÄN</t>
        </is>
      </c>
      <c r="E6406" t="inlineStr">
        <is>
          <t>VETLANDA</t>
        </is>
      </c>
      <c r="G6406" t="n">
        <v>7.7</v>
      </c>
      <c r="H6406" t="n">
        <v>0</v>
      </c>
      <c r="I6406" t="n">
        <v>0</v>
      </c>
      <c r="J6406" t="n">
        <v>0</v>
      </c>
      <c r="K6406" t="n">
        <v>0</v>
      </c>
      <c r="L6406" t="n">
        <v>0</v>
      </c>
      <c r="M6406" t="n">
        <v>0</v>
      </c>
      <c r="N6406" t="n">
        <v>0</v>
      </c>
      <c r="O6406" t="n">
        <v>0</v>
      </c>
      <c r="P6406" t="n">
        <v>0</v>
      </c>
      <c r="Q6406" t="n">
        <v>0</v>
      </c>
      <c r="R6406" s="2" t="inlineStr"/>
    </row>
    <row r="6407" ht="15" customHeight="1">
      <c r="A6407" t="inlineStr">
        <is>
          <t>A 39046-2025</t>
        </is>
      </c>
      <c r="B6407" s="1" t="n">
        <v>45888.44050925926</v>
      </c>
      <c r="C6407" s="1" t="n">
        <v>45962</v>
      </c>
      <c r="D6407" t="inlineStr">
        <is>
          <t>JÖNKÖPINGS LÄN</t>
        </is>
      </c>
      <c r="E6407" t="inlineStr">
        <is>
          <t>VETLANDA</t>
        </is>
      </c>
      <c r="G6407" t="n">
        <v>1.5</v>
      </c>
      <c r="H6407" t="n">
        <v>0</v>
      </c>
      <c r="I6407" t="n">
        <v>0</v>
      </c>
      <c r="J6407" t="n">
        <v>0</v>
      </c>
      <c r="K6407" t="n">
        <v>0</v>
      </c>
      <c r="L6407" t="n">
        <v>0</v>
      </c>
      <c r="M6407" t="n">
        <v>0</v>
      </c>
      <c r="N6407" t="n">
        <v>0</v>
      </c>
      <c r="O6407" t="n">
        <v>0</v>
      </c>
      <c r="P6407" t="n">
        <v>0</v>
      </c>
      <c r="Q6407" t="n">
        <v>0</v>
      </c>
      <c r="R6407" s="2" t="inlineStr"/>
    </row>
    <row r="6408" ht="15" customHeight="1">
      <c r="A6408" t="inlineStr">
        <is>
          <t>A 7952-2024</t>
        </is>
      </c>
      <c r="B6408" s="1" t="n">
        <v>45349</v>
      </c>
      <c r="C6408" s="1" t="n">
        <v>45962</v>
      </c>
      <c r="D6408" t="inlineStr">
        <is>
          <t>JÖNKÖPINGS LÄN</t>
        </is>
      </c>
      <c r="E6408" t="inlineStr">
        <is>
          <t>VAGGERYD</t>
        </is>
      </c>
      <c r="G6408" t="n">
        <v>2.5</v>
      </c>
      <c r="H6408" t="n">
        <v>0</v>
      </c>
      <c r="I6408" t="n">
        <v>0</v>
      </c>
      <c r="J6408" t="n">
        <v>0</v>
      </c>
      <c r="K6408" t="n">
        <v>0</v>
      </c>
      <c r="L6408" t="n">
        <v>0</v>
      </c>
      <c r="M6408" t="n">
        <v>0</v>
      </c>
      <c r="N6408" t="n">
        <v>0</v>
      </c>
      <c r="O6408" t="n">
        <v>0</v>
      </c>
      <c r="P6408" t="n">
        <v>0</v>
      </c>
      <c r="Q6408" t="n">
        <v>0</v>
      </c>
      <c r="R6408" s="2" t="inlineStr"/>
    </row>
    <row r="6409" ht="15" customHeight="1">
      <c r="A6409" t="inlineStr">
        <is>
          <t>A 28438-2025</t>
        </is>
      </c>
      <c r="B6409" s="1" t="n">
        <v>45819.38864583334</v>
      </c>
      <c r="C6409" s="1" t="n">
        <v>45962</v>
      </c>
      <c r="D6409" t="inlineStr">
        <is>
          <t>JÖNKÖPINGS LÄN</t>
        </is>
      </c>
      <c r="E6409" t="inlineStr">
        <is>
          <t>EKSJÖ</t>
        </is>
      </c>
      <c r="G6409" t="n">
        <v>1.1</v>
      </c>
      <c r="H6409" t="n">
        <v>0</v>
      </c>
      <c r="I6409" t="n">
        <v>0</v>
      </c>
      <c r="J6409" t="n">
        <v>0</v>
      </c>
      <c r="K6409" t="n">
        <v>0</v>
      </c>
      <c r="L6409" t="n">
        <v>0</v>
      </c>
      <c r="M6409" t="n">
        <v>0</v>
      </c>
      <c r="N6409" t="n">
        <v>0</v>
      </c>
      <c r="O6409" t="n">
        <v>0</v>
      </c>
      <c r="P6409" t="n">
        <v>0</v>
      </c>
      <c r="Q6409" t="n">
        <v>0</v>
      </c>
      <c r="R6409" s="2" t="inlineStr"/>
    </row>
    <row r="6410" ht="15" customHeight="1">
      <c r="A6410" t="inlineStr">
        <is>
          <t>A 40696-2023</t>
        </is>
      </c>
      <c r="B6410" s="1" t="n">
        <v>45170</v>
      </c>
      <c r="C6410" s="1" t="n">
        <v>45962</v>
      </c>
      <c r="D6410" t="inlineStr">
        <is>
          <t>JÖNKÖPINGS LÄN</t>
        </is>
      </c>
      <c r="E6410" t="inlineStr">
        <is>
          <t>VÄRNAMO</t>
        </is>
      </c>
      <c r="G6410" t="n">
        <v>1.9</v>
      </c>
      <c r="H6410" t="n">
        <v>0</v>
      </c>
      <c r="I6410" t="n">
        <v>0</v>
      </c>
      <c r="J6410" t="n">
        <v>0</v>
      </c>
      <c r="K6410" t="n">
        <v>0</v>
      </c>
      <c r="L6410" t="n">
        <v>0</v>
      </c>
      <c r="M6410" t="n">
        <v>0</v>
      </c>
      <c r="N6410" t="n">
        <v>0</v>
      </c>
      <c r="O6410" t="n">
        <v>0</v>
      </c>
      <c r="P6410" t="n">
        <v>0</v>
      </c>
      <c r="Q6410" t="n">
        <v>0</v>
      </c>
      <c r="R6410" s="2" t="inlineStr"/>
    </row>
    <row r="6411" ht="15" customHeight="1">
      <c r="A6411" t="inlineStr">
        <is>
          <t>A 37231-2025</t>
        </is>
      </c>
      <c r="B6411" s="1" t="n">
        <v>45876.33436342593</v>
      </c>
      <c r="C6411" s="1" t="n">
        <v>45962</v>
      </c>
      <c r="D6411" t="inlineStr">
        <is>
          <t>JÖNKÖPINGS LÄN</t>
        </is>
      </c>
      <c r="E6411" t="inlineStr">
        <is>
          <t>GISLAVED</t>
        </is>
      </c>
      <c r="G6411" t="n">
        <v>2.2</v>
      </c>
      <c r="H6411" t="n">
        <v>0</v>
      </c>
      <c r="I6411" t="n">
        <v>0</v>
      </c>
      <c r="J6411" t="n">
        <v>0</v>
      </c>
      <c r="K6411" t="n">
        <v>0</v>
      </c>
      <c r="L6411" t="n">
        <v>0</v>
      </c>
      <c r="M6411" t="n">
        <v>0</v>
      </c>
      <c r="N6411" t="n">
        <v>0</v>
      </c>
      <c r="O6411" t="n">
        <v>0</v>
      </c>
      <c r="P6411" t="n">
        <v>0</v>
      </c>
      <c r="Q6411" t="n">
        <v>0</v>
      </c>
      <c r="R6411" s="2" t="inlineStr"/>
    </row>
    <row r="6412" ht="15" customHeight="1">
      <c r="A6412" t="inlineStr">
        <is>
          <t>A 28334-2023</t>
        </is>
      </c>
      <c r="B6412" s="1" t="n">
        <v>45099.74195601852</v>
      </c>
      <c r="C6412" s="1" t="n">
        <v>45962</v>
      </c>
      <c r="D6412" t="inlineStr">
        <is>
          <t>JÖNKÖPINGS LÄN</t>
        </is>
      </c>
      <c r="E6412" t="inlineStr">
        <is>
          <t>JÖNKÖPING</t>
        </is>
      </c>
      <c r="G6412" t="n">
        <v>0.9</v>
      </c>
      <c r="H6412" t="n">
        <v>0</v>
      </c>
      <c r="I6412" t="n">
        <v>0</v>
      </c>
      <c r="J6412" t="n">
        <v>0</v>
      </c>
      <c r="K6412" t="n">
        <v>0</v>
      </c>
      <c r="L6412" t="n">
        <v>0</v>
      </c>
      <c r="M6412" t="n">
        <v>0</v>
      </c>
      <c r="N6412" t="n">
        <v>0</v>
      </c>
      <c r="O6412" t="n">
        <v>0</v>
      </c>
      <c r="P6412" t="n">
        <v>0</v>
      </c>
      <c r="Q6412" t="n">
        <v>0</v>
      </c>
      <c r="R6412" s="2" t="inlineStr"/>
    </row>
    <row r="6413" ht="15" customHeight="1">
      <c r="A6413" t="inlineStr">
        <is>
          <t>A 59126-2023</t>
        </is>
      </c>
      <c r="B6413" s="1" t="n">
        <v>45253.34175925926</v>
      </c>
      <c r="C6413" s="1" t="n">
        <v>45962</v>
      </c>
      <c r="D6413" t="inlineStr">
        <is>
          <t>JÖNKÖPINGS LÄN</t>
        </is>
      </c>
      <c r="E6413" t="inlineStr">
        <is>
          <t>SÄVSJÖ</t>
        </is>
      </c>
      <c r="G6413" t="n">
        <v>1.7</v>
      </c>
      <c r="H6413" t="n">
        <v>0</v>
      </c>
      <c r="I6413" t="n">
        <v>0</v>
      </c>
      <c r="J6413" t="n">
        <v>0</v>
      </c>
      <c r="K6413" t="n">
        <v>0</v>
      </c>
      <c r="L6413" t="n">
        <v>0</v>
      </c>
      <c r="M6413" t="n">
        <v>0</v>
      </c>
      <c r="N6413" t="n">
        <v>0</v>
      </c>
      <c r="O6413" t="n">
        <v>0</v>
      </c>
      <c r="P6413" t="n">
        <v>0</v>
      </c>
      <c r="Q6413" t="n">
        <v>0</v>
      </c>
      <c r="R6413" s="2" t="inlineStr"/>
    </row>
    <row r="6414" ht="15" customHeight="1">
      <c r="A6414" t="inlineStr">
        <is>
          <t>A 21396-2021</t>
        </is>
      </c>
      <c r="B6414" s="1" t="n">
        <v>44321</v>
      </c>
      <c r="C6414" s="1" t="n">
        <v>45962</v>
      </c>
      <c r="D6414" t="inlineStr">
        <is>
          <t>JÖNKÖPINGS LÄN</t>
        </is>
      </c>
      <c r="E6414" t="inlineStr">
        <is>
          <t>JÖNKÖPING</t>
        </is>
      </c>
      <c r="F6414" t="inlineStr">
        <is>
          <t>Sveaskog</t>
        </is>
      </c>
      <c r="G6414" t="n">
        <v>3</v>
      </c>
      <c r="H6414" t="n">
        <v>0</v>
      </c>
      <c r="I6414" t="n">
        <v>0</v>
      </c>
      <c r="J6414" t="n">
        <v>0</v>
      </c>
      <c r="K6414" t="n">
        <v>0</v>
      </c>
      <c r="L6414" t="n">
        <v>0</v>
      </c>
      <c r="M6414" t="n">
        <v>0</v>
      </c>
      <c r="N6414" t="n">
        <v>0</v>
      </c>
      <c r="O6414" t="n">
        <v>0</v>
      </c>
      <c r="P6414" t="n">
        <v>0</v>
      </c>
      <c r="Q6414" t="n">
        <v>0</v>
      </c>
      <c r="R6414" s="2" t="inlineStr"/>
    </row>
    <row r="6415" ht="15" customHeight="1">
      <c r="A6415" t="inlineStr">
        <is>
          <t>A 39398-2025</t>
        </is>
      </c>
      <c r="B6415" s="1" t="n">
        <v>45889.63392361111</v>
      </c>
      <c r="C6415" s="1" t="n">
        <v>45962</v>
      </c>
      <c r="D6415" t="inlineStr">
        <is>
          <t>JÖNKÖPINGS LÄN</t>
        </is>
      </c>
      <c r="E6415" t="inlineStr">
        <is>
          <t>VETLANDA</t>
        </is>
      </c>
      <c r="G6415" t="n">
        <v>2.4</v>
      </c>
      <c r="H6415" t="n">
        <v>0</v>
      </c>
      <c r="I6415" t="n">
        <v>0</v>
      </c>
      <c r="J6415" t="n">
        <v>0</v>
      </c>
      <c r="K6415" t="n">
        <v>0</v>
      </c>
      <c r="L6415" t="n">
        <v>0</v>
      </c>
      <c r="M6415" t="n">
        <v>0</v>
      </c>
      <c r="N6415" t="n">
        <v>0</v>
      </c>
      <c r="O6415" t="n">
        <v>0</v>
      </c>
      <c r="P6415" t="n">
        <v>0</v>
      </c>
      <c r="Q6415" t="n">
        <v>0</v>
      </c>
      <c r="R6415" s="2" t="inlineStr"/>
    </row>
    <row r="6416" ht="15" customHeight="1">
      <c r="A6416" t="inlineStr">
        <is>
          <t>A 14609-2025</t>
        </is>
      </c>
      <c r="B6416" s="1" t="n">
        <v>45742.38137731481</v>
      </c>
      <c r="C6416" s="1" t="n">
        <v>45962</v>
      </c>
      <c r="D6416" t="inlineStr">
        <is>
          <t>JÖNKÖPINGS LÄN</t>
        </is>
      </c>
      <c r="E6416" t="inlineStr">
        <is>
          <t>VETLANDA</t>
        </is>
      </c>
      <c r="G6416" t="n">
        <v>1.2</v>
      </c>
      <c r="H6416" t="n">
        <v>0</v>
      </c>
      <c r="I6416" t="n">
        <v>0</v>
      </c>
      <c r="J6416" t="n">
        <v>0</v>
      </c>
      <c r="K6416" t="n">
        <v>0</v>
      </c>
      <c r="L6416" t="n">
        <v>0</v>
      </c>
      <c r="M6416" t="n">
        <v>0</v>
      </c>
      <c r="N6416" t="n">
        <v>0</v>
      </c>
      <c r="O6416" t="n">
        <v>0</v>
      </c>
      <c r="P6416" t="n">
        <v>0</v>
      </c>
      <c r="Q6416" t="n">
        <v>0</v>
      </c>
      <c r="R6416" s="2" t="inlineStr"/>
    </row>
    <row r="6417" ht="15" customHeight="1">
      <c r="A6417" t="inlineStr">
        <is>
          <t>A 6865-2025</t>
        </is>
      </c>
      <c r="B6417" s="1" t="n">
        <v>45701.31962962963</v>
      </c>
      <c r="C6417" s="1" t="n">
        <v>45962</v>
      </c>
      <c r="D6417" t="inlineStr">
        <is>
          <t>JÖNKÖPINGS LÄN</t>
        </is>
      </c>
      <c r="E6417" t="inlineStr">
        <is>
          <t>JÖNKÖPING</t>
        </is>
      </c>
      <c r="G6417" t="n">
        <v>3</v>
      </c>
      <c r="H6417" t="n">
        <v>0</v>
      </c>
      <c r="I6417" t="n">
        <v>0</v>
      </c>
      <c r="J6417" t="n">
        <v>0</v>
      </c>
      <c r="K6417" t="n">
        <v>0</v>
      </c>
      <c r="L6417" t="n">
        <v>0</v>
      </c>
      <c r="M6417" t="n">
        <v>0</v>
      </c>
      <c r="N6417" t="n">
        <v>0</v>
      </c>
      <c r="O6417" t="n">
        <v>0</v>
      </c>
      <c r="P6417" t="n">
        <v>0</v>
      </c>
      <c r="Q6417" t="n">
        <v>0</v>
      </c>
      <c r="R6417" s="2" t="inlineStr"/>
    </row>
    <row r="6418" ht="15" customHeight="1">
      <c r="A6418" t="inlineStr">
        <is>
          <t>A 8988-2025</t>
        </is>
      </c>
      <c r="B6418" s="1" t="n">
        <v>45713.53767361111</v>
      </c>
      <c r="C6418" s="1" t="n">
        <v>45962</v>
      </c>
      <c r="D6418" t="inlineStr">
        <is>
          <t>JÖNKÖPINGS LÄN</t>
        </is>
      </c>
      <c r="E6418" t="inlineStr">
        <is>
          <t>NÄSSJÖ</t>
        </is>
      </c>
      <c r="G6418" t="n">
        <v>1.7</v>
      </c>
      <c r="H6418" t="n">
        <v>0</v>
      </c>
      <c r="I6418" t="n">
        <v>0</v>
      </c>
      <c r="J6418" t="n">
        <v>0</v>
      </c>
      <c r="K6418" t="n">
        <v>0</v>
      </c>
      <c r="L6418" t="n">
        <v>0</v>
      </c>
      <c r="M6418" t="n">
        <v>0</v>
      </c>
      <c r="N6418" t="n">
        <v>0</v>
      </c>
      <c r="O6418" t="n">
        <v>0</v>
      </c>
      <c r="P6418" t="n">
        <v>0</v>
      </c>
      <c r="Q6418" t="n">
        <v>0</v>
      </c>
      <c r="R6418" s="2" t="inlineStr"/>
    </row>
    <row r="6419" ht="15" customHeight="1">
      <c r="A6419" t="inlineStr">
        <is>
          <t>A 37353-2025</t>
        </is>
      </c>
      <c r="B6419" s="1" t="n">
        <v>45876</v>
      </c>
      <c r="C6419" s="1" t="n">
        <v>45962</v>
      </c>
      <c r="D6419" t="inlineStr">
        <is>
          <t>JÖNKÖPINGS LÄN</t>
        </is>
      </c>
      <c r="E6419" t="inlineStr">
        <is>
          <t>VÄRNAMO</t>
        </is>
      </c>
      <c r="G6419" t="n">
        <v>14</v>
      </c>
      <c r="H6419" t="n">
        <v>0</v>
      </c>
      <c r="I6419" t="n">
        <v>0</v>
      </c>
      <c r="J6419" t="n">
        <v>0</v>
      </c>
      <c r="K6419" t="n">
        <v>0</v>
      </c>
      <c r="L6419" t="n">
        <v>0</v>
      </c>
      <c r="M6419" t="n">
        <v>0</v>
      </c>
      <c r="N6419" t="n">
        <v>0</v>
      </c>
      <c r="O6419" t="n">
        <v>0</v>
      </c>
      <c r="P6419" t="n">
        <v>0</v>
      </c>
      <c r="Q6419" t="n">
        <v>0</v>
      </c>
      <c r="R6419" s="2" t="inlineStr"/>
    </row>
    <row r="6420" ht="15" customHeight="1">
      <c r="A6420" t="inlineStr">
        <is>
          <t>A 3899-2025</t>
        </is>
      </c>
      <c r="B6420" s="1" t="n">
        <v>45684.38798611111</v>
      </c>
      <c r="C6420" s="1" t="n">
        <v>45962</v>
      </c>
      <c r="D6420" t="inlineStr">
        <is>
          <t>JÖNKÖPINGS LÄN</t>
        </is>
      </c>
      <c r="E6420" t="inlineStr">
        <is>
          <t>VÄRNAMO</t>
        </is>
      </c>
      <c r="G6420" t="n">
        <v>1.5</v>
      </c>
      <c r="H6420" t="n">
        <v>0</v>
      </c>
      <c r="I6420" t="n">
        <v>0</v>
      </c>
      <c r="J6420" t="n">
        <v>0</v>
      </c>
      <c r="K6420" t="n">
        <v>0</v>
      </c>
      <c r="L6420" t="n">
        <v>0</v>
      </c>
      <c r="M6420" t="n">
        <v>0</v>
      </c>
      <c r="N6420" t="n">
        <v>0</v>
      </c>
      <c r="O6420" t="n">
        <v>0</v>
      </c>
      <c r="P6420" t="n">
        <v>0</v>
      </c>
      <c r="Q6420" t="n">
        <v>0</v>
      </c>
      <c r="R6420" s="2" t="inlineStr"/>
    </row>
    <row r="6421" ht="15" customHeight="1">
      <c r="A6421" t="inlineStr">
        <is>
          <t>A 3901-2025</t>
        </is>
      </c>
      <c r="B6421" s="1" t="n">
        <v>45684.39041666667</v>
      </c>
      <c r="C6421" s="1" t="n">
        <v>45962</v>
      </c>
      <c r="D6421" t="inlineStr">
        <is>
          <t>JÖNKÖPINGS LÄN</t>
        </is>
      </c>
      <c r="E6421" t="inlineStr">
        <is>
          <t>VÄRNAMO</t>
        </is>
      </c>
      <c r="G6421" t="n">
        <v>10</v>
      </c>
      <c r="H6421" t="n">
        <v>0</v>
      </c>
      <c r="I6421" t="n">
        <v>0</v>
      </c>
      <c r="J6421" t="n">
        <v>0</v>
      </c>
      <c r="K6421" t="n">
        <v>0</v>
      </c>
      <c r="L6421" t="n">
        <v>0</v>
      </c>
      <c r="M6421" t="n">
        <v>0</v>
      </c>
      <c r="N6421" t="n">
        <v>0</v>
      </c>
      <c r="O6421" t="n">
        <v>0</v>
      </c>
      <c r="P6421" t="n">
        <v>0</v>
      </c>
      <c r="Q6421" t="n">
        <v>0</v>
      </c>
      <c r="R6421" s="2" t="inlineStr"/>
    </row>
    <row r="6422" ht="15" customHeight="1">
      <c r="A6422" t="inlineStr">
        <is>
          <t>A 16643-2025</t>
        </is>
      </c>
      <c r="B6422" s="1" t="n">
        <v>45754.37872685185</v>
      </c>
      <c r="C6422" s="1" t="n">
        <v>45962</v>
      </c>
      <c r="D6422" t="inlineStr">
        <is>
          <t>JÖNKÖPINGS LÄN</t>
        </is>
      </c>
      <c r="E6422" t="inlineStr">
        <is>
          <t>VAGGERYD</t>
        </is>
      </c>
      <c r="G6422" t="n">
        <v>2.2</v>
      </c>
      <c r="H6422" t="n">
        <v>0</v>
      </c>
      <c r="I6422" t="n">
        <v>0</v>
      </c>
      <c r="J6422" t="n">
        <v>0</v>
      </c>
      <c r="K6422" t="n">
        <v>0</v>
      </c>
      <c r="L6422" t="n">
        <v>0</v>
      </c>
      <c r="M6422" t="n">
        <v>0</v>
      </c>
      <c r="N6422" t="n">
        <v>0</v>
      </c>
      <c r="O6422" t="n">
        <v>0</v>
      </c>
      <c r="P6422" t="n">
        <v>0</v>
      </c>
      <c r="Q6422" t="n">
        <v>0</v>
      </c>
      <c r="R6422" s="2" t="inlineStr"/>
    </row>
    <row r="6423" ht="15" customHeight="1">
      <c r="A6423" t="inlineStr">
        <is>
          <t>A 39363-2025</t>
        </is>
      </c>
      <c r="B6423" s="1" t="n">
        <v>45889.56239583333</v>
      </c>
      <c r="C6423" s="1" t="n">
        <v>45962</v>
      </c>
      <c r="D6423" t="inlineStr">
        <is>
          <t>JÖNKÖPINGS LÄN</t>
        </is>
      </c>
      <c r="E6423" t="inlineStr">
        <is>
          <t>VÄRNAMO</t>
        </is>
      </c>
      <c r="G6423" t="n">
        <v>1.5</v>
      </c>
      <c r="H6423" t="n">
        <v>0</v>
      </c>
      <c r="I6423" t="n">
        <v>0</v>
      </c>
      <c r="J6423" t="n">
        <v>0</v>
      </c>
      <c r="K6423" t="n">
        <v>0</v>
      </c>
      <c r="L6423" t="n">
        <v>0</v>
      </c>
      <c r="M6423" t="n">
        <v>0</v>
      </c>
      <c r="N6423" t="n">
        <v>0</v>
      </c>
      <c r="O6423" t="n">
        <v>0</v>
      </c>
      <c r="P6423" t="n">
        <v>0</v>
      </c>
      <c r="Q6423" t="n">
        <v>0</v>
      </c>
      <c r="R6423" s="2" t="inlineStr"/>
    </row>
    <row r="6424" ht="15" customHeight="1">
      <c r="A6424" t="inlineStr">
        <is>
          <t>A 47691-2025</t>
        </is>
      </c>
      <c r="B6424" s="1" t="n">
        <v>45931.59466435185</v>
      </c>
      <c r="C6424" s="1" t="n">
        <v>45962</v>
      </c>
      <c r="D6424" t="inlineStr">
        <is>
          <t>JÖNKÖPINGS LÄN</t>
        </is>
      </c>
      <c r="E6424" t="inlineStr">
        <is>
          <t>GISLAVED</t>
        </is>
      </c>
      <c r="G6424" t="n">
        <v>2.3</v>
      </c>
      <c r="H6424" t="n">
        <v>0</v>
      </c>
      <c r="I6424" t="n">
        <v>0</v>
      </c>
      <c r="J6424" t="n">
        <v>0</v>
      </c>
      <c r="K6424" t="n">
        <v>0</v>
      </c>
      <c r="L6424" t="n">
        <v>0</v>
      </c>
      <c r="M6424" t="n">
        <v>0</v>
      </c>
      <c r="N6424" t="n">
        <v>0</v>
      </c>
      <c r="O6424" t="n">
        <v>0</v>
      </c>
      <c r="P6424" t="n">
        <v>0</v>
      </c>
      <c r="Q6424" t="n">
        <v>0</v>
      </c>
      <c r="R6424" s="2" t="inlineStr"/>
    </row>
    <row r="6425" ht="15" customHeight="1">
      <c r="A6425" t="inlineStr">
        <is>
          <t>A 39268-2025</t>
        </is>
      </c>
      <c r="B6425" s="1" t="n">
        <v>45889.37665509259</v>
      </c>
      <c r="C6425" s="1" t="n">
        <v>45962</v>
      </c>
      <c r="D6425" t="inlineStr">
        <is>
          <t>JÖNKÖPINGS LÄN</t>
        </is>
      </c>
      <c r="E6425" t="inlineStr">
        <is>
          <t>VETLANDA</t>
        </is>
      </c>
      <c r="G6425" t="n">
        <v>0.7</v>
      </c>
      <c r="H6425" t="n">
        <v>0</v>
      </c>
      <c r="I6425" t="n">
        <v>0</v>
      </c>
      <c r="J6425" t="n">
        <v>0</v>
      </c>
      <c r="K6425" t="n">
        <v>0</v>
      </c>
      <c r="L6425" t="n">
        <v>0</v>
      </c>
      <c r="M6425" t="n">
        <v>0</v>
      </c>
      <c r="N6425" t="n">
        <v>0</v>
      </c>
      <c r="O6425" t="n">
        <v>0</v>
      </c>
      <c r="P6425" t="n">
        <v>0</v>
      </c>
      <c r="Q6425" t="n">
        <v>0</v>
      </c>
      <c r="R6425" s="2" t="inlineStr"/>
    </row>
    <row r="6426" ht="15" customHeight="1">
      <c r="A6426" t="inlineStr">
        <is>
          <t>A 37293-2025</t>
        </is>
      </c>
      <c r="B6426" s="1" t="n">
        <v>45876.53638888889</v>
      </c>
      <c r="C6426" s="1" t="n">
        <v>45962</v>
      </c>
      <c r="D6426" t="inlineStr">
        <is>
          <t>JÖNKÖPINGS LÄN</t>
        </is>
      </c>
      <c r="E6426" t="inlineStr">
        <is>
          <t>VÄRNAMO</t>
        </is>
      </c>
      <c r="G6426" t="n">
        <v>3.7</v>
      </c>
      <c r="H6426" t="n">
        <v>0</v>
      </c>
      <c r="I6426" t="n">
        <v>0</v>
      </c>
      <c r="J6426" t="n">
        <v>0</v>
      </c>
      <c r="K6426" t="n">
        <v>0</v>
      </c>
      <c r="L6426" t="n">
        <v>0</v>
      </c>
      <c r="M6426" t="n">
        <v>0</v>
      </c>
      <c r="N6426" t="n">
        <v>0</v>
      </c>
      <c r="O6426" t="n">
        <v>0</v>
      </c>
      <c r="P6426" t="n">
        <v>0</v>
      </c>
      <c r="Q6426" t="n">
        <v>0</v>
      </c>
      <c r="R6426" s="2" t="inlineStr"/>
    </row>
    <row r="6427" ht="15" customHeight="1">
      <c r="A6427" t="inlineStr">
        <is>
          <t>A 62629-2023</t>
        </is>
      </c>
      <c r="B6427" s="1" t="n">
        <v>45271</v>
      </c>
      <c r="C6427" s="1" t="n">
        <v>45962</v>
      </c>
      <c r="D6427" t="inlineStr">
        <is>
          <t>JÖNKÖPINGS LÄN</t>
        </is>
      </c>
      <c r="E6427" t="inlineStr">
        <is>
          <t>JÖNKÖPING</t>
        </is>
      </c>
      <c r="G6427" t="n">
        <v>1</v>
      </c>
      <c r="H6427" t="n">
        <v>0</v>
      </c>
      <c r="I6427" t="n">
        <v>0</v>
      </c>
      <c r="J6427" t="n">
        <v>0</v>
      </c>
      <c r="K6427" t="n">
        <v>0</v>
      </c>
      <c r="L6427" t="n">
        <v>0</v>
      </c>
      <c r="M6427" t="n">
        <v>0</v>
      </c>
      <c r="N6427" t="n">
        <v>0</v>
      </c>
      <c r="O6427" t="n">
        <v>0</v>
      </c>
      <c r="P6427" t="n">
        <v>0</v>
      </c>
      <c r="Q6427" t="n">
        <v>0</v>
      </c>
      <c r="R6427" s="2" t="inlineStr"/>
    </row>
    <row r="6428" ht="15" customHeight="1">
      <c r="A6428" t="inlineStr">
        <is>
          <t>A 37400-2025</t>
        </is>
      </c>
      <c r="B6428" s="1" t="n">
        <v>45877.43789351852</v>
      </c>
      <c r="C6428" s="1" t="n">
        <v>45962</v>
      </c>
      <c r="D6428" t="inlineStr">
        <is>
          <t>JÖNKÖPINGS LÄN</t>
        </is>
      </c>
      <c r="E6428" t="inlineStr">
        <is>
          <t>VÄRNAMO</t>
        </is>
      </c>
      <c r="G6428" t="n">
        <v>3.2</v>
      </c>
      <c r="H6428" t="n">
        <v>0</v>
      </c>
      <c r="I6428" t="n">
        <v>0</v>
      </c>
      <c r="J6428" t="n">
        <v>0</v>
      </c>
      <c r="K6428" t="n">
        <v>0</v>
      </c>
      <c r="L6428" t="n">
        <v>0</v>
      </c>
      <c r="M6428" t="n">
        <v>0</v>
      </c>
      <c r="N6428" t="n">
        <v>0</v>
      </c>
      <c r="O6428" t="n">
        <v>0</v>
      </c>
      <c r="P6428" t="n">
        <v>0</v>
      </c>
      <c r="Q6428" t="n">
        <v>0</v>
      </c>
      <c r="R6428" s="2" t="inlineStr"/>
    </row>
    <row r="6429" ht="15" customHeight="1">
      <c r="A6429" t="inlineStr">
        <is>
          <t>A 39014-2025</t>
        </is>
      </c>
      <c r="B6429" s="1" t="n">
        <v>45888.36394675926</v>
      </c>
      <c r="C6429" s="1" t="n">
        <v>45962</v>
      </c>
      <c r="D6429" t="inlineStr">
        <is>
          <t>JÖNKÖPINGS LÄN</t>
        </is>
      </c>
      <c r="E6429" t="inlineStr">
        <is>
          <t>GISLAVED</t>
        </is>
      </c>
      <c r="G6429" t="n">
        <v>7.2</v>
      </c>
      <c r="H6429" t="n">
        <v>0</v>
      </c>
      <c r="I6429" t="n">
        <v>0</v>
      </c>
      <c r="J6429" t="n">
        <v>0</v>
      </c>
      <c r="K6429" t="n">
        <v>0</v>
      </c>
      <c r="L6429" t="n">
        <v>0</v>
      </c>
      <c r="M6429" t="n">
        <v>0</v>
      </c>
      <c r="N6429" t="n">
        <v>0</v>
      </c>
      <c r="O6429" t="n">
        <v>0</v>
      </c>
      <c r="P6429" t="n">
        <v>0</v>
      </c>
      <c r="Q6429" t="n">
        <v>0</v>
      </c>
      <c r="R6429" s="2" t="inlineStr"/>
    </row>
    <row r="6430" ht="15" customHeight="1">
      <c r="A6430" t="inlineStr">
        <is>
          <t>A 39016-2025</t>
        </is>
      </c>
      <c r="B6430" s="1" t="n">
        <v>45888.36689814815</v>
      </c>
      <c r="C6430" s="1" t="n">
        <v>45962</v>
      </c>
      <c r="D6430" t="inlineStr">
        <is>
          <t>JÖNKÖPINGS LÄN</t>
        </is>
      </c>
      <c r="E6430" t="inlineStr">
        <is>
          <t>VETLANDA</t>
        </is>
      </c>
      <c r="G6430" t="n">
        <v>0.8</v>
      </c>
      <c r="H6430" t="n">
        <v>0</v>
      </c>
      <c r="I6430" t="n">
        <v>0</v>
      </c>
      <c r="J6430" t="n">
        <v>0</v>
      </c>
      <c r="K6430" t="n">
        <v>0</v>
      </c>
      <c r="L6430" t="n">
        <v>0</v>
      </c>
      <c r="M6430" t="n">
        <v>0</v>
      </c>
      <c r="N6430" t="n">
        <v>0</v>
      </c>
      <c r="O6430" t="n">
        <v>0</v>
      </c>
      <c r="P6430" t="n">
        <v>0</v>
      </c>
      <c r="Q6430" t="n">
        <v>0</v>
      </c>
      <c r="R6430" s="2" t="inlineStr"/>
    </row>
    <row r="6431" ht="15" customHeight="1">
      <c r="A6431" t="inlineStr">
        <is>
          <t>A 30364-2023</t>
        </is>
      </c>
      <c r="B6431" s="1" t="n">
        <v>45111.42782407408</v>
      </c>
      <c r="C6431" s="1" t="n">
        <v>45962</v>
      </c>
      <c r="D6431" t="inlineStr">
        <is>
          <t>JÖNKÖPINGS LÄN</t>
        </is>
      </c>
      <c r="E6431" t="inlineStr">
        <is>
          <t>SÄVSJÖ</t>
        </is>
      </c>
      <c r="G6431" t="n">
        <v>0.7</v>
      </c>
      <c r="H6431" t="n">
        <v>0</v>
      </c>
      <c r="I6431" t="n">
        <v>0</v>
      </c>
      <c r="J6431" t="n">
        <v>0</v>
      </c>
      <c r="K6431" t="n">
        <v>0</v>
      </c>
      <c r="L6431" t="n">
        <v>0</v>
      </c>
      <c r="M6431" t="n">
        <v>0</v>
      </c>
      <c r="N6431" t="n">
        <v>0</v>
      </c>
      <c r="O6431" t="n">
        <v>0</v>
      </c>
      <c r="P6431" t="n">
        <v>0</v>
      </c>
      <c r="Q6431" t="n">
        <v>0</v>
      </c>
      <c r="R6431" s="2" t="inlineStr"/>
    </row>
    <row r="6432" ht="15" customHeight="1">
      <c r="A6432" t="inlineStr">
        <is>
          <t>A 37427-2025</t>
        </is>
      </c>
      <c r="B6432" s="1" t="n">
        <v>45877.49123842592</v>
      </c>
      <c r="C6432" s="1" t="n">
        <v>45962</v>
      </c>
      <c r="D6432" t="inlineStr">
        <is>
          <t>JÖNKÖPINGS LÄN</t>
        </is>
      </c>
      <c r="E6432" t="inlineStr">
        <is>
          <t>MULLSJÖ</t>
        </is>
      </c>
      <c r="G6432" t="n">
        <v>2.8</v>
      </c>
      <c r="H6432" t="n">
        <v>0</v>
      </c>
      <c r="I6432" t="n">
        <v>0</v>
      </c>
      <c r="J6432" t="n">
        <v>0</v>
      </c>
      <c r="K6432" t="n">
        <v>0</v>
      </c>
      <c r="L6432" t="n">
        <v>0</v>
      </c>
      <c r="M6432" t="n">
        <v>0</v>
      </c>
      <c r="N6432" t="n">
        <v>0</v>
      </c>
      <c r="O6432" t="n">
        <v>0</v>
      </c>
      <c r="P6432" t="n">
        <v>0</v>
      </c>
      <c r="Q6432" t="n">
        <v>0</v>
      </c>
      <c r="R6432" s="2" t="inlineStr"/>
    </row>
    <row r="6433" ht="15" customHeight="1">
      <c r="A6433" t="inlineStr">
        <is>
          <t>A 39350-2025</t>
        </is>
      </c>
      <c r="B6433" s="1" t="n">
        <v>45889.54409722222</v>
      </c>
      <c r="C6433" s="1" t="n">
        <v>45962</v>
      </c>
      <c r="D6433" t="inlineStr">
        <is>
          <t>JÖNKÖPINGS LÄN</t>
        </is>
      </c>
      <c r="E6433" t="inlineStr">
        <is>
          <t>VETLANDA</t>
        </is>
      </c>
      <c r="G6433" t="n">
        <v>0.9</v>
      </c>
      <c r="H6433" t="n">
        <v>0</v>
      </c>
      <c r="I6433" t="n">
        <v>0</v>
      </c>
      <c r="J6433" t="n">
        <v>0</v>
      </c>
      <c r="K6433" t="n">
        <v>0</v>
      </c>
      <c r="L6433" t="n">
        <v>0</v>
      </c>
      <c r="M6433" t="n">
        <v>0</v>
      </c>
      <c r="N6433" t="n">
        <v>0</v>
      </c>
      <c r="O6433" t="n">
        <v>0</v>
      </c>
      <c r="P6433" t="n">
        <v>0</v>
      </c>
      <c r="Q6433" t="n">
        <v>0</v>
      </c>
      <c r="R6433" s="2" t="inlineStr"/>
    </row>
    <row r="6434" ht="15" customHeight="1">
      <c r="A6434" t="inlineStr">
        <is>
          <t>A 39408-2025</t>
        </is>
      </c>
      <c r="B6434" s="1" t="n">
        <v>45889.64594907407</v>
      </c>
      <c r="C6434" s="1" t="n">
        <v>45962</v>
      </c>
      <c r="D6434" t="inlineStr">
        <is>
          <t>JÖNKÖPINGS LÄN</t>
        </is>
      </c>
      <c r="E6434" t="inlineStr">
        <is>
          <t>GISLAVED</t>
        </is>
      </c>
      <c r="G6434" t="n">
        <v>1.8</v>
      </c>
      <c r="H6434" t="n">
        <v>0</v>
      </c>
      <c r="I6434" t="n">
        <v>0</v>
      </c>
      <c r="J6434" t="n">
        <v>0</v>
      </c>
      <c r="K6434" t="n">
        <v>0</v>
      </c>
      <c r="L6434" t="n">
        <v>0</v>
      </c>
      <c r="M6434" t="n">
        <v>0</v>
      </c>
      <c r="N6434" t="n">
        <v>0</v>
      </c>
      <c r="O6434" t="n">
        <v>0</v>
      </c>
      <c r="P6434" t="n">
        <v>0</v>
      </c>
      <c r="Q6434" t="n">
        <v>0</v>
      </c>
      <c r="R6434" s="2" t="inlineStr"/>
    </row>
    <row r="6435" ht="15" customHeight="1">
      <c r="A6435" t="inlineStr">
        <is>
          <t>A 22101-2025</t>
        </is>
      </c>
      <c r="B6435" s="1" t="n">
        <v>45785.48119212963</v>
      </c>
      <c r="C6435" s="1" t="n">
        <v>45962</v>
      </c>
      <c r="D6435" t="inlineStr">
        <is>
          <t>JÖNKÖPINGS LÄN</t>
        </is>
      </c>
      <c r="E6435" t="inlineStr">
        <is>
          <t>VÄRNAMO</t>
        </is>
      </c>
      <c r="G6435" t="n">
        <v>1.3</v>
      </c>
      <c r="H6435" t="n">
        <v>0</v>
      </c>
      <c r="I6435" t="n">
        <v>0</v>
      </c>
      <c r="J6435" t="n">
        <v>0</v>
      </c>
      <c r="K6435" t="n">
        <v>0</v>
      </c>
      <c r="L6435" t="n">
        <v>0</v>
      </c>
      <c r="M6435" t="n">
        <v>0</v>
      </c>
      <c r="N6435" t="n">
        <v>0</v>
      </c>
      <c r="O6435" t="n">
        <v>0</v>
      </c>
      <c r="P6435" t="n">
        <v>0</v>
      </c>
      <c r="Q6435" t="n">
        <v>0</v>
      </c>
      <c r="R6435" s="2" t="inlineStr"/>
    </row>
    <row r="6436" ht="15" customHeight="1">
      <c r="A6436" t="inlineStr">
        <is>
          <t>A 45281-2025</t>
        </is>
      </c>
      <c r="B6436" s="1" t="n">
        <v>45919.75368055556</v>
      </c>
      <c r="C6436" s="1" t="n">
        <v>45962</v>
      </c>
      <c r="D6436" t="inlineStr">
        <is>
          <t>JÖNKÖPINGS LÄN</t>
        </is>
      </c>
      <c r="E6436" t="inlineStr">
        <is>
          <t>VETLANDA</t>
        </is>
      </c>
      <c r="G6436" t="n">
        <v>1.1</v>
      </c>
      <c r="H6436" t="n">
        <v>0</v>
      </c>
      <c r="I6436" t="n">
        <v>0</v>
      </c>
      <c r="J6436" t="n">
        <v>0</v>
      </c>
      <c r="K6436" t="n">
        <v>0</v>
      </c>
      <c r="L6436" t="n">
        <v>0</v>
      </c>
      <c r="M6436" t="n">
        <v>0</v>
      </c>
      <c r="N6436" t="n">
        <v>0</v>
      </c>
      <c r="O6436" t="n">
        <v>0</v>
      </c>
      <c r="P6436" t="n">
        <v>0</v>
      </c>
      <c r="Q6436" t="n">
        <v>0</v>
      </c>
      <c r="R6436" s="2" t="inlineStr"/>
    </row>
    <row r="6437" ht="15" customHeight="1">
      <c r="A6437" t="inlineStr">
        <is>
          <t>A 38978-2025</t>
        </is>
      </c>
      <c r="B6437" s="1" t="n">
        <v>45887.80711805556</v>
      </c>
      <c r="C6437" s="1" t="n">
        <v>45962</v>
      </c>
      <c r="D6437" t="inlineStr">
        <is>
          <t>JÖNKÖPINGS LÄN</t>
        </is>
      </c>
      <c r="E6437" t="inlineStr">
        <is>
          <t>GISLAVED</t>
        </is>
      </c>
      <c r="G6437" t="n">
        <v>0.9</v>
      </c>
      <c r="H6437" t="n">
        <v>0</v>
      </c>
      <c r="I6437" t="n">
        <v>0</v>
      </c>
      <c r="J6437" t="n">
        <v>0</v>
      </c>
      <c r="K6437" t="n">
        <v>0</v>
      </c>
      <c r="L6437" t="n">
        <v>0</v>
      </c>
      <c r="M6437" t="n">
        <v>0</v>
      </c>
      <c r="N6437" t="n">
        <v>0</v>
      </c>
      <c r="O6437" t="n">
        <v>0</v>
      </c>
      <c r="P6437" t="n">
        <v>0</v>
      </c>
      <c r="Q6437" t="n">
        <v>0</v>
      </c>
      <c r="R6437" s="2" t="inlineStr"/>
    </row>
    <row r="6438" ht="15" customHeight="1">
      <c r="A6438" t="inlineStr">
        <is>
          <t>A 37514-2025</t>
        </is>
      </c>
      <c r="B6438" s="1" t="n">
        <v>45877.70844907407</v>
      </c>
      <c r="C6438" s="1" t="n">
        <v>45962</v>
      </c>
      <c r="D6438" t="inlineStr">
        <is>
          <t>JÖNKÖPINGS LÄN</t>
        </is>
      </c>
      <c r="E6438" t="inlineStr">
        <is>
          <t>VAGGERYD</t>
        </is>
      </c>
      <c r="G6438" t="n">
        <v>2.6</v>
      </c>
      <c r="H6438" t="n">
        <v>0</v>
      </c>
      <c r="I6438" t="n">
        <v>0</v>
      </c>
      <c r="J6438" t="n">
        <v>0</v>
      </c>
      <c r="K6438" t="n">
        <v>0</v>
      </c>
      <c r="L6438" t="n">
        <v>0</v>
      </c>
      <c r="M6438" t="n">
        <v>0</v>
      </c>
      <c r="N6438" t="n">
        <v>0</v>
      </c>
      <c r="O6438" t="n">
        <v>0</v>
      </c>
      <c r="P6438" t="n">
        <v>0</v>
      </c>
      <c r="Q6438" t="n">
        <v>0</v>
      </c>
      <c r="R6438" s="2" t="inlineStr"/>
    </row>
    <row r="6439" ht="15" customHeight="1">
      <c r="A6439" t="inlineStr">
        <is>
          <t>A 34099-2023</t>
        </is>
      </c>
      <c r="B6439" s="1" t="n">
        <v>45135.5902662037</v>
      </c>
      <c r="C6439" s="1" t="n">
        <v>45962</v>
      </c>
      <c r="D6439" t="inlineStr">
        <is>
          <t>JÖNKÖPINGS LÄN</t>
        </is>
      </c>
      <c r="E6439" t="inlineStr">
        <is>
          <t>VETLANDA</t>
        </is>
      </c>
      <c r="G6439" t="n">
        <v>3.6</v>
      </c>
      <c r="H6439" t="n">
        <v>0</v>
      </c>
      <c r="I6439" t="n">
        <v>0</v>
      </c>
      <c r="J6439" t="n">
        <v>0</v>
      </c>
      <c r="K6439" t="n">
        <v>0</v>
      </c>
      <c r="L6439" t="n">
        <v>0</v>
      </c>
      <c r="M6439" t="n">
        <v>0</v>
      </c>
      <c r="N6439" t="n">
        <v>0</v>
      </c>
      <c r="O6439" t="n">
        <v>0</v>
      </c>
      <c r="P6439" t="n">
        <v>0</v>
      </c>
      <c r="Q6439" t="n">
        <v>0</v>
      </c>
      <c r="R6439" s="2" t="inlineStr"/>
    </row>
    <row r="6440" ht="15" customHeight="1">
      <c r="A6440" t="inlineStr">
        <is>
          <t>A 39047-2025</t>
        </is>
      </c>
      <c r="B6440" s="1" t="n">
        <v>45888.44077546296</v>
      </c>
      <c r="C6440" s="1" t="n">
        <v>45962</v>
      </c>
      <c r="D6440" t="inlineStr">
        <is>
          <t>JÖNKÖPINGS LÄN</t>
        </is>
      </c>
      <c r="E6440" t="inlineStr">
        <is>
          <t>TRANÅS</t>
        </is>
      </c>
      <c r="G6440" t="n">
        <v>1.2</v>
      </c>
      <c r="H6440" t="n">
        <v>0</v>
      </c>
      <c r="I6440" t="n">
        <v>0</v>
      </c>
      <c r="J6440" t="n">
        <v>0</v>
      </c>
      <c r="K6440" t="n">
        <v>0</v>
      </c>
      <c r="L6440" t="n">
        <v>0</v>
      </c>
      <c r="M6440" t="n">
        <v>0</v>
      </c>
      <c r="N6440" t="n">
        <v>0</v>
      </c>
      <c r="O6440" t="n">
        <v>0</v>
      </c>
      <c r="P6440" t="n">
        <v>0</v>
      </c>
      <c r="Q6440" t="n">
        <v>0</v>
      </c>
      <c r="R6440" s="2" t="inlineStr"/>
    </row>
    <row r="6441" ht="15" customHeight="1">
      <c r="A6441" t="inlineStr">
        <is>
          <t>A 35115-2021</t>
        </is>
      </c>
      <c r="B6441" s="1" t="n">
        <v>44384</v>
      </c>
      <c r="C6441" s="1" t="n">
        <v>45962</v>
      </c>
      <c r="D6441" t="inlineStr">
        <is>
          <t>JÖNKÖPINGS LÄN</t>
        </is>
      </c>
      <c r="E6441" t="inlineStr">
        <is>
          <t>HABO</t>
        </is>
      </c>
      <c r="G6441" t="n">
        <v>8.4</v>
      </c>
      <c r="H6441" t="n">
        <v>0</v>
      </c>
      <c r="I6441" t="n">
        <v>0</v>
      </c>
      <c r="J6441" t="n">
        <v>0</v>
      </c>
      <c r="K6441" t="n">
        <v>0</v>
      </c>
      <c r="L6441" t="n">
        <v>0</v>
      </c>
      <c r="M6441" t="n">
        <v>0</v>
      </c>
      <c r="N6441" t="n">
        <v>0</v>
      </c>
      <c r="O6441" t="n">
        <v>0</v>
      </c>
      <c r="P6441" t="n">
        <v>0</v>
      </c>
      <c r="Q6441" t="n">
        <v>0</v>
      </c>
      <c r="R6441" s="2" t="inlineStr"/>
    </row>
    <row r="6442" ht="15" customHeight="1">
      <c r="A6442" t="inlineStr">
        <is>
          <t>A 46062-2024</t>
        </is>
      </c>
      <c r="B6442" s="1" t="n">
        <v>45580.94521990741</v>
      </c>
      <c r="C6442" s="1" t="n">
        <v>45962</v>
      </c>
      <c r="D6442" t="inlineStr">
        <is>
          <t>JÖNKÖPINGS LÄN</t>
        </is>
      </c>
      <c r="E6442" t="inlineStr">
        <is>
          <t>HABO</t>
        </is>
      </c>
      <c r="G6442" t="n">
        <v>1</v>
      </c>
      <c r="H6442" t="n">
        <v>0</v>
      </c>
      <c r="I6442" t="n">
        <v>0</v>
      </c>
      <c r="J6442" t="n">
        <v>0</v>
      </c>
      <c r="K6442" t="n">
        <v>0</v>
      </c>
      <c r="L6442" t="n">
        <v>0</v>
      </c>
      <c r="M6442" t="n">
        <v>0</v>
      </c>
      <c r="N6442" t="n">
        <v>0</v>
      </c>
      <c r="O6442" t="n">
        <v>0</v>
      </c>
      <c r="P6442" t="n">
        <v>0</v>
      </c>
      <c r="Q6442" t="n">
        <v>0</v>
      </c>
      <c r="R6442" s="2" t="inlineStr"/>
    </row>
    <row r="6443" ht="15" customHeight="1">
      <c r="A6443" t="inlineStr">
        <is>
          <t>A 5372-2023</t>
        </is>
      </c>
      <c r="B6443" s="1" t="n">
        <v>44959</v>
      </c>
      <c r="C6443" s="1" t="n">
        <v>45962</v>
      </c>
      <c r="D6443" t="inlineStr">
        <is>
          <t>JÖNKÖPINGS LÄN</t>
        </is>
      </c>
      <c r="E6443" t="inlineStr">
        <is>
          <t>ANEBY</t>
        </is>
      </c>
      <c r="G6443" t="n">
        <v>2</v>
      </c>
      <c r="H6443" t="n">
        <v>0</v>
      </c>
      <c r="I6443" t="n">
        <v>0</v>
      </c>
      <c r="J6443" t="n">
        <v>0</v>
      </c>
      <c r="K6443" t="n">
        <v>0</v>
      </c>
      <c r="L6443" t="n">
        <v>0</v>
      </c>
      <c r="M6443" t="n">
        <v>0</v>
      </c>
      <c r="N6443" t="n">
        <v>0</v>
      </c>
      <c r="O6443" t="n">
        <v>0</v>
      </c>
      <c r="P6443" t="n">
        <v>0</v>
      </c>
      <c r="Q6443" t="n">
        <v>0</v>
      </c>
      <c r="R6443" s="2" t="inlineStr"/>
    </row>
    <row r="6444" ht="15" customHeight="1">
      <c r="A6444" t="inlineStr">
        <is>
          <t>A 39990-2025</t>
        </is>
      </c>
      <c r="B6444" s="1" t="n">
        <v>45891</v>
      </c>
      <c r="C6444" s="1" t="n">
        <v>45962</v>
      </c>
      <c r="D6444" t="inlineStr">
        <is>
          <t>JÖNKÖPINGS LÄN</t>
        </is>
      </c>
      <c r="E6444" t="inlineStr">
        <is>
          <t>VETLANDA</t>
        </is>
      </c>
      <c r="G6444" t="n">
        <v>0.9</v>
      </c>
      <c r="H6444" t="n">
        <v>0</v>
      </c>
      <c r="I6444" t="n">
        <v>0</v>
      </c>
      <c r="J6444" t="n">
        <v>0</v>
      </c>
      <c r="K6444" t="n">
        <v>0</v>
      </c>
      <c r="L6444" t="n">
        <v>0</v>
      </c>
      <c r="M6444" t="n">
        <v>0</v>
      </c>
      <c r="N6444" t="n">
        <v>0</v>
      </c>
      <c r="O6444" t="n">
        <v>0</v>
      </c>
      <c r="P6444" t="n">
        <v>0</v>
      </c>
      <c r="Q6444" t="n">
        <v>0</v>
      </c>
      <c r="R6444" s="2" t="inlineStr"/>
    </row>
    <row r="6445" ht="15" customHeight="1">
      <c r="A6445" t="inlineStr">
        <is>
          <t>A 6389-2023</t>
        </is>
      </c>
      <c r="B6445" s="1" t="n">
        <v>44965</v>
      </c>
      <c r="C6445" s="1" t="n">
        <v>45962</v>
      </c>
      <c r="D6445" t="inlineStr">
        <is>
          <t>JÖNKÖPINGS LÄN</t>
        </is>
      </c>
      <c r="E6445" t="inlineStr">
        <is>
          <t>VAGGERYD</t>
        </is>
      </c>
      <c r="G6445" t="n">
        <v>2.8</v>
      </c>
      <c r="H6445" t="n">
        <v>0</v>
      </c>
      <c r="I6445" t="n">
        <v>0</v>
      </c>
      <c r="J6445" t="n">
        <v>0</v>
      </c>
      <c r="K6445" t="n">
        <v>0</v>
      </c>
      <c r="L6445" t="n">
        <v>0</v>
      </c>
      <c r="M6445" t="n">
        <v>0</v>
      </c>
      <c r="N6445" t="n">
        <v>0</v>
      </c>
      <c r="O6445" t="n">
        <v>0</v>
      </c>
      <c r="P6445" t="n">
        <v>0</v>
      </c>
      <c r="Q6445" t="n">
        <v>0</v>
      </c>
      <c r="R6445" s="2" t="inlineStr"/>
    </row>
    <row r="6446" ht="15" customHeight="1">
      <c r="A6446" t="inlineStr">
        <is>
          <t>A 57211-2023</t>
        </is>
      </c>
      <c r="B6446" s="1" t="n">
        <v>45245.48828703703</v>
      </c>
      <c r="C6446" s="1" t="n">
        <v>45962</v>
      </c>
      <c r="D6446" t="inlineStr">
        <is>
          <t>JÖNKÖPINGS LÄN</t>
        </is>
      </c>
      <c r="E6446" t="inlineStr">
        <is>
          <t>VETLANDA</t>
        </is>
      </c>
      <c r="G6446" t="n">
        <v>0.6</v>
      </c>
      <c r="H6446" t="n">
        <v>0</v>
      </c>
      <c r="I6446" t="n">
        <v>0</v>
      </c>
      <c r="J6446" t="n">
        <v>0</v>
      </c>
      <c r="K6446" t="n">
        <v>0</v>
      </c>
      <c r="L6446" t="n">
        <v>0</v>
      </c>
      <c r="M6446" t="n">
        <v>0</v>
      </c>
      <c r="N6446" t="n">
        <v>0</v>
      </c>
      <c r="O6446" t="n">
        <v>0</v>
      </c>
      <c r="P6446" t="n">
        <v>0</v>
      </c>
      <c r="Q6446" t="n">
        <v>0</v>
      </c>
      <c r="R6446" s="2" t="inlineStr"/>
    </row>
    <row r="6447" ht="15" customHeight="1">
      <c r="A6447" t="inlineStr">
        <is>
          <t>A 37433-2025</t>
        </is>
      </c>
      <c r="B6447" s="1" t="n">
        <v>45877.51883101852</v>
      </c>
      <c r="C6447" s="1" t="n">
        <v>45962</v>
      </c>
      <c r="D6447" t="inlineStr">
        <is>
          <t>JÖNKÖPINGS LÄN</t>
        </is>
      </c>
      <c r="E6447" t="inlineStr">
        <is>
          <t>VETLANDA</t>
        </is>
      </c>
      <c r="G6447" t="n">
        <v>1.6</v>
      </c>
      <c r="H6447" t="n">
        <v>0</v>
      </c>
      <c r="I6447" t="n">
        <v>0</v>
      </c>
      <c r="J6447" t="n">
        <v>0</v>
      </c>
      <c r="K6447" t="n">
        <v>0</v>
      </c>
      <c r="L6447" t="n">
        <v>0</v>
      </c>
      <c r="M6447" t="n">
        <v>0</v>
      </c>
      <c r="N6447" t="n">
        <v>0</v>
      </c>
      <c r="O6447" t="n">
        <v>0</v>
      </c>
      <c r="P6447" t="n">
        <v>0</v>
      </c>
      <c r="Q6447" t="n">
        <v>0</v>
      </c>
      <c r="R6447" s="2" t="inlineStr"/>
    </row>
    <row r="6448" ht="15" customHeight="1">
      <c r="A6448" t="inlineStr">
        <is>
          <t>A 37250-2025</t>
        </is>
      </c>
      <c r="B6448" s="1" t="n">
        <v>45876.41993055555</v>
      </c>
      <c r="C6448" s="1" t="n">
        <v>45962</v>
      </c>
      <c r="D6448" t="inlineStr">
        <is>
          <t>JÖNKÖPINGS LÄN</t>
        </is>
      </c>
      <c r="E6448" t="inlineStr">
        <is>
          <t>GISLAVED</t>
        </is>
      </c>
      <c r="G6448" t="n">
        <v>1.2</v>
      </c>
      <c r="H6448" t="n">
        <v>0</v>
      </c>
      <c r="I6448" t="n">
        <v>0</v>
      </c>
      <c r="J6448" t="n">
        <v>0</v>
      </c>
      <c r="K6448" t="n">
        <v>0</v>
      </c>
      <c r="L6448" t="n">
        <v>0</v>
      </c>
      <c r="M6448" t="n">
        <v>0</v>
      </c>
      <c r="N6448" t="n">
        <v>0</v>
      </c>
      <c r="O6448" t="n">
        <v>0</v>
      </c>
      <c r="P6448" t="n">
        <v>0</v>
      </c>
      <c r="Q6448" t="n">
        <v>0</v>
      </c>
      <c r="R6448" s="2" t="inlineStr"/>
    </row>
    <row r="6449" ht="15" customHeight="1">
      <c r="A6449" t="inlineStr">
        <is>
          <t>A 60248-2023</t>
        </is>
      </c>
      <c r="B6449" s="1" t="n">
        <v>45258.65023148148</v>
      </c>
      <c r="C6449" s="1" t="n">
        <v>45962</v>
      </c>
      <c r="D6449" t="inlineStr">
        <is>
          <t>JÖNKÖPINGS LÄN</t>
        </is>
      </c>
      <c r="E6449" t="inlineStr">
        <is>
          <t>VÄRNAMO</t>
        </is>
      </c>
      <c r="G6449" t="n">
        <v>0.9</v>
      </c>
      <c r="H6449" t="n">
        <v>0</v>
      </c>
      <c r="I6449" t="n">
        <v>0</v>
      </c>
      <c r="J6449" t="n">
        <v>0</v>
      </c>
      <c r="K6449" t="n">
        <v>0</v>
      </c>
      <c r="L6449" t="n">
        <v>0</v>
      </c>
      <c r="M6449" t="n">
        <v>0</v>
      </c>
      <c r="N6449" t="n">
        <v>0</v>
      </c>
      <c r="O6449" t="n">
        <v>0</v>
      </c>
      <c r="P6449" t="n">
        <v>0</v>
      </c>
      <c r="Q6449" t="n">
        <v>0</v>
      </c>
      <c r="R6449" s="2" t="inlineStr"/>
    </row>
    <row r="6450" ht="15" customHeight="1">
      <c r="A6450" t="inlineStr">
        <is>
          <t>A 22846-2024</t>
        </is>
      </c>
      <c r="B6450" s="1" t="n">
        <v>45448.5952662037</v>
      </c>
      <c r="C6450" s="1" t="n">
        <v>45962</v>
      </c>
      <c r="D6450" t="inlineStr">
        <is>
          <t>JÖNKÖPINGS LÄN</t>
        </is>
      </c>
      <c r="E6450" t="inlineStr">
        <is>
          <t>GNOSJÖ</t>
        </is>
      </c>
      <c r="G6450" t="n">
        <v>0.7</v>
      </c>
      <c r="H6450" t="n">
        <v>0</v>
      </c>
      <c r="I6450" t="n">
        <v>0</v>
      </c>
      <c r="J6450" t="n">
        <v>0</v>
      </c>
      <c r="K6450" t="n">
        <v>0</v>
      </c>
      <c r="L6450" t="n">
        <v>0</v>
      </c>
      <c r="M6450" t="n">
        <v>0</v>
      </c>
      <c r="N6450" t="n">
        <v>0</v>
      </c>
      <c r="O6450" t="n">
        <v>0</v>
      </c>
      <c r="P6450" t="n">
        <v>0</v>
      </c>
      <c r="Q6450" t="n">
        <v>0</v>
      </c>
      <c r="R6450" s="2" t="inlineStr"/>
    </row>
    <row r="6451" ht="15" customHeight="1">
      <c r="A6451" t="inlineStr">
        <is>
          <t>A 39684-2025</t>
        </is>
      </c>
      <c r="B6451" s="1" t="n">
        <v>45890.66550925926</v>
      </c>
      <c r="C6451" s="1" t="n">
        <v>45962</v>
      </c>
      <c r="D6451" t="inlineStr">
        <is>
          <t>JÖNKÖPINGS LÄN</t>
        </is>
      </c>
      <c r="E6451" t="inlineStr">
        <is>
          <t>NÄSSJÖ</t>
        </is>
      </c>
      <c r="G6451" t="n">
        <v>2</v>
      </c>
      <c r="H6451" t="n">
        <v>0</v>
      </c>
      <c r="I6451" t="n">
        <v>0</v>
      </c>
      <c r="J6451" t="n">
        <v>0</v>
      </c>
      <c r="K6451" t="n">
        <v>0</v>
      </c>
      <c r="L6451" t="n">
        <v>0</v>
      </c>
      <c r="M6451" t="n">
        <v>0</v>
      </c>
      <c r="N6451" t="n">
        <v>0</v>
      </c>
      <c r="O6451" t="n">
        <v>0</v>
      </c>
      <c r="P6451" t="n">
        <v>0</v>
      </c>
      <c r="Q6451" t="n">
        <v>0</v>
      </c>
      <c r="R6451" s="2" t="inlineStr"/>
    </row>
    <row r="6452" ht="15" customHeight="1">
      <c r="A6452" t="inlineStr">
        <is>
          <t>A 19557-2025</t>
        </is>
      </c>
      <c r="B6452" s="1" t="n">
        <v>45770.51099537037</v>
      </c>
      <c r="C6452" s="1" t="n">
        <v>45962</v>
      </c>
      <c r="D6452" t="inlineStr">
        <is>
          <t>JÖNKÖPINGS LÄN</t>
        </is>
      </c>
      <c r="E6452" t="inlineStr">
        <is>
          <t>VETLANDA</t>
        </is>
      </c>
      <c r="G6452" t="n">
        <v>2.4</v>
      </c>
      <c r="H6452" t="n">
        <v>0</v>
      </c>
      <c r="I6452" t="n">
        <v>0</v>
      </c>
      <c r="J6452" t="n">
        <v>0</v>
      </c>
      <c r="K6452" t="n">
        <v>0</v>
      </c>
      <c r="L6452" t="n">
        <v>0</v>
      </c>
      <c r="M6452" t="n">
        <v>0</v>
      </c>
      <c r="N6452" t="n">
        <v>0</v>
      </c>
      <c r="O6452" t="n">
        <v>0</v>
      </c>
      <c r="P6452" t="n">
        <v>0</v>
      </c>
      <c r="Q6452" t="n">
        <v>0</v>
      </c>
      <c r="R6452" s="2" t="inlineStr"/>
    </row>
    <row r="6453" ht="15" customHeight="1">
      <c r="A6453" t="inlineStr">
        <is>
          <t>A 37337-2025</t>
        </is>
      </c>
      <c r="B6453" s="1" t="n">
        <v>45876.6799537037</v>
      </c>
      <c r="C6453" s="1" t="n">
        <v>45962</v>
      </c>
      <c r="D6453" t="inlineStr">
        <is>
          <t>JÖNKÖPINGS LÄN</t>
        </is>
      </c>
      <c r="E6453" t="inlineStr">
        <is>
          <t>JÖNKÖPING</t>
        </is>
      </c>
      <c r="G6453" t="n">
        <v>5.6</v>
      </c>
      <c r="H6453" t="n">
        <v>0</v>
      </c>
      <c r="I6453" t="n">
        <v>0</v>
      </c>
      <c r="J6453" t="n">
        <v>0</v>
      </c>
      <c r="K6453" t="n">
        <v>0</v>
      </c>
      <c r="L6453" t="n">
        <v>0</v>
      </c>
      <c r="M6453" t="n">
        <v>0</v>
      </c>
      <c r="N6453" t="n">
        <v>0</v>
      </c>
      <c r="O6453" t="n">
        <v>0</v>
      </c>
      <c r="P6453" t="n">
        <v>0</v>
      </c>
      <c r="Q6453" t="n">
        <v>0</v>
      </c>
      <c r="R6453" s="2" t="inlineStr"/>
    </row>
    <row r="6454" ht="15" customHeight="1">
      <c r="A6454" t="inlineStr">
        <is>
          <t>A 21883-2023</t>
        </is>
      </c>
      <c r="B6454" s="1" t="n">
        <v>45068</v>
      </c>
      <c r="C6454" s="1" t="n">
        <v>45962</v>
      </c>
      <c r="D6454" t="inlineStr">
        <is>
          <t>JÖNKÖPINGS LÄN</t>
        </is>
      </c>
      <c r="E6454" t="inlineStr">
        <is>
          <t>EKSJÖ</t>
        </is>
      </c>
      <c r="G6454" t="n">
        <v>2.1</v>
      </c>
      <c r="H6454" t="n">
        <v>0</v>
      </c>
      <c r="I6454" t="n">
        <v>0</v>
      </c>
      <c r="J6454" t="n">
        <v>0</v>
      </c>
      <c r="K6454" t="n">
        <v>0</v>
      </c>
      <c r="L6454" t="n">
        <v>0</v>
      </c>
      <c r="M6454" t="n">
        <v>0</v>
      </c>
      <c r="N6454" t="n">
        <v>0</v>
      </c>
      <c r="O6454" t="n">
        <v>0</v>
      </c>
      <c r="P6454" t="n">
        <v>0</v>
      </c>
      <c r="Q6454" t="n">
        <v>0</v>
      </c>
      <c r="R6454" s="2" t="inlineStr"/>
    </row>
    <row r="6455" ht="15" customHeight="1">
      <c r="A6455" t="inlineStr">
        <is>
          <t>A 37424-2025</t>
        </is>
      </c>
      <c r="B6455" s="1" t="n">
        <v>45877.4903125</v>
      </c>
      <c r="C6455" s="1" t="n">
        <v>45962</v>
      </c>
      <c r="D6455" t="inlineStr">
        <is>
          <t>JÖNKÖPINGS LÄN</t>
        </is>
      </c>
      <c r="E6455" t="inlineStr">
        <is>
          <t>MULLSJÖ</t>
        </is>
      </c>
      <c r="G6455" t="n">
        <v>0.7</v>
      </c>
      <c r="H6455" t="n">
        <v>0</v>
      </c>
      <c r="I6455" t="n">
        <v>0</v>
      </c>
      <c r="J6455" t="n">
        <v>0</v>
      </c>
      <c r="K6455" t="n">
        <v>0</v>
      </c>
      <c r="L6455" t="n">
        <v>0</v>
      </c>
      <c r="M6455" t="n">
        <v>0</v>
      </c>
      <c r="N6455" t="n">
        <v>0</v>
      </c>
      <c r="O6455" t="n">
        <v>0</v>
      </c>
      <c r="P6455" t="n">
        <v>0</v>
      </c>
      <c r="Q6455" t="n">
        <v>0</v>
      </c>
      <c r="R6455" s="2" t="inlineStr"/>
    </row>
    <row r="6456" ht="15" customHeight="1">
      <c r="A6456" t="inlineStr">
        <is>
          <t>A 37434-2025</t>
        </is>
      </c>
      <c r="B6456" s="1" t="n">
        <v>45877.51960648148</v>
      </c>
      <c r="C6456" s="1" t="n">
        <v>45962</v>
      </c>
      <c r="D6456" t="inlineStr">
        <is>
          <t>JÖNKÖPINGS LÄN</t>
        </is>
      </c>
      <c r="E6456" t="inlineStr">
        <is>
          <t>VETLANDA</t>
        </is>
      </c>
      <c r="G6456" t="n">
        <v>2.1</v>
      </c>
      <c r="H6456" t="n">
        <v>0</v>
      </c>
      <c r="I6456" t="n">
        <v>0</v>
      </c>
      <c r="J6456" t="n">
        <v>0</v>
      </c>
      <c r="K6456" t="n">
        <v>0</v>
      </c>
      <c r="L6456" t="n">
        <v>0</v>
      </c>
      <c r="M6456" t="n">
        <v>0</v>
      </c>
      <c r="N6456" t="n">
        <v>0</v>
      </c>
      <c r="O6456" t="n">
        <v>0</v>
      </c>
      <c r="P6456" t="n">
        <v>0</v>
      </c>
      <c r="Q6456" t="n">
        <v>0</v>
      </c>
      <c r="R6456" s="2" t="inlineStr"/>
    </row>
    <row r="6457" ht="15" customHeight="1">
      <c r="A6457" t="inlineStr">
        <is>
          <t>A 48095-2025</t>
        </is>
      </c>
      <c r="B6457" s="1" t="n">
        <v>45933.30634259259</v>
      </c>
      <c r="C6457" s="1" t="n">
        <v>45962</v>
      </c>
      <c r="D6457" t="inlineStr">
        <is>
          <t>JÖNKÖPINGS LÄN</t>
        </is>
      </c>
      <c r="E6457" t="inlineStr">
        <is>
          <t>MULLSJÖ</t>
        </is>
      </c>
      <c r="G6457" t="n">
        <v>2</v>
      </c>
      <c r="H6457" t="n">
        <v>0</v>
      </c>
      <c r="I6457" t="n">
        <v>0</v>
      </c>
      <c r="J6457" t="n">
        <v>0</v>
      </c>
      <c r="K6457" t="n">
        <v>0</v>
      </c>
      <c r="L6457" t="n">
        <v>0</v>
      </c>
      <c r="M6457" t="n">
        <v>0</v>
      </c>
      <c r="N6457" t="n">
        <v>0</v>
      </c>
      <c r="O6457" t="n">
        <v>0</v>
      </c>
      <c r="P6457" t="n">
        <v>0</v>
      </c>
      <c r="Q6457" t="n">
        <v>0</v>
      </c>
      <c r="R6457" s="2" t="inlineStr"/>
    </row>
    <row r="6458" ht="15" customHeight="1">
      <c r="A6458" t="inlineStr">
        <is>
          <t>A 39524-2025</t>
        </is>
      </c>
      <c r="B6458" s="1" t="n">
        <v>45890.44004629629</v>
      </c>
      <c r="C6458" s="1" t="n">
        <v>45962</v>
      </c>
      <c r="D6458" t="inlineStr">
        <is>
          <t>JÖNKÖPINGS LÄN</t>
        </is>
      </c>
      <c r="E6458" t="inlineStr">
        <is>
          <t>SÄVSJÖ</t>
        </is>
      </c>
      <c r="G6458" t="n">
        <v>1.4</v>
      </c>
      <c r="H6458" t="n">
        <v>0</v>
      </c>
      <c r="I6458" t="n">
        <v>0</v>
      </c>
      <c r="J6458" t="n">
        <v>0</v>
      </c>
      <c r="K6458" t="n">
        <v>0</v>
      </c>
      <c r="L6458" t="n">
        <v>0</v>
      </c>
      <c r="M6458" t="n">
        <v>0</v>
      </c>
      <c r="N6458" t="n">
        <v>0</v>
      </c>
      <c r="O6458" t="n">
        <v>0</v>
      </c>
      <c r="P6458" t="n">
        <v>0</v>
      </c>
      <c r="Q6458" t="n">
        <v>0</v>
      </c>
      <c r="R6458" s="2" t="inlineStr"/>
    </row>
    <row r="6459" ht="15" customHeight="1">
      <c r="A6459" t="inlineStr">
        <is>
          <t>A 2470-2023</t>
        </is>
      </c>
      <c r="B6459" s="1" t="n">
        <v>44943.48144675926</v>
      </c>
      <c r="C6459" s="1" t="n">
        <v>45962</v>
      </c>
      <c r="D6459" t="inlineStr">
        <is>
          <t>JÖNKÖPINGS LÄN</t>
        </is>
      </c>
      <c r="E6459" t="inlineStr">
        <is>
          <t>JÖNKÖPING</t>
        </is>
      </c>
      <c r="G6459" t="n">
        <v>1.8</v>
      </c>
      <c r="H6459" t="n">
        <v>0</v>
      </c>
      <c r="I6459" t="n">
        <v>0</v>
      </c>
      <c r="J6459" t="n">
        <v>0</v>
      </c>
      <c r="K6459" t="n">
        <v>0</v>
      </c>
      <c r="L6459" t="n">
        <v>0</v>
      </c>
      <c r="M6459" t="n">
        <v>0</v>
      </c>
      <c r="N6459" t="n">
        <v>0</v>
      </c>
      <c r="O6459" t="n">
        <v>0</v>
      </c>
      <c r="P6459" t="n">
        <v>0</v>
      </c>
      <c r="Q6459" t="n">
        <v>0</v>
      </c>
      <c r="R6459" s="2" t="inlineStr"/>
    </row>
    <row r="6460" ht="15" customHeight="1">
      <c r="A6460" t="inlineStr">
        <is>
          <t>A 37447-2021</t>
        </is>
      </c>
      <c r="B6460" s="1" t="n">
        <v>44398</v>
      </c>
      <c r="C6460" s="1" t="n">
        <v>45962</v>
      </c>
      <c r="D6460" t="inlineStr">
        <is>
          <t>JÖNKÖPINGS LÄN</t>
        </is>
      </c>
      <c r="E6460" t="inlineStr">
        <is>
          <t>VETLANDA</t>
        </is>
      </c>
      <c r="G6460" t="n">
        <v>4.6</v>
      </c>
      <c r="H6460" t="n">
        <v>0</v>
      </c>
      <c r="I6460" t="n">
        <v>0</v>
      </c>
      <c r="J6460" t="n">
        <v>0</v>
      </c>
      <c r="K6460" t="n">
        <v>0</v>
      </c>
      <c r="L6460" t="n">
        <v>0</v>
      </c>
      <c r="M6460" t="n">
        <v>0</v>
      </c>
      <c r="N6460" t="n">
        <v>0</v>
      </c>
      <c r="O6460" t="n">
        <v>0</v>
      </c>
      <c r="P6460" t="n">
        <v>0</v>
      </c>
      <c r="Q6460" t="n">
        <v>0</v>
      </c>
      <c r="R6460" s="2" t="inlineStr"/>
    </row>
    <row r="6461" ht="15" customHeight="1">
      <c r="A6461" t="inlineStr">
        <is>
          <t>A 37565-2025</t>
        </is>
      </c>
      <c r="B6461" s="1" t="n">
        <v>45880</v>
      </c>
      <c r="C6461" s="1" t="n">
        <v>45962</v>
      </c>
      <c r="D6461" t="inlineStr">
        <is>
          <t>JÖNKÖPINGS LÄN</t>
        </is>
      </c>
      <c r="E6461" t="inlineStr">
        <is>
          <t>VETLANDA</t>
        </is>
      </c>
      <c r="G6461" t="n">
        <v>2</v>
      </c>
      <c r="H6461" t="n">
        <v>0</v>
      </c>
      <c r="I6461" t="n">
        <v>0</v>
      </c>
      <c r="J6461" t="n">
        <v>0</v>
      </c>
      <c r="K6461" t="n">
        <v>0</v>
      </c>
      <c r="L6461" t="n">
        <v>0</v>
      </c>
      <c r="M6461" t="n">
        <v>0</v>
      </c>
      <c r="N6461" t="n">
        <v>0</v>
      </c>
      <c r="O6461" t="n">
        <v>0</v>
      </c>
      <c r="P6461" t="n">
        <v>0</v>
      </c>
      <c r="Q6461" t="n">
        <v>0</v>
      </c>
      <c r="R6461" s="2" t="inlineStr"/>
    </row>
    <row r="6462" ht="15" customHeight="1">
      <c r="A6462" t="inlineStr">
        <is>
          <t>A 13880-2023</t>
        </is>
      </c>
      <c r="B6462" s="1" t="n">
        <v>45007</v>
      </c>
      <c r="C6462" s="1" t="n">
        <v>45962</v>
      </c>
      <c r="D6462" t="inlineStr">
        <is>
          <t>JÖNKÖPINGS LÄN</t>
        </is>
      </c>
      <c r="E6462" t="inlineStr">
        <is>
          <t>HABO</t>
        </is>
      </c>
      <c r="G6462" t="n">
        <v>0.7</v>
      </c>
      <c r="H6462" t="n">
        <v>0</v>
      </c>
      <c r="I6462" t="n">
        <v>0</v>
      </c>
      <c r="J6462" t="n">
        <v>0</v>
      </c>
      <c r="K6462" t="n">
        <v>0</v>
      </c>
      <c r="L6462" t="n">
        <v>0</v>
      </c>
      <c r="M6462" t="n">
        <v>0</v>
      </c>
      <c r="N6462" t="n">
        <v>0</v>
      </c>
      <c r="O6462" t="n">
        <v>0</v>
      </c>
      <c r="P6462" t="n">
        <v>0</v>
      </c>
      <c r="Q6462" t="n">
        <v>0</v>
      </c>
      <c r="R6462" s="2" t="inlineStr"/>
    </row>
    <row r="6463" ht="15" customHeight="1">
      <c r="A6463" t="inlineStr">
        <is>
          <t>A 26757-2024</t>
        </is>
      </c>
      <c r="B6463" s="1" t="n">
        <v>45469</v>
      </c>
      <c r="C6463" s="1" t="n">
        <v>45962</v>
      </c>
      <c r="D6463" t="inlineStr">
        <is>
          <t>JÖNKÖPINGS LÄN</t>
        </is>
      </c>
      <c r="E6463" t="inlineStr">
        <is>
          <t>MULLSJÖ</t>
        </is>
      </c>
      <c r="G6463" t="n">
        <v>1.4</v>
      </c>
      <c r="H6463" t="n">
        <v>0</v>
      </c>
      <c r="I6463" t="n">
        <v>0</v>
      </c>
      <c r="J6463" t="n">
        <v>0</v>
      </c>
      <c r="K6463" t="n">
        <v>0</v>
      </c>
      <c r="L6463" t="n">
        <v>0</v>
      </c>
      <c r="M6463" t="n">
        <v>0</v>
      </c>
      <c r="N6463" t="n">
        <v>0</v>
      </c>
      <c r="O6463" t="n">
        <v>0</v>
      </c>
      <c r="P6463" t="n">
        <v>0</v>
      </c>
      <c r="Q6463" t="n">
        <v>0</v>
      </c>
      <c r="R6463" s="2" t="inlineStr"/>
    </row>
    <row r="6464" ht="15" customHeight="1">
      <c r="A6464" t="inlineStr">
        <is>
          <t>A 17027-2023</t>
        </is>
      </c>
      <c r="B6464" s="1" t="n">
        <v>45034.38628472222</v>
      </c>
      <c r="C6464" s="1" t="n">
        <v>45962</v>
      </c>
      <c r="D6464" t="inlineStr">
        <is>
          <t>JÖNKÖPINGS LÄN</t>
        </is>
      </c>
      <c r="E6464" t="inlineStr">
        <is>
          <t>ANEBY</t>
        </is>
      </c>
      <c r="F6464" t="inlineStr">
        <is>
          <t>Kyrkan</t>
        </is>
      </c>
      <c r="G6464" t="n">
        <v>1.1</v>
      </c>
      <c r="H6464" t="n">
        <v>0</v>
      </c>
      <c r="I6464" t="n">
        <v>0</v>
      </c>
      <c r="J6464" t="n">
        <v>0</v>
      </c>
      <c r="K6464" t="n">
        <v>0</v>
      </c>
      <c r="L6464" t="n">
        <v>0</v>
      </c>
      <c r="M6464" t="n">
        <v>0</v>
      </c>
      <c r="N6464" t="n">
        <v>0</v>
      </c>
      <c r="O6464" t="n">
        <v>0</v>
      </c>
      <c r="P6464" t="n">
        <v>0</v>
      </c>
      <c r="Q6464" t="n">
        <v>0</v>
      </c>
      <c r="R6464" s="2" t="inlineStr"/>
    </row>
    <row r="6465" ht="15" customHeight="1">
      <c r="A6465" t="inlineStr">
        <is>
          <t>A 45566-2025</t>
        </is>
      </c>
      <c r="B6465" s="1" t="n">
        <v>45922.65359953704</v>
      </c>
      <c r="C6465" s="1" t="n">
        <v>45962</v>
      </c>
      <c r="D6465" t="inlineStr">
        <is>
          <t>JÖNKÖPINGS LÄN</t>
        </is>
      </c>
      <c r="E6465" t="inlineStr">
        <is>
          <t>NÄSSJÖ</t>
        </is>
      </c>
      <c r="G6465" t="n">
        <v>1.7</v>
      </c>
      <c r="H6465" t="n">
        <v>0</v>
      </c>
      <c r="I6465" t="n">
        <v>0</v>
      </c>
      <c r="J6465" t="n">
        <v>0</v>
      </c>
      <c r="K6465" t="n">
        <v>0</v>
      </c>
      <c r="L6465" t="n">
        <v>0</v>
      </c>
      <c r="M6465" t="n">
        <v>0</v>
      </c>
      <c r="N6465" t="n">
        <v>0</v>
      </c>
      <c r="O6465" t="n">
        <v>0</v>
      </c>
      <c r="P6465" t="n">
        <v>0</v>
      </c>
      <c r="Q6465" t="n">
        <v>0</v>
      </c>
      <c r="R6465" s="2" t="inlineStr"/>
    </row>
    <row r="6466" ht="15" customHeight="1">
      <c r="A6466" t="inlineStr">
        <is>
          <t>A 13799-2025</t>
        </is>
      </c>
      <c r="B6466" s="1" t="n">
        <v>45737.4858912037</v>
      </c>
      <c r="C6466" s="1" t="n">
        <v>45962</v>
      </c>
      <c r="D6466" t="inlineStr">
        <is>
          <t>JÖNKÖPINGS LÄN</t>
        </is>
      </c>
      <c r="E6466" t="inlineStr">
        <is>
          <t>GISLAVED</t>
        </is>
      </c>
      <c r="F6466" t="inlineStr">
        <is>
          <t>Sveaskog</t>
        </is>
      </c>
      <c r="G6466" t="n">
        <v>1.5</v>
      </c>
      <c r="H6466" t="n">
        <v>0</v>
      </c>
      <c r="I6466" t="n">
        <v>0</v>
      </c>
      <c r="J6466" t="n">
        <v>0</v>
      </c>
      <c r="K6466" t="n">
        <v>0</v>
      </c>
      <c r="L6466" t="n">
        <v>0</v>
      </c>
      <c r="M6466" t="n">
        <v>0</v>
      </c>
      <c r="N6466" t="n">
        <v>0</v>
      </c>
      <c r="O6466" t="n">
        <v>0</v>
      </c>
      <c r="P6466" t="n">
        <v>0</v>
      </c>
      <c r="Q6466" t="n">
        <v>0</v>
      </c>
      <c r="R6466" s="2" t="inlineStr"/>
    </row>
    <row r="6467" ht="15" customHeight="1">
      <c r="A6467" t="inlineStr">
        <is>
          <t>A 13811-2025</t>
        </is>
      </c>
      <c r="B6467" s="1" t="n">
        <v>45737</v>
      </c>
      <c r="C6467" s="1" t="n">
        <v>45962</v>
      </c>
      <c r="D6467" t="inlineStr">
        <is>
          <t>JÖNKÖPINGS LÄN</t>
        </is>
      </c>
      <c r="E6467" t="inlineStr">
        <is>
          <t>VETLANDA</t>
        </is>
      </c>
      <c r="G6467" t="n">
        <v>2.4</v>
      </c>
      <c r="H6467" t="n">
        <v>0</v>
      </c>
      <c r="I6467" t="n">
        <v>0</v>
      </c>
      <c r="J6467" t="n">
        <v>0</v>
      </c>
      <c r="K6467" t="n">
        <v>0</v>
      </c>
      <c r="L6467" t="n">
        <v>0</v>
      </c>
      <c r="M6467" t="n">
        <v>0</v>
      </c>
      <c r="N6467" t="n">
        <v>0</v>
      </c>
      <c r="O6467" t="n">
        <v>0</v>
      </c>
      <c r="P6467" t="n">
        <v>0</v>
      </c>
      <c r="Q6467" t="n">
        <v>0</v>
      </c>
      <c r="R6467" s="2" t="inlineStr"/>
    </row>
    <row r="6468" ht="15" customHeight="1">
      <c r="A6468" t="inlineStr">
        <is>
          <t>A 44189-2024</t>
        </is>
      </c>
      <c r="B6468" s="1" t="n">
        <v>45573</v>
      </c>
      <c r="C6468" s="1" t="n">
        <v>45962</v>
      </c>
      <c r="D6468" t="inlineStr">
        <is>
          <t>JÖNKÖPINGS LÄN</t>
        </is>
      </c>
      <c r="E6468" t="inlineStr">
        <is>
          <t>GISLAVED</t>
        </is>
      </c>
      <c r="G6468" t="n">
        <v>1</v>
      </c>
      <c r="H6468" t="n">
        <v>0</v>
      </c>
      <c r="I6468" t="n">
        <v>0</v>
      </c>
      <c r="J6468" t="n">
        <v>0</v>
      </c>
      <c r="K6468" t="n">
        <v>0</v>
      </c>
      <c r="L6468" t="n">
        <v>0</v>
      </c>
      <c r="M6468" t="n">
        <v>0</v>
      </c>
      <c r="N6468" t="n">
        <v>0</v>
      </c>
      <c r="O6468" t="n">
        <v>0</v>
      </c>
      <c r="P6468" t="n">
        <v>0</v>
      </c>
      <c r="Q6468" t="n">
        <v>0</v>
      </c>
      <c r="R6468" s="2" t="inlineStr"/>
    </row>
    <row r="6469" ht="15" customHeight="1">
      <c r="A6469" t="inlineStr">
        <is>
          <t>A 48404-2023</t>
        </is>
      </c>
      <c r="B6469" s="1" t="n">
        <v>45201</v>
      </c>
      <c r="C6469" s="1" t="n">
        <v>45962</v>
      </c>
      <c r="D6469" t="inlineStr">
        <is>
          <t>JÖNKÖPINGS LÄN</t>
        </is>
      </c>
      <c r="E6469" t="inlineStr">
        <is>
          <t>JÖNKÖPING</t>
        </is>
      </c>
      <c r="F6469" t="inlineStr">
        <is>
          <t>Kyrkan</t>
        </is>
      </c>
      <c r="G6469" t="n">
        <v>5.4</v>
      </c>
      <c r="H6469" t="n">
        <v>0</v>
      </c>
      <c r="I6469" t="n">
        <v>0</v>
      </c>
      <c r="J6469" t="n">
        <v>0</v>
      </c>
      <c r="K6469" t="n">
        <v>0</v>
      </c>
      <c r="L6469" t="n">
        <v>0</v>
      </c>
      <c r="M6469" t="n">
        <v>0</v>
      </c>
      <c r="N6469" t="n">
        <v>0</v>
      </c>
      <c r="O6469" t="n">
        <v>0</v>
      </c>
      <c r="P6469" t="n">
        <v>0</v>
      </c>
      <c r="Q6469" t="n">
        <v>0</v>
      </c>
      <c r="R6469" s="2" t="inlineStr"/>
    </row>
    <row r="6470" ht="15" customHeight="1">
      <c r="A6470" t="inlineStr">
        <is>
          <t>A 45321-2025</t>
        </is>
      </c>
      <c r="B6470" s="1" t="n">
        <v>45922.28649305556</v>
      </c>
      <c r="C6470" s="1" t="n">
        <v>45962</v>
      </c>
      <c r="D6470" t="inlineStr">
        <is>
          <t>JÖNKÖPINGS LÄN</t>
        </is>
      </c>
      <c r="E6470" t="inlineStr">
        <is>
          <t>HABO</t>
        </is>
      </c>
      <c r="G6470" t="n">
        <v>1</v>
      </c>
      <c r="H6470" t="n">
        <v>0</v>
      </c>
      <c r="I6470" t="n">
        <v>0</v>
      </c>
      <c r="J6470" t="n">
        <v>0</v>
      </c>
      <c r="K6470" t="n">
        <v>0</v>
      </c>
      <c r="L6470" t="n">
        <v>0</v>
      </c>
      <c r="M6470" t="n">
        <v>0</v>
      </c>
      <c r="N6470" t="n">
        <v>0</v>
      </c>
      <c r="O6470" t="n">
        <v>0</v>
      </c>
      <c r="P6470" t="n">
        <v>0</v>
      </c>
      <c r="Q6470" t="n">
        <v>0</v>
      </c>
      <c r="R6470" s="2" t="inlineStr"/>
    </row>
    <row r="6471" ht="15" customHeight="1">
      <c r="A6471" t="inlineStr">
        <is>
          <t>A 30091-2024</t>
        </is>
      </c>
      <c r="B6471" s="1" t="n">
        <v>45489</v>
      </c>
      <c r="C6471" s="1" t="n">
        <v>45962</v>
      </c>
      <c r="D6471" t="inlineStr">
        <is>
          <t>JÖNKÖPINGS LÄN</t>
        </is>
      </c>
      <c r="E6471" t="inlineStr">
        <is>
          <t>GNOSJÖ</t>
        </is>
      </c>
      <c r="G6471" t="n">
        <v>1.5</v>
      </c>
      <c r="H6471" t="n">
        <v>0</v>
      </c>
      <c r="I6471" t="n">
        <v>0</v>
      </c>
      <c r="J6471" t="n">
        <v>0</v>
      </c>
      <c r="K6471" t="n">
        <v>0</v>
      </c>
      <c r="L6471" t="n">
        <v>0</v>
      </c>
      <c r="M6471" t="n">
        <v>0</v>
      </c>
      <c r="N6471" t="n">
        <v>0</v>
      </c>
      <c r="O6471" t="n">
        <v>0</v>
      </c>
      <c r="P6471" t="n">
        <v>0</v>
      </c>
      <c r="Q6471" t="n">
        <v>0</v>
      </c>
      <c r="R6471" s="2" t="inlineStr"/>
    </row>
    <row r="6472" ht="15" customHeight="1">
      <c r="A6472" t="inlineStr">
        <is>
          <t>A 8121-2025</t>
        </is>
      </c>
      <c r="B6472" s="1" t="n">
        <v>45707</v>
      </c>
      <c r="C6472" s="1" t="n">
        <v>45962</v>
      </c>
      <c r="D6472" t="inlineStr">
        <is>
          <t>JÖNKÖPINGS LÄN</t>
        </is>
      </c>
      <c r="E6472" t="inlineStr">
        <is>
          <t>SÄVSJÖ</t>
        </is>
      </c>
      <c r="G6472" t="n">
        <v>0.9</v>
      </c>
      <c r="H6472" t="n">
        <v>0</v>
      </c>
      <c r="I6472" t="n">
        <v>0</v>
      </c>
      <c r="J6472" t="n">
        <v>0</v>
      </c>
      <c r="K6472" t="n">
        <v>0</v>
      </c>
      <c r="L6472" t="n">
        <v>0</v>
      </c>
      <c r="M6472" t="n">
        <v>0</v>
      </c>
      <c r="N6472" t="n">
        <v>0</v>
      </c>
      <c r="O6472" t="n">
        <v>0</v>
      </c>
      <c r="P6472" t="n">
        <v>0</v>
      </c>
      <c r="Q6472" t="n">
        <v>0</v>
      </c>
      <c r="R6472" s="2" t="inlineStr"/>
    </row>
    <row r="6473" ht="15" customHeight="1">
      <c r="A6473" t="inlineStr">
        <is>
          <t>A 8182-2025</t>
        </is>
      </c>
      <c r="B6473" s="1" t="n">
        <v>45708.39555555556</v>
      </c>
      <c r="C6473" s="1" t="n">
        <v>45962</v>
      </c>
      <c r="D6473" t="inlineStr">
        <is>
          <t>JÖNKÖPINGS LÄN</t>
        </is>
      </c>
      <c r="E6473" t="inlineStr">
        <is>
          <t>GISLAVED</t>
        </is>
      </c>
      <c r="G6473" t="n">
        <v>0.6</v>
      </c>
      <c r="H6473" t="n">
        <v>0</v>
      </c>
      <c r="I6473" t="n">
        <v>0</v>
      </c>
      <c r="J6473" t="n">
        <v>0</v>
      </c>
      <c r="K6473" t="n">
        <v>0</v>
      </c>
      <c r="L6473" t="n">
        <v>0</v>
      </c>
      <c r="M6473" t="n">
        <v>0</v>
      </c>
      <c r="N6473" t="n">
        <v>0</v>
      </c>
      <c r="O6473" t="n">
        <v>0</v>
      </c>
      <c r="P6473" t="n">
        <v>0</v>
      </c>
      <c r="Q6473" t="n">
        <v>0</v>
      </c>
      <c r="R6473" s="2" t="inlineStr"/>
    </row>
    <row r="6474" ht="15" customHeight="1">
      <c r="A6474" t="inlineStr">
        <is>
          <t>A 10009-2025</t>
        </is>
      </c>
      <c r="B6474" s="1" t="n">
        <v>45719.45905092593</v>
      </c>
      <c r="C6474" s="1" t="n">
        <v>45962</v>
      </c>
      <c r="D6474" t="inlineStr">
        <is>
          <t>JÖNKÖPINGS LÄN</t>
        </is>
      </c>
      <c r="E6474" t="inlineStr">
        <is>
          <t>VETLANDA</t>
        </is>
      </c>
      <c r="G6474" t="n">
        <v>2.2</v>
      </c>
      <c r="H6474" t="n">
        <v>0</v>
      </c>
      <c r="I6474" t="n">
        <v>0</v>
      </c>
      <c r="J6474" t="n">
        <v>0</v>
      </c>
      <c r="K6474" t="n">
        <v>0</v>
      </c>
      <c r="L6474" t="n">
        <v>0</v>
      </c>
      <c r="M6474" t="n">
        <v>0</v>
      </c>
      <c r="N6474" t="n">
        <v>0</v>
      </c>
      <c r="O6474" t="n">
        <v>0</v>
      </c>
      <c r="P6474" t="n">
        <v>0</v>
      </c>
      <c r="Q6474" t="n">
        <v>0</v>
      </c>
      <c r="R6474" s="2" t="inlineStr"/>
    </row>
    <row r="6475" ht="15" customHeight="1">
      <c r="A6475" t="inlineStr">
        <is>
          <t>A 37617-2025</t>
        </is>
      </c>
      <c r="B6475" s="1" t="n">
        <v>45880.43709490741</v>
      </c>
      <c r="C6475" s="1" t="n">
        <v>45962</v>
      </c>
      <c r="D6475" t="inlineStr">
        <is>
          <t>JÖNKÖPINGS LÄN</t>
        </is>
      </c>
      <c r="E6475" t="inlineStr">
        <is>
          <t>JÖNKÖPING</t>
        </is>
      </c>
      <c r="G6475" t="n">
        <v>3.1</v>
      </c>
      <c r="H6475" t="n">
        <v>0</v>
      </c>
      <c r="I6475" t="n">
        <v>0</v>
      </c>
      <c r="J6475" t="n">
        <v>0</v>
      </c>
      <c r="K6475" t="n">
        <v>0</v>
      </c>
      <c r="L6475" t="n">
        <v>0</v>
      </c>
      <c r="M6475" t="n">
        <v>0</v>
      </c>
      <c r="N6475" t="n">
        <v>0</v>
      </c>
      <c r="O6475" t="n">
        <v>0</v>
      </c>
      <c r="P6475" t="n">
        <v>0</v>
      </c>
      <c r="Q6475" t="n">
        <v>0</v>
      </c>
      <c r="R6475" s="2" t="inlineStr"/>
    </row>
    <row r="6476" ht="15" customHeight="1">
      <c r="A6476" t="inlineStr">
        <is>
          <t>A 37633-2025</t>
        </is>
      </c>
      <c r="B6476" s="1" t="n">
        <v>45880.46642361111</v>
      </c>
      <c r="C6476" s="1" t="n">
        <v>45962</v>
      </c>
      <c r="D6476" t="inlineStr">
        <is>
          <t>JÖNKÖPINGS LÄN</t>
        </is>
      </c>
      <c r="E6476" t="inlineStr">
        <is>
          <t>JÖNKÖPING</t>
        </is>
      </c>
      <c r="G6476" t="n">
        <v>1.5</v>
      </c>
      <c r="H6476" t="n">
        <v>0</v>
      </c>
      <c r="I6476" t="n">
        <v>0</v>
      </c>
      <c r="J6476" t="n">
        <v>0</v>
      </c>
      <c r="K6476" t="n">
        <v>0</v>
      </c>
      <c r="L6476" t="n">
        <v>0</v>
      </c>
      <c r="M6476" t="n">
        <v>0</v>
      </c>
      <c r="N6476" t="n">
        <v>0</v>
      </c>
      <c r="O6476" t="n">
        <v>0</v>
      </c>
      <c r="P6476" t="n">
        <v>0</v>
      </c>
      <c r="Q6476" t="n">
        <v>0</v>
      </c>
      <c r="R6476" s="2" t="inlineStr"/>
    </row>
    <row r="6477" ht="15" customHeight="1">
      <c r="A6477" t="inlineStr">
        <is>
          <t>A 45685-2025</t>
        </is>
      </c>
      <c r="B6477" s="1" t="n">
        <v>45923.37681712963</v>
      </c>
      <c r="C6477" s="1" t="n">
        <v>45962</v>
      </c>
      <c r="D6477" t="inlineStr">
        <is>
          <t>JÖNKÖPINGS LÄN</t>
        </is>
      </c>
      <c r="E6477" t="inlineStr">
        <is>
          <t>VÄRNAMO</t>
        </is>
      </c>
      <c r="G6477" t="n">
        <v>0.6</v>
      </c>
      <c r="H6477" t="n">
        <v>0</v>
      </c>
      <c r="I6477" t="n">
        <v>0</v>
      </c>
      <c r="J6477" t="n">
        <v>0</v>
      </c>
      <c r="K6477" t="n">
        <v>0</v>
      </c>
      <c r="L6477" t="n">
        <v>0</v>
      </c>
      <c r="M6477" t="n">
        <v>0</v>
      </c>
      <c r="N6477" t="n">
        <v>0</v>
      </c>
      <c r="O6477" t="n">
        <v>0</v>
      </c>
      <c r="P6477" t="n">
        <v>0</v>
      </c>
      <c r="Q6477" t="n">
        <v>0</v>
      </c>
      <c r="R6477" s="2" t="inlineStr"/>
    </row>
    <row r="6478" ht="15" customHeight="1">
      <c r="A6478" t="inlineStr">
        <is>
          <t>A 45322-2025</t>
        </is>
      </c>
      <c r="B6478" s="1" t="n">
        <v>45922.29103009259</v>
      </c>
      <c r="C6478" s="1" t="n">
        <v>45962</v>
      </c>
      <c r="D6478" t="inlineStr">
        <is>
          <t>JÖNKÖPINGS LÄN</t>
        </is>
      </c>
      <c r="E6478" t="inlineStr">
        <is>
          <t>HABO</t>
        </is>
      </c>
      <c r="G6478" t="n">
        <v>0.7</v>
      </c>
      <c r="H6478" t="n">
        <v>0</v>
      </c>
      <c r="I6478" t="n">
        <v>0</v>
      </c>
      <c r="J6478" t="n">
        <v>0</v>
      </c>
      <c r="K6478" t="n">
        <v>0</v>
      </c>
      <c r="L6478" t="n">
        <v>0</v>
      </c>
      <c r="M6478" t="n">
        <v>0</v>
      </c>
      <c r="N6478" t="n">
        <v>0</v>
      </c>
      <c r="O6478" t="n">
        <v>0</v>
      </c>
      <c r="P6478" t="n">
        <v>0</v>
      </c>
      <c r="Q6478" t="n">
        <v>0</v>
      </c>
      <c r="R6478" s="2" t="inlineStr"/>
    </row>
    <row r="6479" ht="15" customHeight="1">
      <c r="A6479" t="inlineStr">
        <is>
          <t>A 9924-2023</t>
        </is>
      </c>
      <c r="B6479" s="1" t="n">
        <v>44985</v>
      </c>
      <c r="C6479" s="1" t="n">
        <v>45962</v>
      </c>
      <c r="D6479" t="inlineStr">
        <is>
          <t>JÖNKÖPINGS LÄN</t>
        </is>
      </c>
      <c r="E6479" t="inlineStr">
        <is>
          <t>JÖNKÖPING</t>
        </is>
      </c>
      <c r="G6479" t="n">
        <v>2.5</v>
      </c>
      <c r="H6479" t="n">
        <v>0</v>
      </c>
      <c r="I6479" t="n">
        <v>0</v>
      </c>
      <c r="J6479" t="n">
        <v>0</v>
      </c>
      <c r="K6479" t="n">
        <v>0</v>
      </c>
      <c r="L6479" t="n">
        <v>0</v>
      </c>
      <c r="M6479" t="n">
        <v>0</v>
      </c>
      <c r="N6479" t="n">
        <v>0</v>
      </c>
      <c r="O6479" t="n">
        <v>0</v>
      </c>
      <c r="P6479" t="n">
        <v>0</v>
      </c>
      <c r="Q6479" t="n">
        <v>0</v>
      </c>
      <c r="R6479" s="2" t="inlineStr"/>
    </row>
    <row r="6480" ht="15" customHeight="1">
      <c r="A6480" t="inlineStr">
        <is>
          <t>A 47753-2025</t>
        </is>
      </c>
      <c r="B6480" s="1" t="n">
        <v>45931.66369212963</v>
      </c>
      <c r="C6480" s="1" t="n">
        <v>45962</v>
      </c>
      <c r="D6480" t="inlineStr">
        <is>
          <t>JÖNKÖPINGS LÄN</t>
        </is>
      </c>
      <c r="E6480" t="inlineStr">
        <is>
          <t>TRANÅS</t>
        </is>
      </c>
      <c r="F6480" t="inlineStr">
        <is>
          <t>Allmännings- och besparingsskogar</t>
        </is>
      </c>
      <c r="G6480" t="n">
        <v>1.6</v>
      </c>
      <c r="H6480" t="n">
        <v>0</v>
      </c>
      <c r="I6480" t="n">
        <v>0</v>
      </c>
      <c r="J6480" t="n">
        <v>0</v>
      </c>
      <c r="K6480" t="n">
        <v>0</v>
      </c>
      <c r="L6480" t="n">
        <v>0</v>
      </c>
      <c r="M6480" t="n">
        <v>0</v>
      </c>
      <c r="N6480" t="n">
        <v>0</v>
      </c>
      <c r="O6480" t="n">
        <v>0</v>
      </c>
      <c r="P6480" t="n">
        <v>0</v>
      </c>
      <c r="Q6480" t="n">
        <v>0</v>
      </c>
      <c r="R6480" s="2" t="inlineStr"/>
    </row>
    <row r="6481" ht="15" customHeight="1">
      <c r="A6481" t="inlineStr">
        <is>
          <t>A 37864-2025</t>
        </is>
      </c>
      <c r="B6481" s="1" t="n">
        <v>45881.46743055555</v>
      </c>
      <c r="C6481" s="1" t="n">
        <v>45962</v>
      </c>
      <c r="D6481" t="inlineStr">
        <is>
          <t>JÖNKÖPINGS LÄN</t>
        </is>
      </c>
      <c r="E6481" t="inlineStr">
        <is>
          <t>GNOSJÖ</t>
        </is>
      </c>
      <c r="G6481" t="n">
        <v>3.8</v>
      </c>
      <c r="H6481" t="n">
        <v>0</v>
      </c>
      <c r="I6481" t="n">
        <v>0</v>
      </c>
      <c r="J6481" t="n">
        <v>0</v>
      </c>
      <c r="K6481" t="n">
        <v>0</v>
      </c>
      <c r="L6481" t="n">
        <v>0</v>
      </c>
      <c r="M6481" t="n">
        <v>0</v>
      </c>
      <c r="N6481" t="n">
        <v>0</v>
      </c>
      <c r="O6481" t="n">
        <v>0</v>
      </c>
      <c r="P6481" t="n">
        <v>0</v>
      </c>
      <c r="Q6481" t="n">
        <v>0</v>
      </c>
      <c r="R6481" s="2" t="inlineStr"/>
    </row>
    <row r="6482" ht="15" customHeight="1">
      <c r="A6482" t="inlineStr">
        <is>
          <t>A 37901-2025</t>
        </is>
      </c>
      <c r="B6482" s="1" t="n">
        <v>45880</v>
      </c>
      <c r="C6482" s="1" t="n">
        <v>45962</v>
      </c>
      <c r="D6482" t="inlineStr">
        <is>
          <t>JÖNKÖPINGS LÄN</t>
        </is>
      </c>
      <c r="E6482" t="inlineStr">
        <is>
          <t>TRANÅS</t>
        </is>
      </c>
      <c r="G6482" t="n">
        <v>3.6</v>
      </c>
      <c r="H6482" t="n">
        <v>0</v>
      </c>
      <c r="I6482" t="n">
        <v>0</v>
      </c>
      <c r="J6482" t="n">
        <v>0</v>
      </c>
      <c r="K6482" t="n">
        <v>0</v>
      </c>
      <c r="L6482" t="n">
        <v>0</v>
      </c>
      <c r="M6482" t="n">
        <v>0</v>
      </c>
      <c r="N6482" t="n">
        <v>0</v>
      </c>
      <c r="O6482" t="n">
        <v>0</v>
      </c>
      <c r="P6482" t="n">
        <v>0</v>
      </c>
      <c r="Q6482" t="n">
        <v>0</v>
      </c>
      <c r="R6482" s="2" t="inlineStr"/>
    </row>
    <row r="6483" ht="15" customHeight="1">
      <c r="A6483" t="inlineStr">
        <is>
          <t>A 32768-2025</t>
        </is>
      </c>
      <c r="B6483" s="1" t="n">
        <v>45839</v>
      </c>
      <c r="C6483" s="1" t="n">
        <v>45962</v>
      </c>
      <c r="D6483" t="inlineStr">
        <is>
          <t>JÖNKÖPINGS LÄN</t>
        </is>
      </c>
      <c r="E6483" t="inlineStr">
        <is>
          <t>ANEBY</t>
        </is>
      </c>
      <c r="G6483" t="n">
        <v>7.2</v>
      </c>
      <c r="H6483" t="n">
        <v>0</v>
      </c>
      <c r="I6483" t="n">
        <v>0</v>
      </c>
      <c r="J6483" t="n">
        <v>0</v>
      </c>
      <c r="K6483" t="n">
        <v>0</v>
      </c>
      <c r="L6483" t="n">
        <v>0</v>
      </c>
      <c r="M6483" t="n">
        <v>0</v>
      </c>
      <c r="N6483" t="n">
        <v>0</v>
      </c>
      <c r="O6483" t="n">
        <v>0</v>
      </c>
      <c r="P6483" t="n">
        <v>0</v>
      </c>
      <c r="Q6483" t="n">
        <v>0</v>
      </c>
      <c r="R6483" s="2" t="inlineStr"/>
    </row>
    <row r="6484" ht="15" customHeight="1">
      <c r="A6484" t="inlineStr">
        <is>
          <t>A 7736-2022</t>
        </is>
      </c>
      <c r="B6484" s="1" t="n">
        <v>44608</v>
      </c>
      <c r="C6484" s="1" t="n">
        <v>45962</v>
      </c>
      <c r="D6484" t="inlineStr">
        <is>
          <t>JÖNKÖPINGS LÄN</t>
        </is>
      </c>
      <c r="E6484" t="inlineStr">
        <is>
          <t>NÄSSJÖ</t>
        </is>
      </c>
      <c r="G6484" t="n">
        <v>4.1</v>
      </c>
      <c r="H6484" t="n">
        <v>0</v>
      </c>
      <c r="I6484" t="n">
        <v>0</v>
      </c>
      <c r="J6484" t="n">
        <v>0</v>
      </c>
      <c r="K6484" t="n">
        <v>0</v>
      </c>
      <c r="L6484" t="n">
        <v>0</v>
      </c>
      <c r="M6484" t="n">
        <v>0</v>
      </c>
      <c r="N6484" t="n">
        <v>0</v>
      </c>
      <c r="O6484" t="n">
        <v>0</v>
      </c>
      <c r="P6484" t="n">
        <v>0</v>
      </c>
      <c r="Q6484" t="n">
        <v>0</v>
      </c>
      <c r="R6484" s="2" t="inlineStr"/>
    </row>
    <row r="6485" ht="15" customHeight="1">
      <c r="A6485" t="inlineStr">
        <is>
          <t>A 45611-2025</t>
        </is>
      </c>
      <c r="B6485" s="1" t="n">
        <v>45922</v>
      </c>
      <c r="C6485" s="1" t="n">
        <v>45962</v>
      </c>
      <c r="D6485" t="inlineStr">
        <is>
          <t>JÖNKÖPINGS LÄN</t>
        </is>
      </c>
      <c r="E6485" t="inlineStr">
        <is>
          <t>JÖNKÖPING</t>
        </is>
      </c>
      <c r="G6485" t="n">
        <v>1.5</v>
      </c>
      <c r="H6485" t="n">
        <v>0</v>
      </c>
      <c r="I6485" t="n">
        <v>0</v>
      </c>
      <c r="J6485" t="n">
        <v>0</v>
      </c>
      <c r="K6485" t="n">
        <v>0</v>
      </c>
      <c r="L6485" t="n">
        <v>0</v>
      </c>
      <c r="M6485" t="n">
        <v>0</v>
      </c>
      <c r="N6485" t="n">
        <v>0</v>
      </c>
      <c r="O6485" t="n">
        <v>0</v>
      </c>
      <c r="P6485" t="n">
        <v>0</v>
      </c>
      <c r="Q6485" t="n">
        <v>0</v>
      </c>
      <c r="R6485" s="2" t="inlineStr"/>
    </row>
    <row r="6486" ht="15" customHeight="1">
      <c r="A6486" t="inlineStr">
        <is>
          <t>A 48366-2025</t>
        </is>
      </c>
      <c r="B6486" s="1" t="n">
        <v>45933.67023148148</v>
      </c>
      <c r="C6486" s="1" t="n">
        <v>45962</v>
      </c>
      <c r="D6486" t="inlineStr">
        <is>
          <t>JÖNKÖPINGS LÄN</t>
        </is>
      </c>
      <c r="E6486" t="inlineStr">
        <is>
          <t>GISLAVED</t>
        </is>
      </c>
      <c r="F6486" t="inlineStr">
        <is>
          <t>Sveaskog</t>
        </is>
      </c>
      <c r="G6486" t="n">
        <v>2</v>
      </c>
      <c r="H6486" t="n">
        <v>0</v>
      </c>
      <c r="I6486" t="n">
        <v>0</v>
      </c>
      <c r="J6486" t="n">
        <v>0</v>
      </c>
      <c r="K6486" t="n">
        <v>0</v>
      </c>
      <c r="L6486" t="n">
        <v>0</v>
      </c>
      <c r="M6486" t="n">
        <v>0</v>
      </c>
      <c r="N6486" t="n">
        <v>0</v>
      </c>
      <c r="O6486" t="n">
        <v>0</v>
      </c>
      <c r="P6486" t="n">
        <v>0</v>
      </c>
      <c r="Q6486" t="n">
        <v>0</v>
      </c>
      <c r="R6486" s="2" t="inlineStr"/>
    </row>
    <row r="6487" ht="15" customHeight="1">
      <c r="A6487" t="inlineStr">
        <is>
          <t>A 14031-2024</t>
        </is>
      </c>
      <c r="B6487" s="1" t="n">
        <v>45392.52753472222</v>
      </c>
      <c r="C6487" s="1" t="n">
        <v>45962</v>
      </c>
      <c r="D6487" t="inlineStr">
        <is>
          <t>JÖNKÖPINGS LÄN</t>
        </is>
      </c>
      <c r="E6487" t="inlineStr">
        <is>
          <t>VÄRNAMO</t>
        </is>
      </c>
      <c r="G6487" t="n">
        <v>1</v>
      </c>
      <c r="H6487" t="n">
        <v>0</v>
      </c>
      <c r="I6487" t="n">
        <v>0</v>
      </c>
      <c r="J6487" t="n">
        <v>0</v>
      </c>
      <c r="K6487" t="n">
        <v>0</v>
      </c>
      <c r="L6487" t="n">
        <v>0</v>
      </c>
      <c r="M6487" t="n">
        <v>0</v>
      </c>
      <c r="N6487" t="n">
        <v>0</v>
      </c>
      <c r="O6487" t="n">
        <v>0</v>
      </c>
      <c r="P6487" t="n">
        <v>0</v>
      </c>
      <c r="Q6487" t="n">
        <v>0</v>
      </c>
      <c r="R6487" s="2" t="inlineStr"/>
    </row>
    <row r="6488" ht="15" customHeight="1">
      <c r="A6488" t="inlineStr">
        <is>
          <t>A 36318-2023</t>
        </is>
      </c>
      <c r="B6488" s="1" t="n">
        <v>45149</v>
      </c>
      <c r="C6488" s="1" t="n">
        <v>45962</v>
      </c>
      <c r="D6488" t="inlineStr">
        <is>
          <t>JÖNKÖPINGS LÄN</t>
        </is>
      </c>
      <c r="E6488" t="inlineStr">
        <is>
          <t>VAGGERYD</t>
        </is>
      </c>
      <c r="G6488" t="n">
        <v>0.3</v>
      </c>
      <c r="H6488" t="n">
        <v>0</v>
      </c>
      <c r="I6488" t="n">
        <v>0</v>
      </c>
      <c r="J6488" t="n">
        <v>0</v>
      </c>
      <c r="K6488" t="n">
        <v>0</v>
      </c>
      <c r="L6488" t="n">
        <v>0</v>
      </c>
      <c r="M6488" t="n">
        <v>0</v>
      </c>
      <c r="N6488" t="n">
        <v>0</v>
      </c>
      <c r="O6488" t="n">
        <v>0</v>
      </c>
      <c r="P6488" t="n">
        <v>0</v>
      </c>
      <c r="Q6488" t="n">
        <v>0</v>
      </c>
      <c r="R6488" s="2" t="inlineStr"/>
    </row>
    <row r="6489" ht="15" customHeight="1">
      <c r="A6489" t="inlineStr">
        <is>
          <t>A 39732-2025</t>
        </is>
      </c>
      <c r="B6489" s="1" t="n">
        <v>45891.36364583333</v>
      </c>
      <c r="C6489" s="1" t="n">
        <v>45962</v>
      </c>
      <c r="D6489" t="inlineStr">
        <is>
          <t>JÖNKÖPINGS LÄN</t>
        </is>
      </c>
      <c r="E6489" t="inlineStr">
        <is>
          <t>VETLANDA</t>
        </is>
      </c>
      <c r="G6489" t="n">
        <v>0.7</v>
      </c>
      <c r="H6489" t="n">
        <v>0</v>
      </c>
      <c r="I6489" t="n">
        <v>0</v>
      </c>
      <c r="J6489" t="n">
        <v>0</v>
      </c>
      <c r="K6489" t="n">
        <v>0</v>
      </c>
      <c r="L6489" t="n">
        <v>0</v>
      </c>
      <c r="M6489" t="n">
        <v>0</v>
      </c>
      <c r="N6489" t="n">
        <v>0</v>
      </c>
      <c r="O6489" t="n">
        <v>0</v>
      </c>
      <c r="P6489" t="n">
        <v>0</v>
      </c>
      <c r="Q6489" t="n">
        <v>0</v>
      </c>
      <c r="R6489" s="2" t="inlineStr"/>
    </row>
    <row r="6490" ht="15" customHeight="1">
      <c r="A6490" t="inlineStr">
        <is>
          <t>A 37654-2025</t>
        </is>
      </c>
      <c r="B6490" s="1" t="n">
        <v>45880.49107638889</v>
      </c>
      <c r="C6490" s="1" t="n">
        <v>45962</v>
      </c>
      <c r="D6490" t="inlineStr">
        <is>
          <t>JÖNKÖPINGS LÄN</t>
        </is>
      </c>
      <c r="E6490" t="inlineStr">
        <is>
          <t>GNOSJÖ</t>
        </is>
      </c>
      <c r="G6490" t="n">
        <v>2.7</v>
      </c>
      <c r="H6490" t="n">
        <v>0</v>
      </c>
      <c r="I6490" t="n">
        <v>0</v>
      </c>
      <c r="J6490" t="n">
        <v>0</v>
      </c>
      <c r="K6490" t="n">
        <v>0</v>
      </c>
      <c r="L6490" t="n">
        <v>0</v>
      </c>
      <c r="M6490" t="n">
        <v>0</v>
      </c>
      <c r="N6490" t="n">
        <v>0</v>
      </c>
      <c r="O6490" t="n">
        <v>0</v>
      </c>
      <c r="P6490" t="n">
        <v>0</v>
      </c>
      <c r="Q6490" t="n">
        <v>0</v>
      </c>
      <c r="R6490" s="2" t="inlineStr"/>
    </row>
    <row r="6491" ht="15" customHeight="1">
      <c r="A6491" t="inlineStr">
        <is>
          <t>A 37660-2025</t>
        </is>
      </c>
      <c r="B6491" s="1" t="n">
        <v>45880.49957175926</v>
      </c>
      <c r="C6491" s="1" t="n">
        <v>45962</v>
      </c>
      <c r="D6491" t="inlineStr">
        <is>
          <t>JÖNKÖPINGS LÄN</t>
        </is>
      </c>
      <c r="E6491" t="inlineStr">
        <is>
          <t>JÖNKÖPING</t>
        </is>
      </c>
      <c r="G6491" t="n">
        <v>1.4</v>
      </c>
      <c r="H6491" t="n">
        <v>0</v>
      </c>
      <c r="I6491" t="n">
        <v>0</v>
      </c>
      <c r="J6491" t="n">
        <v>0</v>
      </c>
      <c r="K6491" t="n">
        <v>0</v>
      </c>
      <c r="L6491" t="n">
        <v>0</v>
      </c>
      <c r="M6491" t="n">
        <v>0</v>
      </c>
      <c r="N6491" t="n">
        <v>0</v>
      </c>
      <c r="O6491" t="n">
        <v>0</v>
      </c>
      <c r="P6491" t="n">
        <v>0</v>
      </c>
      <c r="Q6491" t="n">
        <v>0</v>
      </c>
      <c r="R6491" s="2" t="inlineStr"/>
    </row>
    <row r="6492" ht="15" customHeight="1">
      <c r="A6492" t="inlineStr">
        <is>
          <t>A 45560-2025</t>
        </is>
      </c>
      <c r="B6492" s="1" t="n">
        <v>45922.6462962963</v>
      </c>
      <c r="C6492" s="1" t="n">
        <v>45962</v>
      </c>
      <c r="D6492" t="inlineStr">
        <is>
          <t>JÖNKÖPINGS LÄN</t>
        </is>
      </c>
      <c r="E6492" t="inlineStr">
        <is>
          <t>NÄSSJÖ</t>
        </is>
      </c>
      <c r="G6492" t="n">
        <v>1.9</v>
      </c>
      <c r="H6492" t="n">
        <v>0</v>
      </c>
      <c r="I6492" t="n">
        <v>0</v>
      </c>
      <c r="J6492" t="n">
        <v>0</v>
      </c>
      <c r="K6492" t="n">
        <v>0</v>
      </c>
      <c r="L6492" t="n">
        <v>0</v>
      </c>
      <c r="M6492" t="n">
        <v>0</v>
      </c>
      <c r="N6492" t="n">
        <v>0</v>
      </c>
      <c r="O6492" t="n">
        <v>0</v>
      </c>
      <c r="P6492" t="n">
        <v>0</v>
      </c>
      <c r="Q6492" t="n">
        <v>0</v>
      </c>
      <c r="R6492" s="2" t="inlineStr"/>
    </row>
    <row r="6493" ht="15" customHeight="1">
      <c r="A6493" t="inlineStr">
        <is>
          <t>A 5199-2023</t>
        </is>
      </c>
      <c r="B6493" s="1" t="n">
        <v>44959.36028935185</v>
      </c>
      <c r="C6493" s="1" t="n">
        <v>45962</v>
      </c>
      <c r="D6493" t="inlineStr">
        <is>
          <t>JÖNKÖPINGS LÄN</t>
        </is>
      </c>
      <c r="E6493" t="inlineStr">
        <is>
          <t>JÖNKÖPING</t>
        </is>
      </c>
      <c r="F6493" t="inlineStr">
        <is>
          <t>Sveaskog</t>
        </is>
      </c>
      <c r="G6493" t="n">
        <v>2.1</v>
      </c>
      <c r="H6493" t="n">
        <v>0</v>
      </c>
      <c r="I6493" t="n">
        <v>0</v>
      </c>
      <c r="J6493" t="n">
        <v>0</v>
      </c>
      <c r="K6493" t="n">
        <v>0</v>
      </c>
      <c r="L6493" t="n">
        <v>0</v>
      </c>
      <c r="M6493" t="n">
        <v>0</v>
      </c>
      <c r="N6493" t="n">
        <v>0</v>
      </c>
      <c r="O6493" t="n">
        <v>0</v>
      </c>
      <c r="P6493" t="n">
        <v>0</v>
      </c>
      <c r="Q6493" t="n">
        <v>0</v>
      </c>
      <c r="R6493" s="2" t="inlineStr"/>
    </row>
    <row r="6494" ht="15" customHeight="1">
      <c r="A6494" t="inlineStr">
        <is>
          <t>A 71313-2021</t>
        </is>
      </c>
      <c r="B6494" s="1" t="n">
        <v>44539.6791087963</v>
      </c>
      <c r="C6494" s="1" t="n">
        <v>45962</v>
      </c>
      <c r="D6494" t="inlineStr">
        <is>
          <t>JÖNKÖPINGS LÄN</t>
        </is>
      </c>
      <c r="E6494" t="inlineStr">
        <is>
          <t>EKSJÖ</t>
        </is>
      </c>
      <c r="G6494" t="n">
        <v>1.5</v>
      </c>
      <c r="H6494" t="n">
        <v>0</v>
      </c>
      <c r="I6494" t="n">
        <v>0</v>
      </c>
      <c r="J6494" t="n">
        <v>0</v>
      </c>
      <c r="K6494" t="n">
        <v>0</v>
      </c>
      <c r="L6494" t="n">
        <v>0</v>
      </c>
      <c r="M6494" t="n">
        <v>0</v>
      </c>
      <c r="N6494" t="n">
        <v>0</v>
      </c>
      <c r="O6494" t="n">
        <v>0</v>
      </c>
      <c r="P6494" t="n">
        <v>0</v>
      </c>
      <c r="Q6494" t="n">
        <v>0</v>
      </c>
      <c r="R6494" s="2" t="inlineStr"/>
    </row>
    <row r="6495" ht="15" customHeight="1">
      <c r="A6495" t="inlineStr">
        <is>
          <t>A 48362-2025</t>
        </is>
      </c>
      <c r="B6495" s="1" t="n">
        <v>45933.66685185185</v>
      </c>
      <c r="C6495" s="1" t="n">
        <v>45962</v>
      </c>
      <c r="D6495" t="inlineStr">
        <is>
          <t>JÖNKÖPINGS LÄN</t>
        </is>
      </c>
      <c r="E6495" t="inlineStr">
        <is>
          <t>GISLAVED</t>
        </is>
      </c>
      <c r="F6495" t="inlineStr">
        <is>
          <t>Sveaskog</t>
        </is>
      </c>
      <c r="G6495" t="n">
        <v>6.9</v>
      </c>
      <c r="H6495" t="n">
        <v>0</v>
      </c>
      <c r="I6495" t="n">
        <v>0</v>
      </c>
      <c r="J6495" t="n">
        <v>0</v>
      </c>
      <c r="K6495" t="n">
        <v>0</v>
      </c>
      <c r="L6495" t="n">
        <v>0</v>
      </c>
      <c r="M6495" t="n">
        <v>0</v>
      </c>
      <c r="N6495" t="n">
        <v>0</v>
      </c>
      <c r="O6495" t="n">
        <v>0</v>
      </c>
      <c r="P6495" t="n">
        <v>0</v>
      </c>
      <c r="Q6495" t="n">
        <v>0</v>
      </c>
      <c r="R6495" s="2" t="inlineStr"/>
    </row>
    <row r="6496" ht="15" customHeight="1">
      <c r="A6496" t="inlineStr">
        <is>
          <t>A 26986-2023</t>
        </is>
      </c>
      <c r="B6496" s="1" t="n">
        <v>45093.91306712963</v>
      </c>
      <c r="C6496" s="1" t="n">
        <v>45962</v>
      </c>
      <c r="D6496" t="inlineStr">
        <is>
          <t>JÖNKÖPINGS LÄN</t>
        </is>
      </c>
      <c r="E6496" t="inlineStr">
        <is>
          <t>VÄRNAMO</t>
        </is>
      </c>
      <c r="F6496" t="inlineStr">
        <is>
          <t>Sveaskog</t>
        </is>
      </c>
      <c r="G6496" t="n">
        <v>1.6</v>
      </c>
      <c r="H6496" t="n">
        <v>0</v>
      </c>
      <c r="I6496" t="n">
        <v>0</v>
      </c>
      <c r="J6496" t="n">
        <v>0</v>
      </c>
      <c r="K6496" t="n">
        <v>0</v>
      </c>
      <c r="L6496" t="n">
        <v>0</v>
      </c>
      <c r="M6496" t="n">
        <v>0</v>
      </c>
      <c r="N6496" t="n">
        <v>0</v>
      </c>
      <c r="O6496" t="n">
        <v>0</v>
      </c>
      <c r="P6496" t="n">
        <v>0</v>
      </c>
      <c r="Q6496" t="n">
        <v>0</v>
      </c>
      <c r="R6496" s="2" t="inlineStr"/>
    </row>
    <row r="6497" ht="15" customHeight="1">
      <c r="A6497" t="inlineStr">
        <is>
          <t>A 39713-2025</t>
        </is>
      </c>
      <c r="B6497" s="1" t="n">
        <v>45890.88939814815</v>
      </c>
      <c r="C6497" s="1" t="n">
        <v>45962</v>
      </c>
      <c r="D6497" t="inlineStr">
        <is>
          <t>JÖNKÖPINGS LÄN</t>
        </is>
      </c>
      <c r="E6497" t="inlineStr">
        <is>
          <t>NÄSSJÖ</t>
        </is>
      </c>
      <c r="G6497" t="n">
        <v>2.5</v>
      </c>
      <c r="H6497" t="n">
        <v>0</v>
      </c>
      <c r="I6497" t="n">
        <v>0</v>
      </c>
      <c r="J6497" t="n">
        <v>0</v>
      </c>
      <c r="K6497" t="n">
        <v>0</v>
      </c>
      <c r="L6497" t="n">
        <v>0</v>
      </c>
      <c r="M6497" t="n">
        <v>0</v>
      </c>
      <c r="N6497" t="n">
        <v>0</v>
      </c>
      <c r="O6497" t="n">
        <v>0</v>
      </c>
      <c r="P6497" t="n">
        <v>0</v>
      </c>
      <c r="Q6497" t="n">
        <v>0</v>
      </c>
      <c r="R6497" s="2" t="inlineStr"/>
    </row>
    <row r="6498" ht="15" customHeight="1">
      <c r="A6498" t="inlineStr">
        <is>
          <t>A 48365-2025</t>
        </is>
      </c>
      <c r="B6498" s="1" t="n">
        <v>45933.66932870371</v>
      </c>
      <c r="C6498" s="1" t="n">
        <v>45962</v>
      </c>
      <c r="D6498" t="inlineStr">
        <is>
          <t>JÖNKÖPINGS LÄN</t>
        </is>
      </c>
      <c r="E6498" t="inlineStr">
        <is>
          <t>GISLAVED</t>
        </is>
      </c>
      <c r="F6498" t="inlineStr">
        <is>
          <t>Sveaskog</t>
        </is>
      </c>
      <c r="G6498" t="n">
        <v>6</v>
      </c>
      <c r="H6498" t="n">
        <v>0</v>
      </c>
      <c r="I6498" t="n">
        <v>0</v>
      </c>
      <c r="J6498" t="n">
        <v>0</v>
      </c>
      <c r="K6498" t="n">
        <v>0</v>
      </c>
      <c r="L6498" t="n">
        <v>0</v>
      </c>
      <c r="M6498" t="n">
        <v>0</v>
      </c>
      <c r="N6498" t="n">
        <v>0</v>
      </c>
      <c r="O6498" t="n">
        <v>0</v>
      </c>
      <c r="P6498" t="n">
        <v>0</v>
      </c>
      <c r="Q6498" t="n">
        <v>0</v>
      </c>
      <c r="R6498" s="2" t="inlineStr"/>
    </row>
    <row r="6499" ht="15" customHeight="1">
      <c r="A6499" t="inlineStr">
        <is>
          <t>A 37973-2025</t>
        </is>
      </c>
      <c r="B6499" s="1" t="n">
        <v>45881.67730324074</v>
      </c>
      <c r="C6499" s="1" t="n">
        <v>45962</v>
      </c>
      <c r="D6499" t="inlineStr">
        <is>
          <t>JÖNKÖPINGS LÄN</t>
        </is>
      </c>
      <c r="E6499" t="inlineStr">
        <is>
          <t>SÄVSJÖ</t>
        </is>
      </c>
      <c r="G6499" t="n">
        <v>3.3</v>
      </c>
      <c r="H6499" t="n">
        <v>0</v>
      </c>
      <c r="I6499" t="n">
        <v>0</v>
      </c>
      <c r="J6499" t="n">
        <v>0</v>
      </c>
      <c r="K6499" t="n">
        <v>0</v>
      </c>
      <c r="L6499" t="n">
        <v>0</v>
      </c>
      <c r="M6499" t="n">
        <v>0</v>
      </c>
      <c r="N6499" t="n">
        <v>0</v>
      </c>
      <c r="O6499" t="n">
        <v>0</v>
      </c>
      <c r="P6499" t="n">
        <v>0</v>
      </c>
      <c r="Q6499" t="n">
        <v>0</v>
      </c>
      <c r="R6499" s="2" t="inlineStr"/>
    </row>
    <row r="6500" ht="15" customHeight="1">
      <c r="A6500" t="inlineStr">
        <is>
          <t>A 45552-2025</t>
        </is>
      </c>
      <c r="B6500" s="1" t="n">
        <v>45922.63916666667</v>
      </c>
      <c r="C6500" s="1" t="n">
        <v>45962</v>
      </c>
      <c r="D6500" t="inlineStr">
        <is>
          <t>JÖNKÖPINGS LÄN</t>
        </is>
      </c>
      <c r="E6500" t="inlineStr">
        <is>
          <t>VAGGERYD</t>
        </is>
      </c>
      <c r="G6500" t="n">
        <v>1.7</v>
      </c>
      <c r="H6500" t="n">
        <v>0</v>
      </c>
      <c r="I6500" t="n">
        <v>0</v>
      </c>
      <c r="J6500" t="n">
        <v>0</v>
      </c>
      <c r="K6500" t="n">
        <v>0</v>
      </c>
      <c r="L6500" t="n">
        <v>0</v>
      </c>
      <c r="M6500" t="n">
        <v>0</v>
      </c>
      <c r="N6500" t="n">
        <v>0</v>
      </c>
      <c r="O6500" t="n">
        <v>0</v>
      </c>
      <c r="P6500" t="n">
        <v>0</v>
      </c>
      <c r="Q6500" t="n">
        <v>0</v>
      </c>
      <c r="R6500" s="2" t="inlineStr"/>
    </row>
    <row r="6501" ht="15" customHeight="1">
      <c r="A6501" t="inlineStr">
        <is>
          <t>A 45563-2025</t>
        </is>
      </c>
      <c r="B6501" s="1" t="n">
        <v>45922.64782407408</v>
      </c>
      <c r="C6501" s="1" t="n">
        <v>45962</v>
      </c>
      <c r="D6501" t="inlineStr">
        <is>
          <t>JÖNKÖPINGS LÄN</t>
        </is>
      </c>
      <c r="E6501" t="inlineStr">
        <is>
          <t>NÄSSJÖ</t>
        </is>
      </c>
      <c r="G6501" t="n">
        <v>1.1</v>
      </c>
      <c r="H6501" t="n">
        <v>0</v>
      </c>
      <c r="I6501" t="n">
        <v>0</v>
      </c>
      <c r="J6501" t="n">
        <v>0</v>
      </c>
      <c r="K6501" t="n">
        <v>0</v>
      </c>
      <c r="L6501" t="n">
        <v>0</v>
      </c>
      <c r="M6501" t="n">
        <v>0</v>
      </c>
      <c r="N6501" t="n">
        <v>0</v>
      </c>
      <c r="O6501" t="n">
        <v>0</v>
      </c>
      <c r="P6501" t="n">
        <v>0</v>
      </c>
      <c r="Q6501" t="n">
        <v>0</v>
      </c>
      <c r="R6501" s="2" t="inlineStr"/>
    </row>
    <row r="6502" ht="15" customHeight="1">
      <c r="A6502" t="inlineStr">
        <is>
          <t>A 10186-2024</t>
        </is>
      </c>
      <c r="B6502" s="1" t="n">
        <v>45364.88361111111</v>
      </c>
      <c r="C6502" s="1" t="n">
        <v>45962</v>
      </c>
      <c r="D6502" t="inlineStr">
        <is>
          <t>JÖNKÖPINGS LÄN</t>
        </is>
      </c>
      <c r="E6502" t="inlineStr">
        <is>
          <t>VETLANDA</t>
        </is>
      </c>
      <c r="G6502" t="n">
        <v>1.8</v>
      </c>
      <c r="H6502" t="n">
        <v>0</v>
      </c>
      <c r="I6502" t="n">
        <v>0</v>
      </c>
      <c r="J6502" t="n">
        <v>0</v>
      </c>
      <c r="K6502" t="n">
        <v>0</v>
      </c>
      <c r="L6502" t="n">
        <v>0</v>
      </c>
      <c r="M6502" t="n">
        <v>0</v>
      </c>
      <c r="N6502" t="n">
        <v>0</v>
      </c>
      <c r="O6502" t="n">
        <v>0</v>
      </c>
      <c r="P6502" t="n">
        <v>0</v>
      </c>
      <c r="Q6502" t="n">
        <v>0</v>
      </c>
      <c r="R6502" s="2" t="inlineStr"/>
    </row>
    <row r="6503" ht="15" customHeight="1">
      <c r="A6503" t="inlineStr">
        <is>
          <t>A 37682-2025</t>
        </is>
      </c>
      <c r="B6503" s="1" t="n">
        <v>45880.54931712963</v>
      </c>
      <c r="C6503" s="1" t="n">
        <v>45962</v>
      </c>
      <c r="D6503" t="inlineStr">
        <is>
          <t>JÖNKÖPINGS LÄN</t>
        </is>
      </c>
      <c r="E6503" t="inlineStr">
        <is>
          <t>VETLANDA</t>
        </is>
      </c>
      <c r="G6503" t="n">
        <v>0.7</v>
      </c>
      <c r="H6503" t="n">
        <v>0</v>
      </c>
      <c r="I6503" t="n">
        <v>0</v>
      </c>
      <c r="J6503" t="n">
        <v>0</v>
      </c>
      <c r="K6503" t="n">
        <v>0</v>
      </c>
      <c r="L6503" t="n">
        <v>0</v>
      </c>
      <c r="M6503" t="n">
        <v>0</v>
      </c>
      <c r="N6503" t="n">
        <v>0</v>
      </c>
      <c r="O6503" t="n">
        <v>0</v>
      </c>
      <c r="P6503" t="n">
        <v>0</v>
      </c>
      <c r="Q6503" t="n">
        <v>0</v>
      </c>
      <c r="R6503" s="2" t="inlineStr"/>
    </row>
    <row r="6504" ht="15" customHeight="1">
      <c r="A6504" t="inlineStr">
        <is>
          <t>A 10231-2024</t>
        </is>
      </c>
      <c r="B6504" s="1" t="n">
        <v>45365.32019675926</v>
      </c>
      <c r="C6504" s="1" t="n">
        <v>45962</v>
      </c>
      <c r="D6504" t="inlineStr">
        <is>
          <t>JÖNKÖPINGS LÄN</t>
        </is>
      </c>
      <c r="E6504" t="inlineStr">
        <is>
          <t>GISLAVED</t>
        </is>
      </c>
      <c r="G6504" t="n">
        <v>3.6</v>
      </c>
      <c r="H6504" t="n">
        <v>0</v>
      </c>
      <c r="I6504" t="n">
        <v>0</v>
      </c>
      <c r="J6504" t="n">
        <v>0</v>
      </c>
      <c r="K6504" t="n">
        <v>0</v>
      </c>
      <c r="L6504" t="n">
        <v>0</v>
      </c>
      <c r="M6504" t="n">
        <v>0</v>
      </c>
      <c r="N6504" t="n">
        <v>0</v>
      </c>
      <c r="O6504" t="n">
        <v>0</v>
      </c>
      <c r="P6504" t="n">
        <v>0</v>
      </c>
      <c r="Q6504" t="n">
        <v>0</v>
      </c>
      <c r="R6504" s="2" t="inlineStr"/>
    </row>
    <row r="6505" ht="15" customHeight="1">
      <c r="A6505" t="inlineStr">
        <is>
          <t>A 3549-2025</t>
        </is>
      </c>
      <c r="B6505" s="1" t="n">
        <v>45680.65614583333</v>
      </c>
      <c r="C6505" s="1" t="n">
        <v>45962</v>
      </c>
      <c r="D6505" t="inlineStr">
        <is>
          <t>JÖNKÖPINGS LÄN</t>
        </is>
      </c>
      <c r="E6505" t="inlineStr">
        <is>
          <t>EKSJÖ</t>
        </is>
      </c>
      <c r="F6505" t="inlineStr">
        <is>
          <t>Sveaskog</t>
        </is>
      </c>
      <c r="G6505" t="n">
        <v>3.2</v>
      </c>
      <c r="H6505" t="n">
        <v>0</v>
      </c>
      <c r="I6505" t="n">
        <v>0</v>
      </c>
      <c r="J6505" t="n">
        <v>0</v>
      </c>
      <c r="K6505" t="n">
        <v>0</v>
      </c>
      <c r="L6505" t="n">
        <v>0</v>
      </c>
      <c r="M6505" t="n">
        <v>0</v>
      </c>
      <c r="N6505" t="n">
        <v>0</v>
      </c>
      <c r="O6505" t="n">
        <v>0</v>
      </c>
      <c r="P6505" t="n">
        <v>0</v>
      </c>
      <c r="Q6505" t="n">
        <v>0</v>
      </c>
      <c r="R6505" s="2" t="inlineStr"/>
    </row>
    <row r="6506" ht="15" customHeight="1">
      <c r="A6506" t="inlineStr">
        <is>
          <t>A 37732-2025</t>
        </is>
      </c>
      <c r="B6506" s="1" t="n">
        <v>45880.63071759259</v>
      </c>
      <c r="C6506" s="1" t="n">
        <v>45962</v>
      </c>
      <c r="D6506" t="inlineStr">
        <is>
          <t>JÖNKÖPINGS LÄN</t>
        </is>
      </c>
      <c r="E6506" t="inlineStr">
        <is>
          <t>GISLAVED</t>
        </is>
      </c>
      <c r="G6506" t="n">
        <v>1.2</v>
      </c>
      <c r="H6506" t="n">
        <v>0</v>
      </c>
      <c r="I6506" t="n">
        <v>0</v>
      </c>
      <c r="J6506" t="n">
        <v>0</v>
      </c>
      <c r="K6506" t="n">
        <v>0</v>
      </c>
      <c r="L6506" t="n">
        <v>0</v>
      </c>
      <c r="M6506" t="n">
        <v>0</v>
      </c>
      <c r="N6506" t="n">
        <v>0</v>
      </c>
      <c r="O6506" t="n">
        <v>0</v>
      </c>
      <c r="P6506" t="n">
        <v>0</v>
      </c>
      <c r="Q6506" t="n">
        <v>0</v>
      </c>
      <c r="R6506" s="2" t="inlineStr"/>
    </row>
    <row r="6507" ht="15" customHeight="1">
      <c r="A6507" t="inlineStr">
        <is>
          <t>A 3553-2025</t>
        </is>
      </c>
      <c r="B6507" s="1" t="n">
        <v>45680</v>
      </c>
      <c r="C6507" s="1" t="n">
        <v>45962</v>
      </c>
      <c r="D6507" t="inlineStr">
        <is>
          <t>JÖNKÖPINGS LÄN</t>
        </is>
      </c>
      <c r="E6507" t="inlineStr">
        <is>
          <t>ANEBY</t>
        </is>
      </c>
      <c r="G6507" t="n">
        <v>3.4</v>
      </c>
      <c r="H6507" t="n">
        <v>0</v>
      </c>
      <c r="I6507" t="n">
        <v>0</v>
      </c>
      <c r="J6507" t="n">
        <v>0</v>
      </c>
      <c r="K6507" t="n">
        <v>0</v>
      </c>
      <c r="L6507" t="n">
        <v>0</v>
      </c>
      <c r="M6507" t="n">
        <v>0</v>
      </c>
      <c r="N6507" t="n">
        <v>0</v>
      </c>
      <c r="O6507" t="n">
        <v>0</v>
      </c>
      <c r="P6507" t="n">
        <v>0</v>
      </c>
      <c r="Q6507" t="n">
        <v>0</v>
      </c>
      <c r="R6507" s="2" t="inlineStr"/>
    </row>
    <row r="6508" ht="15" customHeight="1">
      <c r="A6508" t="inlineStr">
        <is>
          <t>A 8339-2023</t>
        </is>
      </c>
      <c r="B6508" s="1" t="n">
        <v>44976.42289351852</v>
      </c>
      <c r="C6508" s="1" t="n">
        <v>45962</v>
      </c>
      <c r="D6508" t="inlineStr">
        <is>
          <t>JÖNKÖPINGS LÄN</t>
        </is>
      </c>
      <c r="E6508" t="inlineStr">
        <is>
          <t>NÄSSJÖ</t>
        </is>
      </c>
      <c r="G6508" t="n">
        <v>6.9</v>
      </c>
      <c r="H6508" t="n">
        <v>0</v>
      </c>
      <c r="I6508" t="n">
        <v>0</v>
      </c>
      <c r="J6508" t="n">
        <v>0</v>
      </c>
      <c r="K6508" t="n">
        <v>0</v>
      </c>
      <c r="L6508" t="n">
        <v>0</v>
      </c>
      <c r="M6508" t="n">
        <v>0</v>
      </c>
      <c r="N6508" t="n">
        <v>0</v>
      </c>
      <c r="O6508" t="n">
        <v>0</v>
      </c>
      <c r="P6508" t="n">
        <v>0</v>
      </c>
      <c r="Q6508" t="n">
        <v>0</v>
      </c>
      <c r="R6508" s="2" t="inlineStr"/>
    </row>
    <row r="6509" ht="15" customHeight="1">
      <c r="A6509" t="inlineStr">
        <is>
          <t>A 44671-2024</t>
        </is>
      </c>
      <c r="B6509" s="1" t="n">
        <v>45574.53689814815</v>
      </c>
      <c r="C6509" s="1" t="n">
        <v>45962</v>
      </c>
      <c r="D6509" t="inlineStr">
        <is>
          <t>JÖNKÖPINGS LÄN</t>
        </is>
      </c>
      <c r="E6509" t="inlineStr">
        <is>
          <t>ANEBY</t>
        </is>
      </c>
      <c r="G6509" t="n">
        <v>0.4</v>
      </c>
      <c r="H6509" t="n">
        <v>0</v>
      </c>
      <c r="I6509" t="n">
        <v>0</v>
      </c>
      <c r="J6509" t="n">
        <v>0</v>
      </c>
      <c r="K6509" t="n">
        <v>0</v>
      </c>
      <c r="L6509" t="n">
        <v>0</v>
      </c>
      <c r="M6509" t="n">
        <v>0</v>
      </c>
      <c r="N6509" t="n">
        <v>0</v>
      </c>
      <c r="O6509" t="n">
        <v>0</v>
      </c>
      <c r="P6509" t="n">
        <v>0</v>
      </c>
      <c r="Q6509" t="n">
        <v>0</v>
      </c>
      <c r="R6509" s="2" t="inlineStr"/>
    </row>
    <row r="6510" ht="15" customHeight="1">
      <c r="A6510" t="inlineStr">
        <is>
          <t>A 11428-2024</t>
        </is>
      </c>
      <c r="B6510" s="1" t="n">
        <v>45372.50608796296</v>
      </c>
      <c r="C6510" s="1" t="n">
        <v>45962</v>
      </c>
      <c r="D6510" t="inlineStr">
        <is>
          <t>JÖNKÖPINGS LÄN</t>
        </is>
      </c>
      <c r="E6510" t="inlineStr">
        <is>
          <t>VÄRNAMO</t>
        </is>
      </c>
      <c r="G6510" t="n">
        <v>1.8</v>
      </c>
      <c r="H6510" t="n">
        <v>0</v>
      </c>
      <c r="I6510" t="n">
        <v>0</v>
      </c>
      <c r="J6510" t="n">
        <v>0</v>
      </c>
      <c r="K6510" t="n">
        <v>0</v>
      </c>
      <c r="L6510" t="n">
        <v>0</v>
      </c>
      <c r="M6510" t="n">
        <v>0</v>
      </c>
      <c r="N6510" t="n">
        <v>0</v>
      </c>
      <c r="O6510" t="n">
        <v>0</v>
      </c>
      <c r="P6510" t="n">
        <v>0</v>
      </c>
      <c r="Q6510" t="n">
        <v>0</v>
      </c>
      <c r="R6510" s="2" t="inlineStr"/>
    </row>
    <row r="6511" ht="15" customHeight="1">
      <c r="A6511" t="inlineStr">
        <is>
          <t>A 37543-2025</t>
        </is>
      </c>
      <c r="B6511" s="1" t="n">
        <v>45879.50702546296</v>
      </c>
      <c r="C6511" s="1" t="n">
        <v>45962</v>
      </c>
      <c r="D6511" t="inlineStr">
        <is>
          <t>JÖNKÖPINGS LÄN</t>
        </is>
      </c>
      <c r="E6511" t="inlineStr">
        <is>
          <t>SÄVSJÖ</t>
        </is>
      </c>
      <c r="G6511" t="n">
        <v>1.5</v>
      </c>
      <c r="H6511" t="n">
        <v>0</v>
      </c>
      <c r="I6511" t="n">
        <v>0</v>
      </c>
      <c r="J6511" t="n">
        <v>0</v>
      </c>
      <c r="K6511" t="n">
        <v>0</v>
      </c>
      <c r="L6511" t="n">
        <v>0</v>
      </c>
      <c r="M6511" t="n">
        <v>0</v>
      </c>
      <c r="N6511" t="n">
        <v>0</v>
      </c>
      <c r="O6511" t="n">
        <v>0</v>
      </c>
      <c r="P6511" t="n">
        <v>0</v>
      </c>
      <c r="Q6511" t="n">
        <v>0</v>
      </c>
      <c r="R6511" s="2" t="inlineStr"/>
    </row>
    <row r="6512" ht="15" customHeight="1">
      <c r="A6512" t="inlineStr">
        <is>
          <t>A 39632-2025</t>
        </is>
      </c>
      <c r="B6512" s="1" t="n">
        <v>45890.58982638889</v>
      </c>
      <c r="C6512" s="1" t="n">
        <v>45962</v>
      </c>
      <c r="D6512" t="inlineStr">
        <is>
          <t>JÖNKÖPINGS LÄN</t>
        </is>
      </c>
      <c r="E6512" t="inlineStr">
        <is>
          <t>SÄVSJÖ</t>
        </is>
      </c>
      <c r="G6512" t="n">
        <v>0.7</v>
      </c>
      <c r="H6512" t="n">
        <v>0</v>
      </c>
      <c r="I6512" t="n">
        <v>0</v>
      </c>
      <c r="J6512" t="n">
        <v>0</v>
      </c>
      <c r="K6512" t="n">
        <v>0</v>
      </c>
      <c r="L6512" t="n">
        <v>0</v>
      </c>
      <c r="M6512" t="n">
        <v>0</v>
      </c>
      <c r="N6512" t="n">
        <v>0</v>
      </c>
      <c r="O6512" t="n">
        <v>0</v>
      </c>
      <c r="P6512" t="n">
        <v>0</v>
      </c>
      <c r="Q6512" t="n">
        <v>0</v>
      </c>
      <c r="R6512" s="2" t="inlineStr"/>
    </row>
    <row r="6513" ht="15" customHeight="1">
      <c r="A6513" t="inlineStr">
        <is>
          <t>A 45818-2025</t>
        </is>
      </c>
      <c r="B6513" s="1" t="n">
        <v>45923.59528935186</v>
      </c>
      <c r="C6513" s="1" t="n">
        <v>45962</v>
      </c>
      <c r="D6513" t="inlineStr">
        <is>
          <t>JÖNKÖPINGS LÄN</t>
        </is>
      </c>
      <c r="E6513" t="inlineStr">
        <is>
          <t>HABO</t>
        </is>
      </c>
      <c r="G6513" t="n">
        <v>1.4</v>
      </c>
      <c r="H6513" t="n">
        <v>0</v>
      </c>
      <c r="I6513" t="n">
        <v>0</v>
      </c>
      <c r="J6513" t="n">
        <v>0</v>
      </c>
      <c r="K6513" t="n">
        <v>0</v>
      </c>
      <c r="L6513" t="n">
        <v>0</v>
      </c>
      <c r="M6513" t="n">
        <v>0</v>
      </c>
      <c r="N6513" t="n">
        <v>0</v>
      </c>
      <c r="O6513" t="n">
        <v>0</v>
      </c>
      <c r="P6513" t="n">
        <v>0</v>
      </c>
      <c r="Q6513" t="n">
        <v>0</v>
      </c>
      <c r="R6513" s="2" t="inlineStr"/>
    </row>
    <row r="6514" ht="15" customHeight="1">
      <c r="A6514" t="inlineStr">
        <is>
          <t>A 45879-2025</t>
        </is>
      </c>
      <c r="B6514" s="1" t="n">
        <v>45923.66038194444</v>
      </c>
      <c r="C6514" s="1" t="n">
        <v>45962</v>
      </c>
      <c r="D6514" t="inlineStr">
        <is>
          <t>JÖNKÖPINGS LÄN</t>
        </is>
      </c>
      <c r="E6514" t="inlineStr">
        <is>
          <t>VÄRNAMO</t>
        </is>
      </c>
      <c r="G6514" t="n">
        <v>2</v>
      </c>
      <c r="H6514" t="n">
        <v>0</v>
      </c>
      <c r="I6514" t="n">
        <v>0</v>
      </c>
      <c r="J6514" t="n">
        <v>0</v>
      </c>
      <c r="K6514" t="n">
        <v>0</v>
      </c>
      <c r="L6514" t="n">
        <v>0</v>
      </c>
      <c r="M6514" t="n">
        <v>0</v>
      </c>
      <c r="N6514" t="n">
        <v>0</v>
      </c>
      <c r="O6514" t="n">
        <v>0</v>
      </c>
      <c r="P6514" t="n">
        <v>0</v>
      </c>
      <c r="Q6514" t="n">
        <v>0</v>
      </c>
      <c r="R6514" s="2" t="inlineStr"/>
    </row>
    <row r="6515" ht="15" customHeight="1">
      <c r="A6515" t="inlineStr">
        <is>
          <t>A 37545-2025</t>
        </is>
      </c>
      <c r="B6515" s="1" t="n">
        <v>45879.50917824074</v>
      </c>
      <c r="C6515" s="1" t="n">
        <v>45962</v>
      </c>
      <c r="D6515" t="inlineStr">
        <is>
          <t>JÖNKÖPINGS LÄN</t>
        </is>
      </c>
      <c r="E6515" t="inlineStr">
        <is>
          <t>SÄVSJÖ</t>
        </is>
      </c>
      <c r="G6515" t="n">
        <v>1.1</v>
      </c>
      <c r="H6515" t="n">
        <v>0</v>
      </c>
      <c r="I6515" t="n">
        <v>0</v>
      </c>
      <c r="J6515" t="n">
        <v>0</v>
      </c>
      <c r="K6515" t="n">
        <v>0</v>
      </c>
      <c r="L6515" t="n">
        <v>0</v>
      </c>
      <c r="M6515" t="n">
        <v>0</v>
      </c>
      <c r="N6515" t="n">
        <v>0</v>
      </c>
      <c r="O6515" t="n">
        <v>0</v>
      </c>
      <c r="P6515" t="n">
        <v>0</v>
      </c>
      <c r="Q6515" t="n">
        <v>0</v>
      </c>
      <c r="R6515" s="2" t="inlineStr"/>
    </row>
    <row r="6516" ht="15" customHeight="1">
      <c r="A6516" t="inlineStr">
        <is>
          <t>A 46869-2025</t>
        </is>
      </c>
      <c r="B6516" s="1" t="n">
        <v>45927</v>
      </c>
      <c r="C6516" s="1" t="n">
        <v>45962</v>
      </c>
      <c r="D6516" t="inlineStr">
        <is>
          <t>JÖNKÖPINGS LÄN</t>
        </is>
      </c>
      <c r="E6516" t="inlineStr">
        <is>
          <t>VETLANDA</t>
        </is>
      </c>
      <c r="G6516" t="n">
        <v>1.8</v>
      </c>
      <c r="H6516" t="n">
        <v>0</v>
      </c>
      <c r="I6516" t="n">
        <v>0</v>
      </c>
      <c r="J6516" t="n">
        <v>0</v>
      </c>
      <c r="K6516" t="n">
        <v>0</v>
      </c>
      <c r="L6516" t="n">
        <v>0</v>
      </c>
      <c r="M6516" t="n">
        <v>0</v>
      </c>
      <c r="N6516" t="n">
        <v>0</v>
      </c>
      <c r="O6516" t="n">
        <v>0</v>
      </c>
      <c r="P6516" t="n">
        <v>0</v>
      </c>
      <c r="Q6516" t="n">
        <v>0</v>
      </c>
      <c r="R6516" s="2" t="inlineStr"/>
    </row>
    <row r="6517" ht="15" customHeight="1">
      <c r="A6517" t="inlineStr">
        <is>
          <t>A 50324-2021</t>
        </is>
      </c>
      <c r="B6517" s="1" t="n">
        <v>44456</v>
      </c>
      <c r="C6517" s="1" t="n">
        <v>45962</v>
      </c>
      <c r="D6517" t="inlineStr">
        <is>
          <t>JÖNKÖPINGS LÄN</t>
        </is>
      </c>
      <c r="E6517" t="inlineStr">
        <is>
          <t>GISLAVED</t>
        </is>
      </c>
      <c r="G6517" t="n">
        <v>0.5</v>
      </c>
      <c r="H6517" t="n">
        <v>0</v>
      </c>
      <c r="I6517" t="n">
        <v>0</v>
      </c>
      <c r="J6517" t="n">
        <v>0</v>
      </c>
      <c r="K6517" t="n">
        <v>0</v>
      </c>
      <c r="L6517" t="n">
        <v>0</v>
      </c>
      <c r="M6517" t="n">
        <v>0</v>
      </c>
      <c r="N6517" t="n">
        <v>0</v>
      </c>
      <c r="O6517" t="n">
        <v>0</v>
      </c>
      <c r="P6517" t="n">
        <v>0</v>
      </c>
      <c r="Q6517" t="n">
        <v>0</v>
      </c>
      <c r="R6517" s="2" t="inlineStr"/>
    </row>
    <row r="6518" ht="15" customHeight="1">
      <c r="A6518" t="inlineStr">
        <is>
          <t>A 67414-2021</t>
        </is>
      </c>
      <c r="B6518" s="1" t="n">
        <v>44524.29709490741</v>
      </c>
      <c r="C6518" s="1" t="n">
        <v>45962</v>
      </c>
      <c r="D6518" t="inlineStr">
        <is>
          <t>JÖNKÖPINGS LÄN</t>
        </is>
      </c>
      <c r="E6518" t="inlineStr">
        <is>
          <t>ANEBY</t>
        </is>
      </c>
      <c r="G6518" t="n">
        <v>2.2</v>
      </c>
      <c r="H6518" t="n">
        <v>0</v>
      </c>
      <c r="I6518" t="n">
        <v>0</v>
      </c>
      <c r="J6518" t="n">
        <v>0</v>
      </c>
      <c r="K6518" t="n">
        <v>0</v>
      </c>
      <c r="L6518" t="n">
        <v>0</v>
      </c>
      <c r="M6518" t="n">
        <v>0</v>
      </c>
      <c r="N6518" t="n">
        <v>0</v>
      </c>
      <c r="O6518" t="n">
        <v>0</v>
      </c>
      <c r="P6518" t="n">
        <v>0</v>
      </c>
      <c r="Q6518" t="n">
        <v>0</v>
      </c>
      <c r="R6518" s="2" t="inlineStr"/>
    </row>
    <row r="6519" ht="15" customHeight="1">
      <c r="A6519" t="inlineStr">
        <is>
          <t>A 16403-2023</t>
        </is>
      </c>
      <c r="B6519" s="1" t="n">
        <v>45029</v>
      </c>
      <c r="C6519" s="1" t="n">
        <v>45962</v>
      </c>
      <c r="D6519" t="inlineStr">
        <is>
          <t>JÖNKÖPINGS LÄN</t>
        </is>
      </c>
      <c r="E6519" t="inlineStr">
        <is>
          <t>SÄVSJÖ</t>
        </is>
      </c>
      <c r="G6519" t="n">
        <v>0.5</v>
      </c>
      <c r="H6519" t="n">
        <v>0</v>
      </c>
      <c r="I6519" t="n">
        <v>0</v>
      </c>
      <c r="J6519" t="n">
        <v>0</v>
      </c>
      <c r="K6519" t="n">
        <v>0</v>
      </c>
      <c r="L6519" t="n">
        <v>0</v>
      </c>
      <c r="M6519" t="n">
        <v>0</v>
      </c>
      <c r="N6519" t="n">
        <v>0</v>
      </c>
      <c r="O6519" t="n">
        <v>0</v>
      </c>
      <c r="P6519" t="n">
        <v>0</v>
      </c>
      <c r="Q6519" t="n">
        <v>0</v>
      </c>
      <c r="R6519" s="2" t="inlineStr"/>
    </row>
    <row r="6520" ht="15" customHeight="1">
      <c r="A6520" t="inlineStr">
        <is>
          <t>A 39916-2025</t>
        </is>
      </c>
      <c r="B6520" s="1" t="n">
        <v>45891.65680555555</v>
      </c>
      <c r="C6520" s="1" t="n">
        <v>45962</v>
      </c>
      <c r="D6520" t="inlineStr">
        <is>
          <t>JÖNKÖPINGS LÄN</t>
        </is>
      </c>
      <c r="E6520" t="inlineStr">
        <is>
          <t>EKSJÖ</t>
        </is>
      </c>
      <c r="G6520" t="n">
        <v>3.2</v>
      </c>
      <c r="H6520" t="n">
        <v>0</v>
      </c>
      <c r="I6520" t="n">
        <v>0</v>
      </c>
      <c r="J6520" t="n">
        <v>0</v>
      </c>
      <c r="K6520" t="n">
        <v>0</v>
      </c>
      <c r="L6520" t="n">
        <v>0</v>
      </c>
      <c r="M6520" t="n">
        <v>0</v>
      </c>
      <c r="N6520" t="n">
        <v>0</v>
      </c>
      <c r="O6520" t="n">
        <v>0</v>
      </c>
      <c r="P6520" t="n">
        <v>0</v>
      </c>
      <c r="Q6520" t="n">
        <v>0</v>
      </c>
      <c r="R6520" s="2" t="inlineStr"/>
    </row>
    <row r="6521" ht="15" customHeight="1">
      <c r="A6521" t="inlineStr">
        <is>
          <t>A 39927-2025</t>
        </is>
      </c>
      <c r="B6521" s="1" t="n">
        <v>45891.68484953704</v>
      </c>
      <c r="C6521" s="1" t="n">
        <v>45962</v>
      </c>
      <c r="D6521" t="inlineStr">
        <is>
          <t>JÖNKÖPINGS LÄN</t>
        </is>
      </c>
      <c r="E6521" t="inlineStr">
        <is>
          <t>ANEBY</t>
        </is>
      </c>
      <c r="G6521" t="n">
        <v>0.6</v>
      </c>
      <c r="H6521" t="n">
        <v>0</v>
      </c>
      <c r="I6521" t="n">
        <v>0</v>
      </c>
      <c r="J6521" t="n">
        <v>0</v>
      </c>
      <c r="K6521" t="n">
        <v>0</v>
      </c>
      <c r="L6521" t="n">
        <v>0</v>
      </c>
      <c r="M6521" t="n">
        <v>0</v>
      </c>
      <c r="N6521" t="n">
        <v>0</v>
      </c>
      <c r="O6521" t="n">
        <v>0</v>
      </c>
      <c r="P6521" t="n">
        <v>0</v>
      </c>
      <c r="Q6521" t="n">
        <v>0</v>
      </c>
      <c r="R6521" s="2" t="inlineStr"/>
    </row>
    <row r="6522" ht="15" customHeight="1">
      <c r="A6522" t="inlineStr">
        <is>
          <t>A 16928-2023</t>
        </is>
      </c>
      <c r="B6522" s="1" t="n">
        <v>45033</v>
      </c>
      <c r="C6522" s="1" t="n">
        <v>45962</v>
      </c>
      <c r="D6522" t="inlineStr">
        <is>
          <t>JÖNKÖPINGS LÄN</t>
        </is>
      </c>
      <c r="E6522" t="inlineStr">
        <is>
          <t>ANEBY</t>
        </is>
      </c>
      <c r="G6522" t="n">
        <v>3.6</v>
      </c>
      <c r="H6522" t="n">
        <v>0</v>
      </c>
      <c r="I6522" t="n">
        <v>0</v>
      </c>
      <c r="J6522" t="n">
        <v>0</v>
      </c>
      <c r="K6522" t="n">
        <v>0</v>
      </c>
      <c r="L6522" t="n">
        <v>0</v>
      </c>
      <c r="M6522" t="n">
        <v>0</v>
      </c>
      <c r="N6522" t="n">
        <v>0</v>
      </c>
      <c r="O6522" t="n">
        <v>0</v>
      </c>
      <c r="P6522" t="n">
        <v>0</v>
      </c>
      <c r="Q6522" t="n">
        <v>0</v>
      </c>
      <c r="R6522" s="2" t="inlineStr"/>
    </row>
    <row r="6523" ht="15" customHeight="1">
      <c r="A6523" t="inlineStr">
        <is>
          <t>A 31694-2024</t>
        </is>
      </c>
      <c r="B6523" s="1" t="n">
        <v>45508</v>
      </c>
      <c r="C6523" s="1" t="n">
        <v>45962</v>
      </c>
      <c r="D6523" t="inlineStr">
        <is>
          <t>JÖNKÖPINGS LÄN</t>
        </is>
      </c>
      <c r="E6523" t="inlineStr">
        <is>
          <t>TRANÅS</t>
        </is>
      </c>
      <c r="G6523" t="n">
        <v>1.2</v>
      </c>
      <c r="H6523" t="n">
        <v>0</v>
      </c>
      <c r="I6523" t="n">
        <v>0</v>
      </c>
      <c r="J6523" t="n">
        <v>0</v>
      </c>
      <c r="K6523" t="n">
        <v>0</v>
      </c>
      <c r="L6523" t="n">
        <v>0</v>
      </c>
      <c r="M6523" t="n">
        <v>0</v>
      </c>
      <c r="N6523" t="n">
        <v>0</v>
      </c>
      <c r="O6523" t="n">
        <v>0</v>
      </c>
      <c r="P6523" t="n">
        <v>0</v>
      </c>
      <c r="Q6523" t="n">
        <v>0</v>
      </c>
      <c r="R6523" s="2" t="inlineStr"/>
    </row>
    <row r="6524" ht="15" customHeight="1">
      <c r="A6524" t="inlineStr">
        <is>
          <t>A 45302-2025</t>
        </is>
      </c>
      <c r="B6524" s="1" t="n">
        <v>45921.53244212963</v>
      </c>
      <c r="C6524" s="1" t="n">
        <v>45962</v>
      </c>
      <c r="D6524" t="inlineStr">
        <is>
          <t>JÖNKÖPINGS LÄN</t>
        </is>
      </c>
      <c r="E6524" t="inlineStr">
        <is>
          <t>VAGGERYD</t>
        </is>
      </c>
      <c r="G6524" t="n">
        <v>1.3</v>
      </c>
      <c r="H6524" t="n">
        <v>0</v>
      </c>
      <c r="I6524" t="n">
        <v>0</v>
      </c>
      <c r="J6524" t="n">
        <v>0</v>
      </c>
      <c r="K6524" t="n">
        <v>0</v>
      </c>
      <c r="L6524" t="n">
        <v>0</v>
      </c>
      <c r="M6524" t="n">
        <v>0</v>
      </c>
      <c r="N6524" t="n">
        <v>0</v>
      </c>
      <c r="O6524" t="n">
        <v>0</v>
      </c>
      <c r="P6524" t="n">
        <v>0</v>
      </c>
      <c r="Q6524" t="n">
        <v>0</v>
      </c>
      <c r="R6524" s="2" t="inlineStr"/>
    </row>
    <row r="6525" ht="15" customHeight="1">
      <c r="A6525" t="inlineStr">
        <is>
          <t>A 35812-2023</t>
        </is>
      </c>
      <c r="B6525" s="1" t="n">
        <v>45148.44225694444</v>
      </c>
      <c r="C6525" s="1" t="n">
        <v>45962</v>
      </c>
      <c r="D6525" t="inlineStr">
        <is>
          <t>JÖNKÖPINGS LÄN</t>
        </is>
      </c>
      <c r="E6525" t="inlineStr">
        <is>
          <t>SÄVSJÖ</t>
        </is>
      </c>
      <c r="G6525" t="n">
        <v>0.9</v>
      </c>
      <c r="H6525" t="n">
        <v>0</v>
      </c>
      <c r="I6525" t="n">
        <v>0</v>
      </c>
      <c r="J6525" t="n">
        <v>0</v>
      </c>
      <c r="K6525" t="n">
        <v>0</v>
      </c>
      <c r="L6525" t="n">
        <v>0</v>
      </c>
      <c r="M6525" t="n">
        <v>0</v>
      </c>
      <c r="N6525" t="n">
        <v>0</v>
      </c>
      <c r="O6525" t="n">
        <v>0</v>
      </c>
      <c r="P6525" t="n">
        <v>0</v>
      </c>
      <c r="Q6525" t="n">
        <v>0</v>
      </c>
      <c r="R6525" s="2" t="inlineStr"/>
    </row>
    <row r="6526" ht="15" customHeight="1">
      <c r="A6526" t="inlineStr">
        <is>
          <t>A 36483-2023</t>
        </is>
      </c>
      <c r="B6526" s="1" t="n">
        <v>45152.73112268518</v>
      </c>
      <c r="C6526" s="1" t="n">
        <v>45962</v>
      </c>
      <c r="D6526" t="inlineStr">
        <is>
          <t>JÖNKÖPINGS LÄN</t>
        </is>
      </c>
      <c r="E6526" t="inlineStr">
        <is>
          <t>HABO</t>
        </is>
      </c>
      <c r="G6526" t="n">
        <v>0.8</v>
      </c>
      <c r="H6526" t="n">
        <v>0</v>
      </c>
      <c r="I6526" t="n">
        <v>0</v>
      </c>
      <c r="J6526" t="n">
        <v>0</v>
      </c>
      <c r="K6526" t="n">
        <v>0</v>
      </c>
      <c r="L6526" t="n">
        <v>0</v>
      </c>
      <c r="M6526" t="n">
        <v>0</v>
      </c>
      <c r="N6526" t="n">
        <v>0</v>
      </c>
      <c r="O6526" t="n">
        <v>0</v>
      </c>
      <c r="P6526" t="n">
        <v>0</v>
      </c>
      <c r="Q6526" t="n">
        <v>0</v>
      </c>
      <c r="R6526" s="2" t="inlineStr"/>
    </row>
    <row r="6527" ht="15" customHeight="1">
      <c r="A6527" t="inlineStr">
        <is>
          <t>A 37847-2025</t>
        </is>
      </c>
      <c r="B6527" s="1" t="n">
        <v>45881.44418981481</v>
      </c>
      <c r="C6527" s="1" t="n">
        <v>45962</v>
      </c>
      <c r="D6527" t="inlineStr">
        <is>
          <t>JÖNKÖPINGS LÄN</t>
        </is>
      </c>
      <c r="E6527" t="inlineStr">
        <is>
          <t>NÄSSJÖ</t>
        </is>
      </c>
      <c r="G6527" t="n">
        <v>1.1</v>
      </c>
      <c r="H6527" t="n">
        <v>0</v>
      </c>
      <c r="I6527" t="n">
        <v>0</v>
      </c>
      <c r="J6527" t="n">
        <v>0</v>
      </c>
      <c r="K6527" t="n">
        <v>0</v>
      </c>
      <c r="L6527" t="n">
        <v>0</v>
      </c>
      <c r="M6527" t="n">
        <v>0</v>
      </c>
      <c r="N6527" t="n">
        <v>0</v>
      </c>
      <c r="O6527" t="n">
        <v>0</v>
      </c>
      <c r="P6527" t="n">
        <v>0</v>
      </c>
      <c r="Q6527" t="n">
        <v>0</v>
      </c>
      <c r="R6527" s="2" t="inlineStr"/>
    </row>
    <row r="6528" ht="15" customHeight="1">
      <c r="A6528" t="inlineStr">
        <is>
          <t>A 25560-2023</t>
        </is>
      </c>
      <c r="B6528" s="1" t="n">
        <v>45089.60100694445</v>
      </c>
      <c r="C6528" s="1" t="n">
        <v>45962</v>
      </c>
      <c r="D6528" t="inlineStr">
        <is>
          <t>JÖNKÖPINGS LÄN</t>
        </is>
      </c>
      <c r="E6528" t="inlineStr">
        <is>
          <t>VETLANDA</t>
        </is>
      </c>
      <c r="G6528" t="n">
        <v>1.4</v>
      </c>
      <c r="H6528" t="n">
        <v>0</v>
      </c>
      <c r="I6528" t="n">
        <v>0</v>
      </c>
      <c r="J6528" t="n">
        <v>0</v>
      </c>
      <c r="K6528" t="n">
        <v>0</v>
      </c>
      <c r="L6528" t="n">
        <v>0</v>
      </c>
      <c r="M6528" t="n">
        <v>0</v>
      </c>
      <c r="N6528" t="n">
        <v>0</v>
      </c>
      <c r="O6528" t="n">
        <v>0</v>
      </c>
      <c r="P6528" t="n">
        <v>0</v>
      </c>
      <c r="Q6528" t="n">
        <v>0</v>
      </c>
      <c r="R6528" s="2" t="inlineStr"/>
    </row>
    <row r="6529" ht="15" customHeight="1">
      <c r="A6529" t="inlineStr">
        <is>
          <t>A 49878-2023</t>
        </is>
      </c>
      <c r="B6529" s="1" t="n">
        <v>45213</v>
      </c>
      <c r="C6529" s="1" t="n">
        <v>45962</v>
      </c>
      <c r="D6529" t="inlineStr">
        <is>
          <t>JÖNKÖPINGS LÄN</t>
        </is>
      </c>
      <c r="E6529" t="inlineStr">
        <is>
          <t>NÄSSJÖ</t>
        </is>
      </c>
      <c r="G6529" t="n">
        <v>0</v>
      </c>
      <c r="H6529" t="n">
        <v>0</v>
      </c>
      <c r="I6529" t="n">
        <v>0</v>
      </c>
      <c r="J6529" t="n">
        <v>0</v>
      </c>
      <c r="K6529" t="n">
        <v>0</v>
      </c>
      <c r="L6529" t="n">
        <v>0</v>
      </c>
      <c r="M6529" t="n">
        <v>0</v>
      </c>
      <c r="N6529" t="n">
        <v>0</v>
      </c>
      <c r="O6529" t="n">
        <v>0</v>
      </c>
      <c r="P6529" t="n">
        <v>0</v>
      </c>
      <c r="Q6529" t="n">
        <v>0</v>
      </c>
      <c r="R6529" s="2" t="inlineStr"/>
    </row>
    <row r="6530" ht="15" customHeight="1">
      <c r="A6530" t="inlineStr">
        <is>
          <t>A 61108-2024</t>
        </is>
      </c>
      <c r="B6530" s="1" t="n">
        <v>45645.55663194445</v>
      </c>
      <c r="C6530" s="1" t="n">
        <v>45962</v>
      </c>
      <c r="D6530" t="inlineStr">
        <is>
          <t>JÖNKÖPINGS LÄN</t>
        </is>
      </c>
      <c r="E6530" t="inlineStr">
        <is>
          <t>VÄRNAMO</t>
        </is>
      </c>
      <c r="G6530" t="n">
        <v>13</v>
      </c>
      <c r="H6530" t="n">
        <v>0</v>
      </c>
      <c r="I6530" t="n">
        <v>0</v>
      </c>
      <c r="J6530" t="n">
        <v>0</v>
      </c>
      <c r="K6530" t="n">
        <v>0</v>
      </c>
      <c r="L6530" t="n">
        <v>0</v>
      </c>
      <c r="M6530" t="n">
        <v>0</v>
      </c>
      <c r="N6530" t="n">
        <v>0</v>
      </c>
      <c r="O6530" t="n">
        <v>0</v>
      </c>
      <c r="P6530" t="n">
        <v>0</v>
      </c>
      <c r="Q6530" t="n">
        <v>0</v>
      </c>
      <c r="R6530" s="2" t="inlineStr"/>
    </row>
    <row r="6531" ht="15" customHeight="1">
      <c r="A6531" t="inlineStr">
        <is>
          <t>A 38912-2024</t>
        </is>
      </c>
      <c r="B6531" s="1" t="n">
        <v>45548</v>
      </c>
      <c r="C6531" s="1" t="n">
        <v>45962</v>
      </c>
      <c r="D6531" t="inlineStr">
        <is>
          <t>JÖNKÖPINGS LÄN</t>
        </is>
      </c>
      <c r="E6531" t="inlineStr">
        <is>
          <t>ANEBY</t>
        </is>
      </c>
      <c r="F6531" t="inlineStr">
        <is>
          <t>Övriga Aktiebolag</t>
        </is>
      </c>
      <c r="G6531" t="n">
        <v>4.9</v>
      </c>
      <c r="H6531" t="n">
        <v>0</v>
      </c>
      <c r="I6531" t="n">
        <v>0</v>
      </c>
      <c r="J6531" t="n">
        <v>0</v>
      </c>
      <c r="K6531" t="n">
        <v>0</v>
      </c>
      <c r="L6531" t="n">
        <v>0</v>
      </c>
      <c r="M6531" t="n">
        <v>0</v>
      </c>
      <c r="N6531" t="n">
        <v>0</v>
      </c>
      <c r="O6531" t="n">
        <v>0</v>
      </c>
      <c r="P6531" t="n">
        <v>0</v>
      </c>
      <c r="Q6531" t="n">
        <v>0</v>
      </c>
      <c r="R6531" s="2" t="inlineStr"/>
    </row>
    <row r="6532" ht="15" customHeight="1">
      <c r="A6532" t="inlineStr">
        <is>
          <t>A 60083-2022</t>
        </is>
      </c>
      <c r="B6532" s="1" t="n">
        <v>44909.59552083333</v>
      </c>
      <c r="C6532" s="1" t="n">
        <v>45962</v>
      </c>
      <c r="D6532" t="inlineStr">
        <is>
          <t>JÖNKÖPINGS LÄN</t>
        </is>
      </c>
      <c r="E6532" t="inlineStr">
        <is>
          <t>VETLANDA</t>
        </is>
      </c>
      <c r="G6532" t="n">
        <v>1.8</v>
      </c>
      <c r="H6532" t="n">
        <v>0</v>
      </c>
      <c r="I6532" t="n">
        <v>0</v>
      </c>
      <c r="J6532" t="n">
        <v>0</v>
      </c>
      <c r="K6532" t="n">
        <v>0</v>
      </c>
      <c r="L6532" t="n">
        <v>0</v>
      </c>
      <c r="M6532" t="n">
        <v>0</v>
      </c>
      <c r="N6532" t="n">
        <v>0</v>
      </c>
      <c r="O6532" t="n">
        <v>0</v>
      </c>
      <c r="P6532" t="n">
        <v>0</v>
      </c>
      <c r="Q6532" t="n">
        <v>0</v>
      </c>
      <c r="R6532" s="2" t="inlineStr"/>
    </row>
    <row r="6533" ht="15" customHeight="1">
      <c r="A6533" t="inlineStr">
        <is>
          <t>A 37870-2025</t>
        </is>
      </c>
      <c r="B6533" s="1" t="n">
        <v>45880</v>
      </c>
      <c r="C6533" s="1" t="n">
        <v>45962</v>
      </c>
      <c r="D6533" t="inlineStr">
        <is>
          <t>JÖNKÖPINGS LÄN</t>
        </is>
      </c>
      <c r="E6533" t="inlineStr">
        <is>
          <t>NÄSSJÖ</t>
        </is>
      </c>
      <c r="G6533" t="n">
        <v>0.7</v>
      </c>
      <c r="H6533" t="n">
        <v>0</v>
      </c>
      <c r="I6533" t="n">
        <v>0</v>
      </c>
      <c r="J6533" t="n">
        <v>0</v>
      </c>
      <c r="K6533" t="n">
        <v>0</v>
      </c>
      <c r="L6533" t="n">
        <v>0</v>
      </c>
      <c r="M6533" t="n">
        <v>0</v>
      </c>
      <c r="N6533" t="n">
        <v>0</v>
      </c>
      <c r="O6533" t="n">
        <v>0</v>
      </c>
      <c r="P6533" t="n">
        <v>0</v>
      </c>
      <c r="Q6533" t="n">
        <v>0</v>
      </c>
      <c r="R6533" s="2" t="inlineStr"/>
    </row>
    <row r="6534" ht="15" customHeight="1">
      <c r="A6534" t="inlineStr">
        <is>
          <t>A 37894-2025</t>
        </is>
      </c>
      <c r="B6534" s="1" t="n">
        <v>45880</v>
      </c>
      <c r="C6534" s="1" t="n">
        <v>45962</v>
      </c>
      <c r="D6534" t="inlineStr">
        <is>
          <t>JÖNKÖPINGS LÄN</t>
        </is>
      </c>
      <c r="E6534" t="inlineStr">
        <is>
          <t>VÄRNAMO</t>
        </is>
      </c>
      <c r="G6534" t="n">
        <v>2.1</v>
      </c>
      <c r="H6534" t="n">
        <v>0</v>
      </c>
      <c r="I6534" t="n">
        <v>0</v>
      </c>
      <c r="J6534" t="n">
        <v>0</v>
      </c>
      <c r="K6534" t="n">
        <v>0</v>
      </c>
      <c r="L6534" t="n">
        <v>0</v>
      </c>
      <c r="M6534" t="n">
        <v>0</v>
      </c>
      <c r="N6534" t="n">
        <v>0</v>
      </c>
      <c r="O6534" t="n">
        <v>0</v>
      </c>
      <c r="P6534" t="n">
        <v>0</v>
      </c>
      <c r="Q6534" t="n">
        <v>0</v>
      </c>
      <c r="R6534" s="2" t="inlineStr"/>
    </row>
    <row r="6535" ht="15" customHeight="1">
      <c r="A6535" t="inlineStr">
        <is>
          <t>A 8217-2025</t>
        </is>
      </c>
      <c r="B6535" s="1" t="n">
        <v>45708.44949074074</v>
      </c>
      <c r="C6535" s="1" t="n">
        <v>45962</v>
      </c>
      <c r="D6535" t="inlineStr">
        <is>
          <t>JÖNKÖPINGS LÄN</t>
        </is>
      </c>
      <c r="E6535" t="inlineStr">
        <is>
          <t>SÄVSJÖ</t>
        </is>
      </c>
      <c r="G6535" t="n">
        <v>1.2</v>
      </c>
      <c r="H6535" t="n">
        <v>0</v>
      </c>
      <c r="I6535" t="n">
        <v>0</v>
      </c>
      <c r="J6535" t="n">
        <v>0</v>
      </c>
      <c r="K6535" t="n">
        <v>0</v>
      </c>
      <c r="L6535" t="n">
        <v>0</v>
      </c>
      <c r="M6535" t="n">
        <v>0</v>
      </c>
      <c r="N6535" t="n">
        <v>0</v>
      </c>
      <c r="O6535" t="n">
        <v>0</v>
      </c>
      <c r="P6535" t="n">
        <v>0</v>
      </c>
      <c r="Q6535" t="n">
        <v>0</v>
      </c>
      <c r="R6535" s="2" t="inlineStr"/>
    </row>
    <row r="6536" ht="15" customHeight="1">
      <c r="A6536" t="inlineStr">
        <is>
          <t>A 45866-2025</t>
        </is>
      </c>
      <c r="B6536" s="1" t="n">
        <v>45923.64752314815</v>
      </c>
      <c r="C6536" s="1" t="n">
        <v>45962</v>
      </c>
      <c r="D6536" t="inlineStr">
        <is>
          <t>JÖNKÖPINGS LÄN</t>
        </is>
      </c>
      <c r="E6536" t="inlineStr">
        <is>
          <t>VÄRNAMO</t>
        </is>
      </c>
      <c r="G6536" t="n">
        <v>1.9</v>
      </c>
      <c r="H6536" t="n">
        <v>0</v>
      </c>
      <c r="I6536" t="n">
        <v>0</v>
      </c>
      <c r="J6536" t="n">
        <v>0</v>
      </c>
      <c r="K6536" t="n">
        <v>0</v>
      </c>
      <c r="L6536" t="n">
        <v>0</v>
      </c>
      <c r="M6536" t="n">
        <v>0</v>
      </c>
      <c r="N6536" t="n">
        <v>0</v>
      </c>
      <c r="O6536" t="n">
        <v>0</v>
      </c>
      <c r="P6536" t="n">
        <v>0</v>
      </c>
      <c r="Q6536" t="n">
        <v>0</v>
      </c>
      <c r="R6536" s="2" t="inlineStr"/>
    </row>
    <row r="6537" ht="15" customHeight="1">
      <c r="A6537" t="inlineStr">
        <is>
          <t>A 37592-2025</t>
        </is>
      </c>
      <c r="B6537" s="1" t="n">
        <v>45880.4121875</v>
      </c>
      <c r="C6537" s="1" t="n">
        <v>45962</v>
      </c>
      <c r="D6537" t="inlineStr">
        <is>
          <t>JÖNKÖPINGS LÄN</t>
        </is>
      </c>
      <c r="E6537" t="inlineStr">
        <is>
          <t>GISLAVED</t>
        </is>
      </c>
      <c r="G6537" t="n">
        <v>0.8</v>
      </c>
      <c r="H6537" t="n">
        <v>0</v>
      </c>
      <c r="I6537" t="n">
        <v>0</v>
      </c>
      <c r="J6537" t="n">
        <v>0</v>
      </c>
      <c r="K6537" t="n">
        <v>0</v>
      </c>
      <c r="L6537" t="n">
        <v>0</v>
      </c>
      <c r="M6537" t="n">
        <v>0</v>
      </c>
      <c r="N6537" t="n">
        <v>0</v>
      </c>
      <c r="O6537" t="n">
        <v>0</v>
      </c>
      <c r="P6537" t="n">
        <v>0</v>
      </c>
      <c r="Q6537" t="n">
        <v>0</v>
      </c>
      <c r="R6537" s="2" t="inlineStr"/>
    </row>
    <row r="6538" ht="15" customHeight="1">
      <c r="A6538" t="inlineStr">
        <is>
          <t>A 9359-2021</t>
        </is>
      </c>
      <c r="B6538" s="1" t="n">
        <v>44250</v>
      </c>
      <c r="C6538" s="1" t="n">
        <v>45962</v>
      </c>
      <c r="D6538" t="inlineStr">
        <is>
          <t>JÖNKÖPINGS LÄN</t>
        </is>
      </c>
      <c r="E6538" t="inlineStr">
        <is>
          <t>GISLAVED</t>
        </is>
      </c>
      <c r="G6538" t="n">
        <v>2.1</v>
      </c>
      <c r="H6538" t="n">
        <v>0</v>
      </c>
      <c r="I6538" t="n">
        <v>0</v>
      </c>
      <c r="J6538" t="n">
        <v>0</v>
      </c>
      <c r="K6538" t="n">
        <v>0</v>
      </c>
      <c r="L6538" t="n">
        <v>0</v>
      </c>
      <c r="M6538" t="n">
        <v>0</v>
      </c>
      <c r="N6538" t="n">
        <v>0</v>
      </c>
      <c r="O6538" t="n">
        <v>0</v>
      </c>
      <c r="P6538" t="n">
        <v>0</v>
      </c>
      <c r="Q6538" t="n">
        <v>0</v>
      </c>
      <c r="R6538" s="2" t="inlineStr"/>
    </row>
    <row r="6539" ht="15" customHeight="1">
      <c r="A6539" t="inlineStr">
        <is>
          <t>A 39468-2025</t>
        </is>
      </c>
      <c r="B6539" s="1" t="n">
        <v>45890.31928240741</v>
      </c>
      <c r="C6539" s="1" t="n">
        <v>45962</v>
      </c>
      <c r="D6539" t="inlineStr">
        <is>
          <t>JÖNKÖPINGS LÄN</t>
        </is>
      </c>
      <c r="E6539" t="inlineStr">
        <is>
          <t>VETLANDA</t>
        </is>
      </c>
      <c r="G6539" t="n">
        <v>2.2</v>
      </c>
      <c r="H6539" t="n">
        <v>0</v>
      </c>
      <c r="I6539" t="n">
        <v>0</v>
      </c>
      <c r="J6539" t="n">
        <v>0</v>
      </c>
      <c r="K6539" t="n">
        <v>0</v>
      </c>
      <c r="L6539" t="n">
        <v>0</v>
      </c>
      <c r="M6539" t="n">
        <v>0</v>
      </c>
      <c r="N6539" t="n">
        <v>0</v>
      </c>
      <c r="O6539" t="n">
        <v>0</v>
      </c>
      <c r="P6539" t="n">
        <v>0</v>
      </c>
      <c r="Q6539" t="n">
        <v>0</v>
      </c>
      <c r="R6539" s="2" t="inlineStr"/>
    </row>
    <row r="6540" ht="15" customHeight="1">
      <c r="A6540" t="inlineStr">
        <is>
          <t>A 50285-2021</t>
        </is>
      </c>
      <c r="B6540" s="1" t="n">
        <v>44459.33054398148</v>
      </c>
      <c r="C6540" s="1" t="n">
        <v>45962</v>
      </c>
      <c r="D6540" t="inlineStr">
        <is>
          <t>JÖNKÖPINGS LÄN</t>
        </is>
      </c>
      <c r="E6540" t="inlineStr">
        <is>
          <t>VETLANDA</t>
        </is>
      </c>
      <c r="G6540" t="n">
        <v>0.2</v>
      </c>
      <c r="H6540" t="n">
        <v>0</v>
      </c>
      <c r="I6540" t="n">
        <v>0</v>
      </c>
      <c r="J6540" t="n">
        <v>0</v>
      </c>
      <c r="K6540" t="n">
        <v>0</v>
      </c>
      <c r="L6540" t="n">
        <v>0</v>
      </c>
      <c r="M6540" t="n">
        <v>0</v>
      </c>
      <c r="N6540" t="n">
        <v>0</v>
      </c>
      <c r="O6540" t="n">
        <v>0</v>
      </c>
      <c r="P6540" t="n">
        <v>0</v>
      </c>
      <c r="Q6540" t="n">
        <v>0</v>
      </c>
      <c r="R6540" s="2" t="inlineStr"/>
    </row>
    <row r="6541" ht="15" customHeight="1">
      <c r="A6541" t="inlineStr">
        <is>
          <t>A 37844-2025</t>
        </is>
      </c>
      <c r="B6541" s="1" t="n">
        <v>45881.43841435185</v>
      </c>
      <c r="C6541" s="1" t="n">
        <v>45962</v>
      </c>
      <c r="D6541" t="inlineStr">
        <is>
          <t>JÖNKÖPINGS LÄN</t>
        </is>
      </c>
      <c r="E6541" t="inlineStr">
        <is>
          <t>NÄSSJÖ</t>
        </is>
      </c>
      <c r="G6541" t="n">
        <v>0.6</v>
      </c>
      <c r="H6541" t="n">
        <v>0</v>
      </c>
      <c r="I6541" t="n">
        <v>0</v>
      </c>
      <c r="J6541" t="n">
        <v>0</v>
      </c>
      <c r="K6541" t="n">
        <v>0</v>
      </c>
      <c r="L6541" t="n">
        <v>0</v>
      </c>
      <c r="M6541" t="n">
        <v>0</v>
      </c>
      <c r="N6541" t="n">
        <v>0</v>
      </c>
      <c r="O6541" t="n">
        <v>0</v>
      </c>
      <c r="P6541" t="n">
        <v>0</v>
      </c>
      <c r="Q6541" t="n">
        <v>0</v>
      </c>
      <c r="R6541" s="2" t="inlineStr"/>
    </row>
    <row r="6542" ht="15" customHeight="1">
      <c r="A6542" t="inlineStr">
        <is>
          <t>A 57180-2023</t>
        </is>
      </c>
      <c r="B6542" s="1" t="n">
        <v>45245.46393518519</v>
      </c>
      <c r="C6542" s="1" t="n">
        <v>45962</v>
      </c>
      <c r="D6542" t="inlineStr">
        <is>
          <t>JÖNKÖPINGS LÄN</t>
        </is>
      </c>
      <c r="E6542" t="inlineStr">
        <is>
          <t>JÖNKÖPING</t>
        </is>
      </c>
      <c r="G6542" t="n">
        <v>0.9</v>
      </c>
      <c r="H6542" t="n">
        <v>0</v>
      </c>
      <c r="I6542" t="n">
        <v>0</v>
      </c>
      <c r="J6542" t="n">
        <v>0</v>
      </c>
      <c r="K6542" t="n">
        <v>0</v>
      </c>
      <c r="L6542" t="n">
        <v>0</v>
      </c>
      <c r="M6542" t="n">
        <v>0</v>
      </c>
      <c r="N6542" t="n">
        <v>0</v>
      </c>
      <c r="O6542" t="n">
        <v>0</v>
      </c>
      <c r="P6542" t="n">
        <v>0</v>
      </c>
      <c r="Q6542" t="n">
        <v>0</v>
      </c>
      <c r="R6542" s="2" t="inlineStr"/>
    </row>
    <row r="6543" ht="15" customHeight="1">
      <c r="A6543" t="inlineStr">
        <is>
          <t>A 48096-2025</t>
        </is>
      </c>
      <c r="B6543" s="1" t="n">
        <v>45933.30746527778</v>
      </c>
      <c r="C6543" s="1" t="n">
        <v>45962</v>
      </c>
      <c r="D6543" t="inlineStr">
        <is>
          <t>JÖNKÖPINGS LÄN</t>
        </is>
      </c>
      <c r="E6543" t="inlineStr">
        <is>
          <t>MULLSJÖ</t>
        </is>
      </c>
      <c r="G6543" t="n">
        <v>0.5</v>
      </c>
      <c r="H6543" t="n">
        <v>0</v>
      </c>
      <c r="I6543" t="n">
        <v>0</v>
      </c>
      <c r="J6543" t="n">
        <v>0</v>
      </c>
      <c r="K6543" t="n">
        <v>0</v>
      </c>
      <c r="L6543" t="n">
        <v>0</v>
      </c>
      <c r="M6543" t="n">
        <v>0</v>
      </c>
      <c r="N6543" t="n">
        <v>0</v>
      </c>
      <c r="O6543" t="n">
        <v>0</v>
      </c>
      <c r="P6543" t="n">
        <v>0</v>
      </c>
      <c r="Q6543" t="n">
        <v>0</v>
      </c>
      <c r="R6543" s="2" t="inlineStr"/>
    </row>
    <row r="6544" ht="15" customHeight="1">
      <c r="A6544" t="inlineStr">
        <is>
          <t>A 606-2025</t>
        </is>
      </c>
      <c r="B6544" s="1" t="n">
        <v>45660</v>
      </c>
      <c r="C6544" s="1" t="n">
        <v>45962</v>
      </c>
      <c r="D6544" t="inlineStr">
        <is>
          <t>JÖNKÖPINGS LÄN</t>
        </is>
      </c>
      <c r="E6544" t="inlineStr">
        <is>
          <t>VETLANDA</t>
        </is>
      </c>
      <c r="G6544" t="n">
        <v>1.2</v>
      </c>
      <c r="H6544" t="n">
        <v>0</v>
      </c>
      <c r="I6544" t="n">
        <v>0</v>
      </c>
      <c r="J6544" t="n">
        <v>0</v>
      </c>
      <c r="K6544" t="n">
        <v>0</v>
      </c>
      <c r="L6544" t="n">
        <v>0</v>
      </c>
      <c r="M6544" t="n">
        <v>0</v>
      </c>
      <c r="N6544" t="n">
        <v>0</v>
      </c>
      <c r="O6544" t="n">
        <v>0</v>
      </c>
      <c r="P6544" t="n">
        <v>0</v>
      </c>
      <c r="Q6544" t="n">
        <v>0</v>
      </c>
      <c r="R6544" s="2" t="inlineStr"/>
    </row>
    <row r="6545" ht="15" customHeight="1">
      <c r="A6545" t="inlineStr">
        <is>
          <t>A 615-2025</t>
        </is>
      </c>
      <c r="B6545" s="1" t="n">
        <v>45660</v>
      </c>
      <c r="C6545" s="1" t="n">
        <v>45962</v>
      </c>
      <c r="D6545" t="inlineStr">
        <is>
          <t>JÖNKÖPINGS LÄN</t>
        </is>
      </c>
      <c r="E6545" t="inlineStr">
        <is>
          <t>VETLANDA</t>
        </is>
      </c>
      <c r="G6545" t="n">
        <v>0.9</v>
      </c>
      <c r="H6545" t="n">
        <v>0</v>
      </c>
      <c r="I6545" t="n">
        <v>0</v>
      </c>
      <c r="J6545" t="n">
        <v>0</v>
      </c>
      <c r="K6545" t="n">
        <v>0</v>
      </c>
      <c r="L6545" t="n">
        <v>0</v>
      </c>
      <c r="M6545" t="n">
        <v>0</v>
      </c>
      <c r="N6545" t="n">
        <v>0</v>
      </c>
      <c r="O6545" t="n">
        <v>0</v>
      </c>
      <c r="P6545" t="n">
        <v>0</v>
      </c>
      <c r="Q6545" t="n">
        <v>0</v>
      </c>
      <c r="R6545" s="2" t="inlineStr"/>
    </row>
    <row r="6546" ht="15" customHeight="1">
      <c r="A6546" t="inlineStr">
        <is>
          <t>A 47972-2025</t>
        </is>
      </c>
      <c r="B6546" s="1" t="n">
        <v>45932.6049537037</v>
      </c>
      <c r="C6546" s="1" t="n">
        <v>45962</v>
      </c>
      <c r="D6546" t="inlineStr">
        <is>
          <t>JÖNKÖPINGS LÄN</t>
        </is>
      </c>
      <c r="E6546" t="inlineStr">
        <is>
          <t>JÖNKÖPING</t>
        </is>
      </c>
      <c r="F6546" t="inlineStr">
        <is>
          <t>Kyrkan</t>
        </is>
      </c>
      <c r="G6546" t="n">
        <v>0.7</v>
      </c>
      <c r="H6546" t="n">
        <v>0</v>
      </c>
      <c r="I6546" t="n">
        <v>0</v>
      </c>
      <c r="J6546" t="n">
        <v>0</v>
      </c>
      <c r="K6546" t="n">
        <v>0</v>
      </c>
      <c r="L6546" t="n">
        <v>0</v>
      </c>
      <c r="M6546" t="n">
        <v>0</v>
      </c>
      <c r="N6546" t="n">
        <v>0</v>
      </c>
      <c r="O6546" t="n">
        <v>0</v>
      </c>
      <c r="P6546" t="n">
        <v>0</v>
      </c>
      <c r="Q6546" t="n">
        <v>0</v>
      </c>
      <c r="R6546" s="2" t="inlineStr"/>
    </row>
    <row r="6547" ht="15" customHeight="1">
      <c r="A6547" t="inlineStr">
        <is>
          <t>A 37968-2025</t>
        </is>
      </c>
      <c r="B6547" s="1" t="n">
        <v>45881.6669212963</v>
      </c>
      <c r="C6547" s="1" t="n">
        <v>45962</v>
      </c>
      <c r="D6547" t="inlineStr">
        <is>
          <t>JÖNKÖPINGS LÄN</t>
        </is>
      </c>
      <c r="E6547" t="inlineStr">
        <is>
          <t>SÄVSJÖ</t>
        </is>
      </c>
      <c r="G6547" t="n">
        <v>6.6</v>
      </c>
      <c r="H6547" t="n">
        <v>0</v>
      </c>
      <c r="I6547" t="n">
        <v>0</v>
      </c>
      <c r="J6547" t="n">
        <v>0</v>
      </c>
      <c r="K6547" t="n">
        <v>0</v>
      </c>
      <c r="L6547" t="n">
        <v>0</v>
      </c>
      <c r="M6547" t="n">
        <v>0</v>
      </c>
      <c r="N6547" t="n">
        <v>0</v>
      </c>
      <c r="O6547" t="n">
        <v>0</v>
      </c>
      <c r="P6547" t="n">
        <v>0</v>
      </c>
      <c r="Q6547" t="n">
        <v>0</v>
      </c>
      <c r="R6547" s="2" t="inlineStr"/>
    </row>
    <row r="6548" ht="15" customHeight="1">
      <c r="A6548" t="inlineStr">
        <is>
          <t>A 61950-2020</t>
        </is>
      </c>
      <c r="B6548" s="1" t="n">
        <v>44155</v>
      </c>
      <c r="C6548" s="1" t="n">
        <v>45962</v>
      </c>
      <c r="D6548" t="inlineStr">
        <is>
          <t>JÖNKÖPINGS LÄN</t>
        </is>
      </c>
      <c r="E6548" t="inlineStr">
        <is>
          <t>VETLANDA</t>
        </is>
      </c>
      <c r="G6548" t="n">
        <v>6.4</v>
      </c>
      <c r="H6548" t="n">
        <v>0</v>
      </c>
      <c r="I6548" t="n">
        <v>0</v>
      </c>
      <c r="J6548" t="n">
        <v>0</v>
      </c>
      <c r="K6548" t="n">
        <v>0</v>
      </c>
      <c r="L6548" t="n">
        <v>0</v>
      </c>
      <c r="M6548" t="n">
        <v>0</v>
      </c>
      <c r="N6548" t="n">
        <v>0</v>
      </c>
      <c r="O6548" t="n">
        <v>0</v>
      </c>
      <c r="P6548" t="n">
        <v>0</v>
      </c>
      <c r="Q6548" t="n">
        <v>0</v>
      </c>
      <c r="R6548" s="2" t="inlineStr"/>
    </row>
    <row r="6549" ht="15" customHeight="1">
      <c r="A6549" t="inlineStr">
        <is>
          <t>A 48112-2025</t>
        </is>
      </c>
      <c r="B6549" s="1" t="n">
        <v>45932</v>
      </c>
      <c r="C6549" s="1" t="n">
        <v>45962</v>
      </c>
      <c r="D6549" t="inlineStr">
        <is>
          <t>JÖNKÖPINGS LÄN</t>
        </is>
      </c>
      <c r="E6549" t="inlineStr">
        <is>
          <t>TRANÅS</t>
        </is>
      </c>
      <c r="G6549" t="n">
        <v>1.3</v>
      </c>
      <c r="H6549" t="n">
        <v>0</v>
      </c>
      <c r="I6549" t="n">
        <v>0</v>
      </c>
      <c r="J6549" t="n">
        <v>0</v>
      </c>
      <c r="K6549" t="n">
        <v>0</v>
      </c>
      <c r="L6549" t="n">
        <v>0</v>
      </c>
      <c r="M6549" t="n">
        <v>0</v>
      </c>
      <c r="N6549" t="n">
        <v>0</v>
      </c>
      <c r="O6549" t="n">
        <v>0</v>
      </c>
      <c r="P6549" t="n">
        <v>0</v>
      </c>
      <c r="Q6549" t="n">
        <v>0</v>
      </c>
      <c r="R6549" s="2" t="inlineStr"/>
    </row>
    <row r="6550" ht="15" customHeight="1">
      <c r="A6550" t="inlineStr">
        <is>
          <t>A 62113-2020</t>
        </is>
      </c>
      <c r="B6550" s="1" t="n">
        <v>44159</v>
      </c>
      <c r="C6550" s="1" t="n">
        <v>45962</v>
      </c>
      <c r="D6550" t="inlineStr">
        <is>
          <t>JÖNKÖPINGS LÄN</t>
        </is>
      </c>
      <c r="E6550" t="inlineStr">
        <is>
          <t>GISLAVED</t>
        </is>
      </c>
      <c r="G6550" t="n">
        <v>1.3</v>
      </c>
      <c r="H6550" t="n">
        <v>0</v>
      </c>
      <c r="I6550" t="n">
        <v>0</v>
      </c>
      <c r="J6550" t="n">
        <v>0</v>
      </c>
      <c r="K6550" t="n">
        <v>0</v>
      </c>
      <c r="L6550" t="n">
        <v>0</v>
      </c>
      <c r="M6550" t="n">
        <v>0</v>
      </c>
      <c r="N6550" t="n">
        <v>0</v>
      </c>
      <c r="O6550" t="n">
        <v>0</v>
      </c>
      <c r="P6550" t="n">
        <v>0</v>
      </c>
      <c r="Q6550" t="n">
        <v>0</v>
      </c>
      <c r="R6550" s="2" t="inlineStr"/>
    </row>
    <row r="6551" ht="15" customHeight="1">
      <c r="A6551" t="inlineStr">
        <is>
          <t>A 37666-2025</t>
        </is>
      </c>
      <c r="B6551" s="1" t="n">
        <v>45880.51369212963</v>
      </c>
      <c r="C6551" s="1" t="n">
        <v>45962</v>
      </c>
      <c r="D6551" t="inlineStr">
        <is>
          <t>JÖNKÖPINGS LÄN</t>
        </is>
      </c>
      <c r="E6551" t="inlineStr">
        <is>
          <t>GNOSJÖ</t>
        </is>
      </c>
      <c r="G6551" t="n">
        <v>3.8</v>
      </c>
      <c r="H6551" t="n">
        <v>0</v>
      </c>
      <c r="I6551" t="n">
        <v>0</v>
      </c>
      <c r="J6551" t="n">
        <v>0</v>
      </c>
      <c r="K6551" t="n">
        <v>0</v>
      </c>
      <c r="L6551" t="n">
        <v>0</v>
      </c>
      <c r="M6551" t="n">
        <v>0</v>
      </c>
      <c r="N6551" t="n">
        <v>0</v>
      </c>
      <c r="O6551" t="n">
        <v>0</v>
      </c>
      <c r="P6551" t="n">
        <v>0</v>
      </c>
      <c r="Q6551" t="n">
        <v>0</v>
      </c>
      <c r="R6551" s="2" t="inlineStr"/>
    </row>
    <row r="6552" ht="15" customHeight="1">
      <c r="A6552" t="inlineStr">
        <is>
          <t>A 48368-2025</t>
        </is>
      </c>
      <c r="B6552" s="1" t="n">
        <v>45933.67203703704</v>
      </c>
      <c r="C6552" s="1" t="n">
        <v>45962</v>
      </c>
      <c r="D6552" t="inlineStr">
        <is>
          <t>JÖNKÖPINGS LÄN</t>
        </is>
      </c>
      <c r="E6552" t="inlineStr">
        <is>
          <t>GISLAVED</t>
        </is>
      </c>
      <c r="F6552" t="inlineStr">
        <is>
          <t>Sveaskog</t>
        </is>
      </c>
      <c r="G6552" t="n">
        <v>5.4</v>
      </c>
      <c r="H6552" t="n">
        <v>0</v>
      </c>
      <c r="I6552" t="n">
        <v>0</v>
      </c>
      <c r="J6552" t="n">
        <v>0</v>
      </c>
      <c r="K6552" t="n">
        <v>0</v>
      </c>
      <c r="L6552" t="n">
        <v>0</v>
      </c>
      <c r="M6552" t="n">
        <v>0</v>
      </c>
      <c r="N6552" t="n">
        <v>0</v>
      </c>
      <c r="O6552" t="n">
        <v>0</v>
      </c>
      <c r="P6552" t="n">
        <v>0</v>
      </c>
      <c r="Q6552" t="n">
        <v>0</v>
      </c>
      <c r="R6552" s="2" t="inlineStr"/>
    </row>
    <row r="6553" ht="15" customHeight="1">
      <c r="A6553" t="inlineStr">
        <is>
          <t>A 45553-2025</t>
        </is>
      </c>
      <c r="B6553" s="1" t="n">
        <v>45922.64138888889</v>
      </c>
      <c r="C6553" s="1" t="n">
        <v>45962</v>
      </c>
      <c r="D6553" t="inlineStr">
        <is>
          <t>JÖNKÖPINGS LÄN</t>
        </is>
      </c>
      <c r="E6553" t="inlineStr">
        <is>
          <t>NÄSSJÖ</t>
        </is>
      </c>
      <c r="G6553" t="n">
        <v>3.6</v>
      </c>
      <c r="H6553" t="n">
        <v>0</v>
      </c>
      <c r="I6553" t="n">
        <v>0</v>
      </c>
      <c r="J6553" t="n">
        <v>0</v>
      </c>
      <c r="K6553" t="n">
        <v>0</v>
      </c>
      <c r="L6553" t="n">
        <v>0</v>
      </c>
      <c r="M6553" t="n">
        <v>0</v>
      </c>
      <c r="N6553" t="n">
        <v>0</v>
      </c>
      <c r="O6553" t="n">
        <v>0</v>
      </c>
      <c r="P6553" t="n">
        <v>0</v>
      </c>
      <c r="Q6553" t="n">
        <v>0</v>
      </c>
      <c r="R6553" s="2" t="inlineStr"/>
    </row>
    <row r="6554" ht="15" customHeight="1">
      <c r="A6554" t="inlineStr">
        <is>
          <t>A 45924-2025</t>
        </is>
      </c>
      <c r="B6554" s="1" t="n">
        <v>45923.85252314815</v>
      </c>
      <c r="C6554" s="1" t="n">
        <v>45962</v>
      </c>
      <c r="D6554" t="inlineStr">
        <is>
          <t>JÖNKÖPINGS LÄN</t>
        </is>
      </c>
      <c r="E6554" t="inlineStr">
        <is>
          <t>VETLANDA</t>
        </is>
      </c>
      <c r="G6554" t="n">
        <v>1</v>
      </c>
      <c r="H6554" t="n">
        <v>0</v>
      </c>
      <c r="I6554" t="n">
        <v>0</v>
      </c>
      <c r="J6554" t="n">
        <v>0</v>
      </c>
      <c r="K6554" t="n">
        <v>0</v>
      </c>
      <c r="L6554" t="n">
        <v>0</v>
      </c>
      <c r="M6554" t="n">
        <v>0</v>
      </c>
      <c r="N6554" t="n">
        <v>0</v>
      </c>
      <c r="O6554" t="n">
        <v>0</v>
      </c>
      <c r="P6554" t="n">
        <v>0</v>
      </c>
      <c r="Q6554" t="n">
        <v>0</v>
      </c>
      <c r="R6554" s="2" t="inlineStr"/>
    </row>
    <row r="6555" ht="15" customHeight="1">
      <c r="A6555" t="inlineStr">
        <is>
          <t>A 37757-2025</t>
        </is>
      </c>
      <c r="B6555" s="1" t="n">
        <v>45880.67791666667</v>
      </c>
      <c r="C6555" s="1" t="n">
        <v>45962</v>
      </c>
      <c r="D6555" t="inlineStr">
        <is>
          <t>JÖNKÖPINGS LÄN</t>
        </is>
      </c>
      <c r="E6555" t="inlineStr">
        <is>
          <t>VAGGERYD</t>
        </is>
      </c>
      <c r="G6555" t="n">
        <v>1.3</v>
      </c>
      <c r="H6555" t="n">
        <v>0</v>
      </c>
      <c r="I6555" t="n">
        <v>0</v>
      </c>
      <c r="J6555" t="n">
        <v>0</v>
      </c>
      <c r="K6555" t="n">
        <v>0</v>
      </c>
      <c r="L6555" t="n">
        <v>0</v>
      </c>
      <c r="M6555" t="n">
        <v>0</v>
      </c>
      <c r="N6555" t="n">
        <v>0</v>
      </c>
      <c r="O6555" t="n">
        <v>0</v>
      </c>
      <c r="P6555" t="n">
        <v>0</v>
      </c>
      <c r="Q6555" t="n">
        <v>0</v>
      </c>
      <c r="R6555" s="2" t="inlineStr"/>
    </row>
    <row r="6556" ht="15" customHeight="1">
      <c r="A6556" t="inlineStr">
        <is>
          <t>A 37765-2025</t>
        </is>
      </c>
      <c r="B6556" s="1" t="n">
        <v>45880.72608796296</v>
      </c>
      <c r="C6556" s="1" t="n">
        <v>45962</v>
      </c>
      <c r="D6556" t="inlineStr">
        <is>
          <t>JÖNKÖPINGS LÄN</t>
        </is>
      </c>
      <c r="E6556" t="inlineStr">
        <is>
          <t>NÄSSJÖ</t>
        </is>
      </c>
      <c r="G6556" t="n">
        <v>1.1</v>
      </c>
      <c r="H6556" t="n">
        <v>0</v>
      </c>
      <c r="I6556" t="n">
        <v>0</v>
      </c>
      <c r="J6556" t="n">
        <v>0</v>
      </c>
      <c r="K6556" t="n">
        <v>0</v>
      </c>
      <c r="L6556" t="n">
        <v>0</v>
      </c>
      <c r="M6556" t="n">
        <v>0</v>
      </c>
      <c r="N6556" t="n">
        <v>0</v>
      </c>
      <c r="O6556" t="n">
        <v>0</v>
      </c>
      <c r="P6556" t="n">
        <v>0</v>
      </c>
      <c r="Q6556" t="n">
        <v>0</v>
      </c>
      <c r="R6556" s="2" t="inlineStr"/>
    </row>
    <row r="6557" ht="15" customHeight="1">
      <c r="A6557" t="inlineStr">
        <is>
          <t>A 37766-2025</t>
        </is>
      </c>
      <c r="B6557" s="1" t="n">
        <v>45880.72768518519</v>
      </c>
      <c r="C6557" s="1" t="n">
        <v>45962</v>
      </c>
      <c r="D6557" t="inlineStr">
        <is>
          <t>JÖNKÖPINGS LÄN</t>
        </is>
      </c>
      <c r="E6557" t="inlineStr">
        <is>
          <t>NÄSSJÖ</t>
        </is>
      </c>
      <c r="G6557" t="n">
        <v>0.7</v>
      </c>
      <c r="H6557" t="n">
        <v>0</v>
      </c>
      <c r="I6557" t="n">
        <v>0</v>
      </c>
      <c r="J6557" t="n">
        <v>0</v>
      </c>
      <c r="K6557" t="n">
        <v>0</v>
      </c>
      <c r="L6557" t="n">
        <v>0</v>
      </c>
      <c r="M6557" t="n">
        <v>0</v>
      </c>
      <c r="N6557" t="n">
        <v>0</v>
      </c>
      <c r="O6557" t="n">
        <v>0</v>
      </c>
      <c r="P6557" t="n">
        <v>0</v>
      </c>
      <c r="Q6557" t="n">
        <v>0</v>
      </c>
      <c r="R6557" s="2" t="inlineStr"/>
    </row>
    <row r="6558" ht="15" customHeight="1">
      <c r="A6558" t="inlineStr">
        <is>
          <t>A 48325-2025</t>
        </is>
      </c>
      <c r="B6558" s="1" t="n">
        <v>45933.63071759259</v>
      </c>
      <c r="C6558" s="1" t="n">
        <v>45962</v>
      </c>
      <c r="D6558" t="inlineStr">
        <is>
          <t>JÖNKÖPINGS LÄN</t>
        </is>
      </c>
      <c r="E6558" t="inlineStr">
        <is>
          <t>VAGGERYD</t>
        </is>
      </c>
      <c r="G6558" t="n">
        <v>1.8</v>
      </c>
      <c r="H6558" t="n">
        <v>0</v>
      </c>
      <c r="I6558" t="n">
        <v>0</v>
      </c>
      <c r="J6558" t="n">
        <v>0</v>
      </c>
      <c r="K6558" t="n">
        <v>0</v>
      </c>
      <c r="L6558" t="n">
        <v>0</v>
      </c>
      <c r="M6558" t="n">
        <v>0</v>
      </c>
      <c r="N6558" t="n">
        <v>0</v>
      </c>
      <c r="O6558" t="n">
        <v>0</v>
      </c>
      <c r="P6558" t="n">
        <v>0</v>
      </c>
      <c r="Q6558" t="n">
        <v>0</v>
      </c>
      <c r="R6558" s="2" t="inlineStr"/>
    </row>
    <row r="6559" ht="15" customHeight="1">
      <c r="A6559" t="inlineStr">
        <is>
          <t>A 39555-2025</t>
        </is>
      </c>
      <c r="B6559" s="1" t="n">
        <v>45890.46839120371</v>
      </c>
      <c r="C6559" s="1" t="n">
        <v>45962</v>
      </c>
      <c r="D6559" t="inlineStr">
        <is>
          <t>JÖNKÖPINGS LÄN</t>
        </is>
      </c>
      <c r="E6559" t="inlineStr">
        <is>
          <t>NÄSSJÖ</t>
        </is>
      </c>
      <c r="G6559" t="n">
        <v>0.7</v>
      </c>
      <c r="H6559" t="n">
        <v>0</v>
      </c>
      <c r="I6559" t="n">
        <v>0</v>
      </c>
      <c r="J6559" t="n">
        <v>0</v>
      </c>
      <c r="K6559" t="n">
        <v>0</v>
      </c>
      <c r="L6559" t="n">
        <v>0</v>
      </c>
      <c r="M6559" t="n">
        <v>0</v>
      </c>
      <c r="N6559" t="n">
        <v>0</v>
      </c>
      <c r="O6559" t="n">
        <v>0</v>
      </c>
      <c r="P6559" t="n">
        <v>0</v>
      </c>
      <c r="Q6559" t="n">
        <v>0</v>
      </c>
      <c r="R6559" s="2" t="inlineStr"/>
    </row>
    <row r="6560" ht="15" customHeight="1">
      <c r="A6560" t="inlineStr">
        <is>
          <t>A 45882-2025</t>
        </is>
      </c>
      <c r="B6560" s="1" t="n">
        <v>45923.66246527778</v>
      </c>
      <c r="C6560" s="1" t="n">
        <v>45962</v>
      </c>
      <c r="D6560" t="inlineStr">
        <is>
          <t>JÖNKÖPINGS LÄN</t>
        </is>
      </c>
      <c r="E6560" t="inlineStr">
        <is>
          <t>VÄRNAMO</t>
        </is>
      </c>
      <c r="G6560" t="n">
        <v>1.1</v>
      </c>
      <c r="H6560" t="n">
        <v>0</v>
      </c>
      <c r="I6560" t="n">
        <v>0</v>
      </c>
      <c r="J6560" t="n">
        <v>0</v>
      </c>
      <c r="K6560" t="n">
        <v>0</v>
      </c>
      <c r="L6560" t="n">
        <v>0</v>
      </c>
      <c r="M6560" t="n">
        <v>0</v>
      </c>
      <c r="N6560" t="n">
        <v>0</v>
      </c>
      <c r="O6560" t="n">
        <v>0</v>
      </c>
      <c r="P6560" t="n">
        <v>0</v>
      </c>
      <c r="Q6560" t="n">
        <v>0</v>
      </c>
      <c r="R6560" s="2" t="inlineStr"/>
    </row>
    <row r="6561" ht="15" customHeight="1">
      <c r="A6561" t="inlineStr">
        <is>
          <t>A 45883-2025</t>
        </is>
      </c>
      <c r="B6561" s="1" t="n">
        <v>45923.66396990741</v>
      </c>
      <c r="C6561" s="1" t="n">
        <v>45962</v>
      </c>
      <c r="D6561" t="inlineStr">
        <is>
          <t>JÖNKÖPINGS LÄN</t>
        </is>
      </c>
      <c r="E6561" t="inlineStr">
        <is>
          <t>VÄRNAMO</t>
        </is>
      </c>
      <c r="G6561" t="n">
        <v>0.6</v>
      </c>
      <c r="H6561" t="n">
        <v>0</v>
      </c>
      <c r="I6561" t="n">
        <v>0</v>
      </c>
      <c r="J6561" t="n">
        <v>0</v>
      </c>
      <c r="K6561" t="n">
        <v>0</v>
      </c>
      <c r="L6561" t="n">
        <v>0</v>
      </c>
      <c r="M6561" t="n">
        <v>0</v>
      </c>
      <c r="N6561" t="n">
        <v>0</v>
      </c>
      <c r="O6561" t="n">
        <v>0</v>
      </c>
      <c r="P6561" t="n">
        <v>0</v>
      </c>
      <c r="Q6561" t="n">
        <v>0</v>
      </c>
      <c r="R6561" s="2" t="inlineStr"/>
    </row>
    <row r="6562" ht="15" customHeight="1">
      <c r="A6562" t="inlineStr">
        <is>
          <t>A 39590-2025</t>
        </is>
      </c>
      <c r="B6562" s="1" t="n">
        <v>45890.52939814814</v>
      </c>
      <c r="C6562" s="1" t="n">
        <v>45962</v>
      </c>
      <c r="D6562" t="inlineStr">
        <is>
          <t>JÖNKÖPINGS LÄN</t>
        </is>
      </c>
      <c r="E6562" t="inlineStr">
        <is>
          <t>MULLSJÖ</t>
        </is>
      </c>
      <c r="G6562" t="n">
        <v>3.2</v>
      </c>
      <c r="H6562" t="n">
        <v>0</v>
      </c>
      <c r="I6562" t="n">
        <v>0</v>
      </c>
      <c r="J6562" t="n">
        <v>0</v>
      </c>
      <c r="K6562" t="n">
        <v>0</v>
      </c>
      <c r="L6562" t="n">
        <v>0</v>
      </c>
      <c r="M6562" t="n">
        <v>0</v>
      </c>
      <c r="N6562" t="n">
        <v>0</v>
      </c>
      <c r="O6562" t="n">
        <v>0</v>
      </c>
      <c r="P6562" t="n">
        <v>0</v>
      </c>
      <c r="Q6562" t="n">
        <v>0</v>
      </c>
      <c r="R6562" s="2" t="inlineStr"/>
    </row>
    <row r="6563" ht="15" customHeight="1">
      <c r="A6563" t="inlineStr">
        <is>
          <t>A 39593-2025</t>
        </is>
      </c>
      <c r="B6563" s="1" t="n">
        <v>45890.53728009259</v>
      </c>
      <c r="C6563" s="1" t="n">
        <v>45962</v>
      </c>
      <c r="D6563" t="inlineStr">
        <is>
          <t>JÖNKÖPINGS LÄN</t>
        </is>
      </c>
      <c r="E6563" t="inlineStr">
        <is>
          <t>TRANÅS</t>
        </is>
      </c>
      <c r="G6563" t="n">
        <v>3.1</v>
      </c>
      <c r="H6563" t="n">
        <v>0</v>
      </c>
      <c r="I6563" t="n">
        <v>0</v>
      </c>
      <c r="J6563" t="n">
        <v>0</v>
      </c>
      <c r="K6563" t="n">
        <v>0</v>
      </c>
      <c r="L6563" t="n">
        <v>0</v>
      </c>
      <c r="M6563" t="n">
        <v>0</v>
      </c>
      <c r="N6563" t="n">
        <v>0</v>
      </c>
      <c r="O6563" t="n">
        <v>0</v>
      </c>
      <c r="P6563" t="n">
        <v>0</v>
      </c>
      <c r="Q6563" t="n">
        <v>0</v>
      </c>
      <c r="R6563" s="2" t="inlineStr"/>
    </row>
    <row r="6564" ht="15" customHeight="1">
      <c r="A6564" t="inlineStr">
        <is>
          <t>A 37589-2025</t>
        </is>
      </c>
      <c r="B6564" s="1" t="n">
        <v>45880.41001157407</v>
      </c>
      <c r="C6564" s="1" t="n">
        <v>45962</v>
      </c>
      <c r="D6564" t="inlineStr">
        <is>
          <t>JÖNKÖPINGS LÄN</t>
        </is>
      </c>
      <c r="E6564" t="inlineStr">
        <is>
          <t>GISLAVED</t>
        </is>
      </c>
      <c r="G6564" t="n">
        <v>1.9</v>
      </c>
      <c r="H6564" t="n">
        <v>0</v>
      </c>
      <c r="I6564" t="n">
        <v>0</v>
      </c>
      <c r="J6564" t="n">
        <v>0</v>
      </c>
      <c r="K6564" t="n">
        <v>0</v>
      </c>
      <c r="L6564" t="n">
        <v>0</v>
      </c>
      <c r="M6564" t="n">
        <v>0</v>
      </c>
      <c r="N6564" t="n">
        <v>0</v>
      </c>
      <c r="O6564" t="n">
        <v>0</v>
      </c>
      <c r="P6564" t="n">
        <v>0</v>
      </c>
      <c r="Q6564" t="n">
        <v>0</v>
      </c>
      <c r="R6564" s="2" t="inlineStr"/>
    </row>
    <row r="6565" ht="15" customHeight="1">
      <c r="A6565" t="inlineStr">
        <is>
          <t>A 29883-2023</t>
        </is>
      </c>
      <c r="B6565" s="1" t="n">
        <v>45107</v>
      </c>
      <c r="C6565" s="1" t="n">
        <v>45962</v>
      </c>
      <c r="D6565" t="inlineStr">
        <is>
          <t>JÖNKÖPINGS LÄN</t>
        </is>
      </c>
      <c r="E6565" t="inlineStr">
        <is>
          <t>VETLANDA</t>
        </is>
      </c>
      <c r="G6565" t="n">
        <v>2.2</v>
      </c>
      <c r="H6565" t="n">
        <v>0</v>
      </c>
      <c r="I6565" t="n">
        <v>0</v>
      </c>
      <c r="J6565" t="n">
        <v>0</v>
      </c>
      <c r="K6565" t="n">
        <v>0</v>
      </c>
      <c r="L6565" t="n">
        <v>0</v>
      </c>
      <c r="M6565" t="n">
        <v>0</v>
      </c>
      <c r="N6565" t="n">
        <v>0</v>
      </c>
      <c r="O6565" t="n">
        <v>0</v>
      </c>
      <c r="P6565" t="n">
        <v>0</v>
      </c>
      <c r="Q6565" t="n">
        <v>0</v>
      </c>
      <c r="R6565" s="2" t="inlineStr"/>
    </row>
    <row r="6566" ht="15" customHeight="1">
      <c r="A6566" t="inlineStr">
        <is>
          <t>A 29884-2023</t>
        </is>
      </c>
      <c r="B6566" s="1" t="n">
        <v>45107</v>
      </c>
      <c r="C6566" s="1" t="n">
        <v>45962</v>
      </c>
      <c r="D6566" t="inlineStr">
        <is>
          <t>JÖNKÖPINGS LÄN</t>
        </is>
      </c>
      <c r="E6566" t="inlineStr">
        <is>
          <t>JÖNKÖPING</t>
        </is>
      </c>
      <c r="G6566" t="n">
        <v>3.2</v>
      </c>
      <c r="H6566" t="n">
        <v>0</v>
      </c>
      <c r="I6566" t="n">
        <v>0</v>
      </c>
      <c r="J6566" t="n">
        <v>0</v>
      </c>
      <c r="K6566" t="n">
        <v>0</v>
      </c>
      <c r="L6566" t="n">
        <v>0</v>
      </c>
      <c r="M6566" t="n">
        <v>0</v>
      </c>
      <c r="N6566" t="n">
        <v>0</v>
      </c>
      <c r="O6566" t="n">
        <v>0</v>
      </c>
      <c r="P6566" t="n">
        <v>0</v>
      </c>
      <c r="Q6566" t="n">
        <v>0</v>
      </c>
      <c r="R6566" s="2" t="inlineStr"/>
    </row>
    <row r="6567" ht="15" customHeight="1">
      <c r="A6567" t="inlineStr">
        <is>
          <t>A 45557-2025</t>
        </is>
      </c>
      <c r="B6567" s="1" t="n">
        <v>45922.64466435185</v>
      </c>
      <c r="C6567" s="1" t="n">
        <v>45962</v>
      </c>
      <c r="D6567" t="inlineStr">
        <is>
          <t>JÖNKÖPINGS LÄN</t>
        </is>
      </c>
      <c r="E6567" t="inlineStr">
        <is>
          <t>NÄSSJÖ</t>
        </is>
      </c>
      <c r="G6567" t="n">
        <v>0.3</v>
      </c>
      <c r="H6567" t="n">
        <v>0</v>
      </c>
      <c r="I6567" t="n">
        <v>0</v>
      </c>
      <c r="J6567" t="n">
        <v>0</v>
      </c>
      <c r="K6567" t="n">
        <v>0</v>
      </c>
      <c r="L6567" t="n">
        <v>0</v>
      </c>
      <c r="M6567" t="n">
        <v>0</v>
      </c>
      <c r="N6567" t="n">
        <v>0</v>
      </c>
      <c r="O6567" t="n">
        <v>0</v>
      </c>
      <c r="P6567" t="n">
        <v>0</v>
      </c>
      <c r="Q6567" t="n">
        <v>0</v>
      </c>
      <c r="R6567" s="2" t="inlineStr"/>
    </row>
    <row r="6568" ht="15" customHeight="1">
      <c r="A6568" t="inlineStr">
        <is>
          <t>A 29653-2025</t>
        </is>
      </c>
      <c r="B6568" s="1" t="n">
        <v>45825.48087962963</v>
      </c>
      <c r="C6568" s="1" t="n">
        <v>45962</v>
      </c>
      <c r="D6568" t="inlineStr">
        <is>
          <t>JÖNKÖPINGS LÄN</t>
        </is>
      </c>
      <c r="E6568" t="inlineStr">
        <is>
          <t>EKSJÖ</t>
        </is>
      </c>
      <c r="G6568" t="n">
        <v>1</v>
      </c>
      <c r="H6568" t="n">
        <v>0</v>
      </c>
      <c r="I6568" t="n">
        <v>0</v>
      </c>
      <c r="J6568" t="n">
        <v>0</v>
      </c>
      <c r="K6568" t="n">
        <v>0</v>
      </c>
      <c r="L6568" t="n">
        <v>0</v>
      </c>
      <c r="M6568" t="n">
        <v>0</v>
      </c>
      <c r="N6568" t="n">
        <v>0</v>
      </c>
      <c r="O6568" t="n">
        <v>0</v>
      </c>
      <c r="P6568" t="n">
        <v>0</v>
      </c>
      <c r="Q6568" t="n">
        <v>0</v>
      </c>
      <c r="R6568" s="2" t="inlineStr"/>
    </row>
    <row r="6569" ht="15" customHeight="1">
      <c r="A6569" t="inlineStr">
        <is>
          <t>A 45862-2025</t>
        </is>
      </c>
      <c r="B6569" s="1" t="n">
        <v>45923.64351851852</v>
      </c>
      <c r="C6569" s="1" t="n">
        <v>45962</v>
      </c>
      <c r="D6569" t="inlineStr">
        <is>
          <t>JÖNKÖPINGS LÄN</t>
        </is>
      </c>
      <c r="E6569" t="inlineStr">
        <is>
          <t>VÄRNAMO</t>
        </is>
      </c>
      <c r="G6569" t="n">
        <v>0.9</v>
      </c>
      <c r="H6569" t="n">
        <v>0</v>
      </c>
      <c r="I6569" t="n">
        <v>0</v>
      </c>
      <c r="J6569" t="n">
        <v>0</v>
      </c>
      <c r="K6569" t="n">
        <v>0</v>
      </c>
      <c r="L6569" t="n">
        <v>0</v>
      </c>
      <c r="M6569" t="n">
        <v>0</v>
      </c>
      <c r="N6569" t="n">
        <v>0</v>
      </c>
      <c r="O6569" t="n">
        <v>0</v>
      </c>
      <c r="P6569" t="n">
        <v>0</v>
      </c>
      <c r="Q6569" t="n">
        <v>0</v>
      </c>
      <c r="R6569" s="2" t="inlineStr"/>
    </row>
    <row r="6570" ht="15" customHeight="1">
      <c r="A6570" t="inlineStr">
        <is>
          <t>A 45873-2025</t>
        </is>
      </c>
      <c r="B6570" s="1" t="n">
        <v>45923.65631944445</v>
      </c>
      <c r="C6570" s="1" t="n">
        <v>45962</v>
      </c>
      <c r="D6570" t="inlineStr">
        <is>
          <t>JÖNKÖPINGS LÄN</t>
        </is>
      </c>
      <c r="E6570" t="inlineStr">
        <is>
          <t>VÄRNAMO</t>
        </is>
      </c>
      <c r="G6570" t="n">
        <v>0.8</v>
      </c>
      <c r="H6570" t="n">
        <v>0</v>
      </c>
      <c r="I6570" t="n">
        <v>0</v>
      </c>
      <c r="J6570" t="n">
        <v>0</v>
      </c>
      <c r="K6570" t="n">
        <v>0</v>
      </c>
      <c r="L6570" t="n">
        <v>0</v>
      </c>
      <c r="M6570" t="n">
        <v>0</v>
      </c>
      <c r="N6570" t="n">
        <v>0</v>
      </c>
      <c r="O6570" t="n">
        <v>0</v>
      </c>
      <c r="P6570" t="n">
        <v>0</v>
      </c>
      <c r="Q6570" t="n">
        <v>0</v>
      </c>
      <c r="R6570" s="2" t="inlineStr"/>
    </row>
    <row r="6571" ht="15" customHeight="1">
      <c r="A6571" t="inlineStr">
        <is>
          <t>A 39467-2025</t>
        </is>
      </c>
      <c r="B6571" s="1" t="n">
        <v>45890.29753472222</v>
      </c>
      <c r="C6571" s="1" t="n">
        <v>45962</v>
      </c>
      <c r="D6571" t="inlineStr">
        <is>
          <t>JÖNKÖPINGS LÄN</t>
        </is>
      </c>
      <c r="E6571" t="inlineStr">
        <is>
          <t>NÄSSJÖ</t>
        </is>
      </c>
      <c r="G6571" t="n">
        <v>1.1</v>
      </c>
      <c r="H6571" t="n">
        <v>0</v>
      </c>
      <c r="I6571" t="n">
        <v>0</v>
      </c>
      <c r="J6571" t="n">
        <v>0</v>
      </c>
      <c r="K6571" t="n">
        <v>0</v>
      </c>
      <c r="L6571" t="n">
        <v>0</v>
      </c>
      <c r="M6571" t="n">
        <v>0</v>
      </c>
      <c r="N6571" t="n">
        <v>0</v>
      </c>
      <c r="O6571" t="n">
        <v>0</v>
      </c>
      <c r="P6571" t="n">
        <v>0</v>
      </c>
      <c r="Q6571" t="n">
        <v>0</v>
      </c>
      <c r="R6571" s="2" t="inlineStr"/>
    </row>
    <row r="6572" ht="15" customHeight="1">
      <c r="A6572" t="inlineStr">
        <is>
          <t>A 45881-2025</t>
        </is>
      </c>
      <c r="B6572" s="1" t="n">
        <v>45923.66177083334</v>
      </c>
      <c r="C6572" s="1" t="n">
        <v>45962</v>
      </c>
      <c r="D6572" t="inlineStr">
        <is>
          <t>JÖNKÖPINGS LÄN</t>
        </is>
      </c>
      <c r="E6572" t="inlineStr">
        <is>
          <t>NÄSSJÖ</t>
        </is>
      </c>
      <c r="G6572" t="n">
        <v>6.3</v>
      </c>
      <c r="H6572" t="n">
        <v>0</v>
      </c>
      <c r="I6572" t="n">
        <v>0</v>
      </c>
      <c r="J6572" t="n">
        <v>0</v>
      </c>
      <c r="K6572" t="n">
        <v>0</v>
      </c>
      <c r="L6572" t="n">
        <v>0</v>
      </c>
      <c r="M6572" t="n">
        <v>0</v>
      </c>
      <c r="N6572" t="n">
        <v>0</v>
      </c>
      <c r="O6572" t="n">
        <v>0</v>
      </c>
      <c r="P6572" t="n">
        <v>0</v>
      </c>
      <c r="Q6572" t="n">
        <v>0</v>
      </c>
      <c r="R6572" s="2" t="inlineStr"/>
    </row>
    <row r="6573" ht="15" customHeight="1">
      <c r="A6573" t="inlineStr">
        <is>
          <t>A 37698-2025</t>
        </is>
      </c>
      <c r="B6573" s="1" t="n">
        <v>45880.57400462963</v>
      </c>
      <c r="C6573" s="1" t="n">
        <v>45962</v>
      </c>
      <c r="D6573" t="inlineStr">
        <is>
          <t>JÖNKÖPINGS LÄN</t>
        </is>
      </c>
      <c r="E6573" t="inlineStr">
        <is>
          <t>EKSJÖ</t>
        </is>
      </c>
      <c r="G6573" t="n">
        <v>1</v>
      </c>
      <c r="H6573" t="n">
        <v>0</v>
      </c>
      <c r="I6573" t="n">
        <v>0</v>
      </c>
      <c r="J6573" t="n">
        <v>0</v>
      </c>
      <c r="K6573" t="n">
        <v>0</v>
      </c>
      <c r="L6573" t="n">
        <v>0</v>
      </c>
      <c r="M6573" t="n">
        <v>0</v>
      </c>
      <c r="N6573" t="n">
        <v>0</v>
      </c>
      <c r="O6573" t="n">
        <v>0</v>
      </c>
      <c r="P6573" t="n">
        <v>0</v>
      </c>
      <c r="Q6573" t="n">
        <v>0</v>
      </c>
      <c r="R6573" s="2" t="inlineStr"/>
    </row>
    <row r="6574" ht="15" customHeight="1">
      <c r="A6574" t="inlineStr">
        <is>
          <t>A 37527-2025</t>
        </is>
      </c>
      <c r="B6574" s="1" t="n">
        <v>45877.87582175926</v>
      </c>
      <c r="C6574" s="1" t="n">
        <v>45962</v>
      </c>
      <c r="D6574" t="inlineStr">
        <is>
          <t>JÖNKÖPINGS LÄN</t>
        </is>
      </c>
      <c r="E6574" t="inlineStr">
        <is>
          <t>JÖNKÖPING</t>
        </is>
      </c>
      <c r="G6574" t="n">
        <v>1.4</v>
      </c>
      <c r="H6574" t="n">
        <v>0</v>
      </c>
      <c r="I6574" t="n">
        <v>0</v>
      </c>
      <c r="J6574" t="n">
        <v>0</v>
      </c>
      <c r="K6574" t="n">
        <v>0</v>
      </c>
      <c r="L6574" t="n">
        <v>0</v>
      </c>
      <c r="M6574" t="n">
        <v>0</v>
      </c>
      <c r="N6574" t="n">
        <v>0</v>
      </c>
      <c r="O6574" t="n">
        <v>0</v>
      </c>
      <c r="P6574" t="n">
        <v>0</v>
      </c>
      <c r="Q6574" t="n">
        <v>0</v>
      </c>
      <c r="R6574" s="2" t="inlineStr"/>
    </row>
    <row r="6575" ht="15" customHeight="1">
      <c r="A6575" t="inlineStr">
        <is>
          <t>A 37537-2025</t>
        </is>
      </c>
      <c r="B6575" s="1" t="n">
        <v>45878.99365740741</v>
      </c>
      <c r="C6575" s="1" t="n">
        <v>45962</v>
      </c>
      <c r="D6575" t="inlineStr">
        <is>
          <t>JÖNKÖPINGS LÄN</t>
        </is>
      </c>
      <c r="E6575" t="inlineStr">
        <is>
          <t>EKSJÖ</t>
        </is>
      </c>
      <c r="G6575" t="n">
        <v>2.4</v>
      </c>
      <c r="H6575" t="n">
        <v>0</v>
      </c>
      <c r="I6575" t="n">
        <v>0</v>
      </c>
      <c r="J6575" t="n">
        <v>0</v>
      </c>
      <c r="K6575" t="n">
        <v>0</v>
      </c>
      <c r="L6575" t="n">
        <v>0</v>
      </c>
      <c r="M6575" t="n">
        <v>0</v>
      </c>
      <c r="N6575" t="n">
        <v>0</v>
      </c>
      <c r="O6575" t="n">
        <v>0</v>
      </c>
      <c r="P6575" t="n">
        <v>0</v>
      </c>
      <c r="Q6575" t="n">
        <v>0</v>
      </c>
      <c r="R6575" s="2" t="inlineStr"/>
    </row>
    <row r="6576" ht="15" customHeight="1">
      <c r="A6576" t="inlineStr">
        <is>
          <t>A 33971-2025</t>
        </is>
      </c>
      <c r="B6576" s="1" t="n">
        <v>45842.93702546296</v>
      </c>
      <c r="C6576" s="1" t="n">
        <v>45962</v>
      </c>
      <c r="D6576" t="inlineStr">
        <is>
          <t>JÖNKÖPINGS LÄN</t>
        </is>
      </c>
      <c r="E6576" t="inlineStr">
        <is>
          <t>EKSJÖ</t>
        </is>
      </c>
      <c r="G6576" t="n">
        <v>0.7</v>
      </c>
      <c r="H6576" t="n">
        <v>0</v>
      </c>
      <c r="I6576" t="n">
        <v>0</v>
      </c>
      <c r="J6576" t="n">
        <v>0</v>
      </c>
      <c r="K6576" t="n">
        <v>0</v>
      </c>
      <c r="L6576" t="n">
        <v>0</v>
      </c>
      <c r="M6576" t="n">
        <v>0</v>
      </c>
      <c r="N6576" t="n">
        <v>0</v>
      </c>
      <c r="O6576" t="n">
        <v>0</v>
      </c>
      <c r="P6576" t="n">
        <v>0</v>
      </c>
      <c r="Q6576" t="n">
        <v>0</v>
      </c>
      <c r="R6576" s="2" t="inlineStr"/>
    </row>
    <row r="6577" ht="15" customHeight="1">
      <c r="A6577" t="inlineStr">
        <is>
          <t>A 7052-2024</t>
        </is>
      </c>
      <c r="B6577" s="1" t="n">
        <v>45343.63950231481</v>
      </c>
      <c r="C6577" s="1" t="n">
        <v>45962</v>
      </c>
      <c r="D6577" t="inlineStr">
        <is>
          <t>JÖNKÖPINGS LÄN</t>
        </is>
      </c>
      <c r="E6577" t="inlineStr">
        <is>
          <t>NÄSSJÖ</t>
        </is>
      </c>
      <c r="G6577" t="n">
        <v>2.7</v>
      </c>
      <c r="H6577" t="n">
        <v>0</v>
      </c>
      <c r="I6577" t="n">
        <v>0</v>
      </c>
      <c r="J6577" t="n">
        <v>0</v>
      </c>
      <c r="K6577" t="n">
        <v>0</v>
      </c>
      <c r="L6577" t="n">
        <v>0</v>
      </c>
      <c r="M6577" t="n">
        <v>0</v>
      </c>
      <c r="N6577" t="n">
        <v>0</v>
      </c>
      <c r="O6577" t="n">
        <v>0</v>
      </c>
      <c r="P6577" t="n">
        <v>0</v>
      </c>
      <c r="Q6577" t="n">
        <v>0</v>
      </c>
      <c r="R6577" s="2" t="inlineStr"/>
    </row>
    <row r="6578" ht="15" customHeight="1">
      <c r="A6578" t="inlineStr">
        <is>
          <t>A 37734-2025</t>
        </is>
      </c>
      <c r="B6578" s="1" t="n">
        <v>45880.63387731482</v>
      </c>
      <c r="C6578" s="1" t="n">
        <v>45962</v>
      </c>
      <c r="D6578" t="inlineStr">
        <is>
          <t>JÖNKÖPINGS LÄN</t>
        </is>
      </c>
      <c r="E6578" t="inlineStr">
        <is>
          <t>GISLAVED</t>
        </is>
      </c>
      <c r="G6578" t="n">
        <v>2</v>
      </c>
      <c r="H6578" t="n">
        <v>0</v>
      </c>
      <c r="I6578" t="n">
        <v>0</v>
      </c>
      <c r="J6578" t="n">
        <v>0</v>
      </c>
      <c r="K6578" t="n">
        <v>0</v>
      </c>
      <c r="L6578" t="n">
        <v>0</v>
      </c>
      <c r="M6578" t="n">
        <v>0</v>
      </c>
      <c r="N6578" t="n">
        <v>0</v>
      </c>
      <c r="O6578" t="n">
        <v>0</v>
      </c>
      <c r="P6578" t="n">
        <v>0</v>
      </c>
      <c r="Q6578" t="n">
        <v>0</v>
      </c>
      <c r="R6578" s="2" t="inlineStr"/>
    </row>
    <row r="6579" ht="15" customHeight="1">
      <c r="A6579" t="inlineStr">
        <is>
          <t>A 37767-2025</t>
        </is>
      </c>
      <c r="B6579" s="1" t="n">
        <v>45880.72895833333</v>
      </c>
      <c r="C6579" s="1" t="n">
        <v>45962</v>
      </c>
      <c r="D6579" t="inlineStr">
        <is>
          <t>JÖNKÖPINGS LÄN</t>
        </is>
      </c>
      <c r="E6579" t="inlineStr">
        <is>
          <t>NÄSSJÖ</t>
        </is>
      </c>
      <c r="G6579" t="n">
        <v>0.5</v>
      </c>
      <c r="H6579" t="n">
        <v>0</v>
      </c>
      <c r="I6579" t="n">
        <v>0</v>
      </c>
      <c r="J6579" t="n">
        <v>0</v>
      </c>
      <c r="K6579" t="n">
        <v>0</v>
      </c>
      <c r="L6579" t="n">
        <v>0</v>
      </c>
      <c r="M6579" t="n">
        <v>0</v>
      </c>
      <c r="N6579" t="n">
        <v>0</v>
      </c>
      <c r="O6579" t="n">
        <v>0</v>
      </c>
      <c r="P6579" t="n">
        <v>0</v>
      </c>
      <c r="Q6579" t="n">
        <v>0</v>
      </c>
      <c r="R6579" s="2" t="inlineStr"/>
    </row>
    <row r="6580" ht="15" customHeight="1">
      <c r="A6580" t="inlineStr">
        <is>
          <t>A 48283-2025</t>
        </is>
      </c>
      <c r="B6580" s="1" t="n">
        <v>45933.58989583333</v>
      </c>
      <c r="C6580" s="1" t="n">
        <v>45962</v>
      </c>
      <c r="D6580" t="inlineStr">
        <is>
          <t>JÖNKÖPINGS LÄN</t>
        </is>
      </c>
      <c r="E6580" t="inlineStr">
        <is>
          <t>GISLAVED</t>
        </is>
      </c>
      <c r="G6580" t="n">
        <v>0.9</v>
      </c>
      <c r="H6580" t="n">
        <v>0</v>
      </c>
      <c r="I6580" t="n">
        <v>0</v>
      </c>
      <c r="J6580" t="n">
        <v>0</v>
      </c>
      <c r="K6580" t="n">
        <v>0</v>
      </c>
      <c r="L6580" t="n">
        <v>0</v>
      </c>
      <c r="M6580" t="n">
        <v>0</v>
      </c>
      <c r="N6580" t="n">
        <v>0</v>
      </c>
      <c r="O6580" t="n">
        <v>0</v>
      </c>
      <c r="P6580" t="n">
        <v>0</v>
      </c>
      <c r="Q6580" t="n">
        <v>0</v>
      </c>
      <c r="R6580" s="2" t="inlineStr"/>
    </row>
    <row r="6581" ht="15" customHeight="1">
      <c r="A6581" t="inlineStr">
        <is>
          <t>A 15236-2025</t>
        </is>
      </c>
      <c r="B6581" s="1" t="n">
        <v>45744.60837962963</v>
      </c>
      <c r="C6581" s="1" t="n">
        <v>45962</v>
      </c>
      <c r="D6581" t="inlineStr">
        <is>
          <t>JÖNKÖPINGS LÄN</t>
        </is>
      </c>
      <c r="E6581" t="inlineStr">
        <is>
          <t>GISLAVED</t>
        </is>
      </c>
      <c r="F6581" t="inlineStr">
        <is>
          <t>Sveaskog</t>
        </is>
      </c>
      <c r="G6581" t="n">
        <v>1.7</v>
      </c>
      <c r="H6581" t="n">
        <v>0</v>
      </c>
      <c r="I6581" t="n">
        <v>0</v>
      </c>
      <c r="J6581" t="n">
        <v>0</v>
      </c>
      <c r="K6581" t="n">
        <v>0</v>
      </c>
      <c r="L6581" t="n">
        <v>0</v>
      </c>
      <c r="M6581" t="n">
        <v>0</v>
      </c>
      <c r="N6581" t="n">
        <v>0</v>
      </c>
      <c r="O6581" t="n">
        <v>0</v>
      </c>
      <c r="P6581" t="n">
        <v>0</v>
      </c>
      <c r="Q6581" t="n">
        <v>0</v>
      </c>
      <c r="R6581" s="2" t="inlineStr"/>
    </row>
    <row r="6582" ht="15" customHeight="1">
      <c r="A6582" t="inlineStr">
        <is>
          <t>A 16164-2024</t>
        </is>
      </c>
      <c r="B6582" s="1" t="n">
        <v>45406.60965277778</v>
      </c>
      <c r="C6582" s="1" t="n">
        <v>45962</v>
      </c>
      <c r="D6582" t="inlineStr">
        <is>
          <t>JÖNKÖPINGS LÄN</t>
        </is>
      </c>
      <c r="E6582" t="inlineStr">
        <is>
          <t>VÄRNAMO</t>
        </is>
      </c>
      <c r="G6582" t="n">
        <v>2.3</v>
      </c>
      <c r="H6582" t="n">
        <v>0</v>
      </c>
      <c r="I6582" t="n">
        <v>0</v>
      </c>
      <c r="J6582" t="n">
        <v>0</v>
      </c>
      <c r="K6582" t="n">
        <v>0</v>
      </c>
      <c r="L6582" t="n">
        <v>0</v>
      </c>
      <c r="M6582" t="n">
        <v>0</v>
      </c>
      <c r="N6582" t="n">
        <v>0</v>
      </c>
      <c r="O6582" t="n">
        <v>0</v>
      </c>
      <c r="P6582" t="n">
        <v>0</v>
      </c>
      <c r="Q6582" t="n">
        <v>0</v>
      </c>
      <c r="R6582" s="2" t="inlineStr"/>
    </row>
    <row r="6583" ht="15" customHeight="1">
      <c r="A6583" t="inlineStr">
        <is>
          <t>A 31909-2024</t>
        </is>
      </c>
      <c r="B6583" s="1" t="n">
        <v>45510.35284722222</v>
      </c>
      <c r="C6583" s="1" t="n">
        <v>45962</v>
      </c>
      <c r="D6583" t="inlineStr">
        <is>
          <t>JÖNKÖPINGS LÄN</t>
        </is>
      </c>
      <c r="E6583" t="inlineStr">
        <is>
          <t>HABO</t>
        </is>
      </c>
      <c r="G6583" t="n">
        <v>1.3</v>
      </c>
      <c r="H6583" t="n">
        <v>0</v>
      </c>
      <c r="I6583" t="n">
        <v>0</v>
      </c>
      <c r="J6583" t="n">
        <v>0</v>
      </c>
      <c r="K6583" t="n">
        <v>0</v>
      </c>
      <c r="L6583" t="n">
        <v>0</v>
      </c>
      <c r="M6583" t="n">
        <v>0</v>
      </c>
      <c r="N6583" t="n">
        <v>0</v>
      </c>
      <c r="O6583" t="n">
        <v>0</v>
      </c>
      <c r="P6583" t="n">
        <v>0</v>
      </c>
      <c r="Q6583" t="n">
        <v>0</v>
      </c>
      <c r="R6583" s="2" t="inlineStr"/>
    </row>
    <row r="6584" ht="15" customHeight="1">
      <c r="A6584" t="inlineStr">
        <is>
          <t>A 39917-2025</t>
        </is>
      </c>
      <c r="B6584" s="1" t="n">
        <v>45891.65788194445</v>
      </c>
      <c r="C6584" s="1" t="n">
        <v>45962</v>
      </c>
      <c r="D6584" t="inlineStr">
        <is>
          <t>JÖNKÖPINGS LÄN</t>
        </is>
      </c>
      <c r="E6584" t="inlineStr">
        <is>
          <t>EKSJÖ</t>
        </is>
      </c>
      <c r="G6584" t="n">
        <v>1.1</v>
      </c>
      <c r="H6584" t="n">
        <v>0</v>
      </c>
      <c r="I6584" t="n">
        <v>0</v>
      </c>
      <c r="J6584" t="n">
        <v>0</v>
      </c>
      <c r="K6584" t="n">
        <v>0</v>
      </c>
      <c r="L6584" t="n">
        <v>0</v>
      </c>
      <c r="M6584" t="n">
        <v>0</v>
      </c>
      <c r="N6584" t="n">
        <v>0</v>
      </c>
      <c r="O6584" t="n">
        <v>0</v>
      </c>
      <c r="P6584" t="n">
        <v>0</v>
      </c>
      <c r="Q6584" t="n">
        <v>0</v>
      </c>
      <c r="R6584" s="2" t="inlineStr"/>
    </row>
    <row r="6585" ht="15" customHeight="1">
      <c r="A6585" t="inlineStr">
        <is>
          <t>A 43559-2023</t>
        </is>
      </c>
      <c r="B6585" s="1" t="n">
        <v>45184.57670138889</v>
      </c>
      <c r="C6585" s="1" t="n">
        <v>45962</v>
      </c>
      <c r="D6585" t="inlineStr">
        <is>
          <t>JÖNKÖPINGS LÄN</t>
        </is>
      </c>
      <c r="E6585" t="inlineStr">
        <is>
          <t>VETLANDA</t>
        </is>
      </c>
      <c r="G6585" t="n">
        <v>0.6</v>
      </c>
      <c r="H6585" t="n">
        <v>0</v>
      </c>
      <c r="I6585" t="n">
        <v>0</v>
      </c>
      <c r="J6585" t="n">
        <v>0</v>
      </c>
      <c r="K6585" t="n">
        <v>0</v>
      </c>
      <c r="L6585" t="n">
        <v>0</v>
      </c>
      <c r="M6585" t="n">
        <v>0</v>
      </c>
      <c r="N6585" t="n">
        <v>0</v>
      </c>
      <c r="O6585" t="n">
        <v>0</v>
      </c>
      <c r="P6585" t="n">
        <v>0</v>
      </c>
      <c r="Q6585" t="n">
        <v>0</v>
      </c>
      <c r="R6585" s="2" t="inlineStr"/>
    </row>
    <row r="6586" ht="15" customHeight="1">
      <c r="A6586" t="inlineStr">
        <is>
          <t>A 18838-2025</t>
        </is>
      </c>
      <c r="B6586" s="1" t="n">
        <v>45764.40184027778</v>
      </c>
      <c r="C6586" s="1" t="n">
        <v>45962</v>
      </c>
      <c r="D6586" t="inlineStr">
        <is>
          <t>JÖNKÖPINGS LÄN</t>
        </is>
      </c>
      <c r="E6586" t="inlineStr">
        <is>
          <t>JÖNKÖPING</t>
        </is>
      </c>
      <c r="G6586" t="n">
        <v>0.9</v>
      </c>
      <c r="H6586" t="n">
        <v>0</v>
      </c>
      <c r="I6586" t="n">
        <v>0</v>
      </c>
      <c r="J6586" t="n">
        <v>0</v>
      </c>
      <c r="K6586" t="n">
        <v>0</v>
      </c>
      <c r="L6586" t="n">
        <v>0</v>
      </c>
      <c r="M6586" t="n">
        <v>0</v>
      </c>
      <c r="N6586" t="n">
        <v>0</v>
      </c>
      <c r="O6586" t="n">
        <v>0</v>
      </c>
      <c r="P6586" t="n">
        <v>0</v>
      </c>
      <c r="Q6586" t="n">
        <v>0</v>
      </c>
      <c r="R6586" s="2" t="inlineStr"/>
    </row>
    <row r="6587" ht="15" customHeight="1">
      <c r="A6587" t="inlineStr">
        <is>
          <t>A 45870-2025</t>
        </is>
      </c>
      <c r="B6587" s="1" t="n">
        <v>45923.65457175926</v>
      </c>
      <c r="C6587" s="1" t="n">
        <v>45962</v>
      </c>
      <c r="D6587" t="inlineStr">
        <is>
          <t>JÖNKÖPINGS LÄN</t>
        </is>
      </c>
      <c r="E6587" t="inlineStr">
        <is>
          <t>VÄRNAMO</t>
        </is>
      </c>
      <c r="G6587" t="n">
        <v>1.2</v>
      </c>
      <c r="H6587" t="n">
        <v>0</v>
      </c>
      <c r="I6587" t="n">
        <v>0</v>
      </c>
      <c r="J6587" t="n">
        <v>0</v>
      </c>
      <c r="K6587" t="n">
        <v>0</v>
      </c>
      <c r="L6587" t="n">
        <v>0</v>
      </c>
      <c r="M6587" t="n">
        <v>0</v>
      </c>
      <c r="N6587" t="n">
        <v>0</v>
      </c>
      <c r="O6587" t="n">
        <v>0</v>
      </c>
      <c r="P6587" t="n">
        <v>0</v>
      </c>
      <c r="Q6587" t="n">
        <v>0</v>
      </c>
      <c r="R6587" s="2" t="inlineStr"/>
    </row>
    <row r="6588" ht="15" customHeight="1">
      <c r="A6588" t="inlineStr">
        <is>
          <t>A 39782-2025</t>
        </is>
      </c>
      <c r="B6588" s="1" t="n">
        <v>45891.47547453704</v>
      </c>
      <c r="C6588" s="1" t="n">
        <v>45962</v>
      </c>
      <c r="D6588" t="inlineStr">
        <is>
          <t>JÖNKÖPINGS LÄN</t>
        </is>
      </c>
      <c r="E6588" t="inlineStr">
        <is>
          <t>VÄRNAMO</t>
        </is>
      </c>
      <c r="G6588" t="n">
        <v>0.9</v>
      </c>
      <c r="H6588" t="n">
        <v>0</v>
      </c>
      <c r="I6588" t="n">
        <v>0</v>
      </c>
      <c r="J6588" t="n">
        <v>0</v>
      </c>
      <c r="K6588" t="n">
        <v>0</v>
      </c>
      <c r="L6588" t="n">
        <v>0</v>
      </c>
      <c r="M6588" t="n">
        <v>0</v>
      </c>
      <c r="N6588" t="n">
        <v>0</v>
      </c>
      <c r="O6588" t="n">
        <v>0</v>
      </c>
      <c r="P6588" t="n">
        <v>0</v>
      </c>
      <c r="Q6588" t="n">
        <v>0</v>
      </c>
      <c r="R6588" s="2" t="inlineStr"/>
    </row>
    <row r="6589" ht="15" customHeight="1">
      <c r="A6589" t="inlineStr">
        <is>
          <t>A 2768-2024</t>
        </is>
      </c>
      <c r="B6589" s="1" t="n">
        <v>45314</v>
      </c>
      <c r="C6589" s="1" t="n">
        <v>45962</v>
      </c>
      <c r="D6589" t="inlineStr">
        <is>
          <t>JÖNKÖPINGS LÄN</t>
        </is>
      </c>
      <c r="E6589" t="inlineStr">
        <is>
          <t>TRANÅS</t>
        </is>
      </c>
      <c r="G6589" t="n">
        <v>4.4</v>
      </c>
      <c r="H6589" t="n">
        <v>0</v>
      </c>
      <c r="I6589" t="n">
        <v>0</v>
      </c>
      <c r="J6589" t="n">
        <v>0</v>
      </c>
      <c r="K6589" t="n">
        <v>0</v>
      </c>
      <c r="L6589" t="n">
        <v>0</v>
      </c>
      <c r="M6589" t="n">
        <v>0</v>
      </c>
      <c r="N6589" t="n">
        <v>0</v>
      </c>
      <c r="O6589" t="n">
        <v>0</v>
      </c>
      <c r="P6589" t="n">
        <v>0</v>
      </c>
      <c r="Q6589" t="n">
        <v>0</v>
      </c>
      <c r="R6589" s="2" t="inlineStr"/>
    </row>
    <row r="6590" ht="15" customHeight="1">
      <c r="A6590" t="inlineStr">
        <is>
          <t>A 2779-2024</t>
        </is>
      </c>
      <c r="B6590" s="1" t="n">
        <v>45314</v>
      </c>
      <c r="C6590" s="1" t="n">
        <v>45962</v>
      </c>
      <c r="D6590" t="inlineStr">
        <is>
          <t>JÖNKÖPINGS LÄN</t>
        </is>
      </c>
      <c r="E6590" t="inlineStr">
        <is>
          <t>JÖNKÖPING</t>
        </is>
      </c>
      <c r="G6590" t="n">
        <v>1.6</v>
      </c>
      <c r="H6590" t="n">
        <v>0</v>
      </c>
      <c r="I6590" t="n">
        <v>0</v>
      </c>
      <c r="J6590" t="n">
        <v>0</v>
      </c>
      <c r="K6590" t="n">
        <v>0</v>
      </c>
      <c r="L6590" t="n">
        <v>0</v>
      </c>
      <c r="M6590" t="n">
        <v>0</v>
      </c>
      <c r="N6590" t="n">
        <v>0</v>
      </c>
      <c r="O6590" t="n">
        <v>0</v>
      </c>
      <c r="P6590" t="n">
        <v>0</v>
      </c>
      <c r="Q6590" t="n">
        <v>0</v>
      </c>
      <c r="R6590" s="2" t="inlineStr"/>
    </row>
    <row r="6591" ht="15" customHeight="1">
      <c r="A6591" t="inlineStr">
        <is>
          <t>A 282-2024</t>
        </is>
      </c>
      <c r="B6591" s="1" t="n">
        <v>45295.40646990741</v>
      </c>
      <c r="C6591" s="1" t="n">
        <v>45962</v>
      </c>
      <c r="D6591" t="inlineStr">
        <is>
          <t>JÖNKÖPINGS LÄN</t>
        </is>
      </c>
      <c r="E6591" t="inlineStr">
        <is>
          <t>JÖNKÖPING</t>
        </is>
      </c>
      <c r="F6591" t="inlineStr">
        <is>
          <t>Sveaskog</t>
        </is>
      </c>
      <c r="G6591" t="n">
        <v>1.2</v>
      </c>
      <c r="H6591" t="n">
        <v>0</v>
      </c>
      <c r="I6591" t="n">
        <v>0</v>
      </c>
      <c r="J6591" t="n">
        <v>0</v>
      </c>
      <c r="K6591" t="n">
        <v>0</v>
      </c>
      <c r="L6591" t="n">
        <v>0</v>
      </c>
      <c r="M6591" t="n">
        <v>0</v>
      </c>
      <c r="N6591" t="n">
        <v>0</v>
      </c>
      <c r="O6591" t="n">
        <v>0</v>
      </c>
      <c r="P6591" t="n">
        <v>0</v>
      </c>
      <c r="Q6591" t="n">
        <v>0</v>
      </c>
      <c r="R6591" s="2" t="inlineStr"/>
    </row>
    <row r="6592" ht="15" customHeight="1">
      <c r="A6592" t="inlineStr">
        <is>
          <t>A 37807-2025</t>
        </is>
      </c>
      <c r="B6592" s="1" t="n">
        <v>45881.35246527778</v>
      </c>
      <c r="C6592" s="1" t="n">
        <v>45962</v>
      </c>
      <c r="D6592" t="inlineStr">
        <is>
          <t>JÖNKÖPINGS LÄN</t>
        </is>
      </c>
      <c r="E6592" t="inlineStr">
        <is>
          <t>GISLAVED</t>
        </is>
      </c>
      <c r="G6592" t="n">
        <v>1.8</v>
      </c>
      <c r="H6592" t="n">
        <v>0</v>
      </c>
      <c r="I6592" t="n">
        <v>0</v>
      </c>
      <c r="J6592" t="n">
        <v>0</v>
      </c>
      <c r="K6592" t="n">
        <v>0</v>
      </c>
      <c r="L6592" t="n">
        <v>0</v>
      </c>
      <c r="M6592" t="n">
        <v>0</v>
      </c>
      <c r="N6592" t="n">
        <v>0</v>
      </c>
      <c r="O6592" t="n">
        <v>0</v>
      </c>
      <c r="P6592" t="n">
        <v>0</v>
      </c>
      <c r="Q6592" t="n">
        <v>0</v>
      </c>
      <c r="R6592" s="2" t="inlineStr"/>
    </row>
    <row r="6593" ht="15" customHeight="1">
      <c r="A6593" t="inlineStr">
        <is>
          <t>A 37877-2025</t>
        </is>
      </c>
      <c r="B6593" s="1" t="n">
        <v>45880</v>
      </c>
      <c r="C6593" s="1" t="n">
        <v>45962</v>
      </c>
      <c r="D6593" t="inlineStr">
        <is>
          <t>JÖNKÖPINGS LÄN</t>
        </is>
      </c>
      <c r="E6593" t="inlineStr">
        <is>
          <t>NÄSSJÖ</t>
        </is>
      </c>
      <c r="G6593" t="n">
        <v>2.5</v>
      </c>
      <c r="H6593" t="n">
        <v>0</v>
      </c>
      <c r="I6593" t="n">
        <v>0</v>
      </c>
      <c r="J6593" t="n">
        <v>0</v>
      </c>
      <c r="K6593" t="n">
        <v>0</v>
      </c>
      <c r="L6593" t="n">
        <v>0</v>
      </c>
      <c r="M6593" t="n">
        <v>0</v>
      </c>
      <c r="N6593" t="n">
        <v>0</v>
      </c>
      <c r="O6593" t="n">
        <v>0</v>
      </c>
      <c r="P6593" t="n">
        <v>0</v>
      </c>
      <c r="Q6593" t="n">
        <v>0</v>
      </c>
      <c r="R6593" s="2" t="inlineStr"/>
    </row>
    <row r="6594" ht="15" customHeight="1">
      <c r="A6594" t="inlineStr">
        <is>
          <t>A 37544-2025</t>
        </is>
      </c>
      <c r="B6594" s="1" t="n">
        <v>45879.50815972222</v>
      </c>
      <c r="C6594" s="1" t="n">
        <v>45962</v>
      </c>
      <c r="D6594" t="inlineStr">
        <is>
          <t>JÖNKÖPINGS LÄN</t>
        </is>
      </c>
      <c r="E6594" t="inlineStr">
        <is>
          <t>SÄVSJÖ</t>
        </is>
      </c>
      <c r="G6594" t="n">
        <v>1.2</v>
      </c>
      <c r="H6594" t="n">
        <v>0</v>
      </c>
      <c r="I6594" t="n">
        <v>0</v>
      </c>
      <c r="J6594" t="n">
        <v>0</v>
      </c>
      <c r="K6594" t="n">
        <v>0</v>
      </c>
      <c r="L6594" t="n">
        <v>0</v>
      </c>
      <c r="M6594" t="n">
        <v>0</v>
      </c>
      <c r="N6594" t="n">
        <v>0</v>
      </c>
      <c r="O6594" t="n">
        <v>0</v>
      </c>
      <c r="P6594" t="n">
        <v>0</v>
      </c>
      <c r="Q6594" t="n">
        <v>0</v>
      </c>
      <c r="R6594" s="2" t="inlineStr"/>
    </row>
    <row r="6595" ht="15" customHeight="1">
      <c r="A6595" t="inlineStr">
        <is>
          <t>A 45275-2024</t>
        </is>
      </c>
      <c r="B6595" s="1" t="n">
        <v>45576.36652777778</v>
      </c>
      <c r="C6595" s="1" t="n">
        <v>45962</v>
      </c>
      <c r="D6595" t="inlineStr">
        <is>
          <t>JÖNKÖPINGS LÄN</t>
        </is>
      </c>
      <c r="E6595" t="inlineStr">
        <is>
          <t>HABO</t>
        </is>
      </c>
      <c r="G6595" t="n">
        <v>0.4</v>
      </c>
      <c r="H6595" t="n">
        <v>0</v>
      </c>
      <c r="I6595" t="n">
        <v>0</v>
      </c>
      <c r="J6595" t="n">
        <v>0</v>
      </c>
      <c r="K6595" t="n">
        <v>0</v>
      </c>
      <c r="L6595" t="n">
        <v>0</v>
      </c>
      <c r="M6595" t="n">
        <v>0</v>
      </c>
      <c r="N6595" t="n">
        <v>0</v>
      </c>
      <c r="O6595" t="n">
        <v>0</v>
      </c>
      <c r="P6595" t="n">
        <v>0</v>
      </c>
      <c r="Q6595" t="n">
        <v>0</v>
      </c>
      <c r="R6595" s="2" t="inlineStr"/>
    </row>
    <row r="6596" ht="15" customHeight="1">
      <c r="A6596" t="inlineStr">
        <is>
          <t>A 46848-2023</t>
        </is>
      </c>
      <c r="B6596" s="1" t="n">
        <v>45199.8639699074</v>
      </c>
      <c r="C6596" s="1" t="n">
        <v>45962</v>
      </c>
      <c r="D6596" t="inlineStr">
        <is>
          <t>JÖNKÖPINGS LÄN</t>
        </is>
      </c>
      <c r="E6596" t="inlineStr">
        <is>
          <t>GISLAVED</t>
        </is>
      </c>
      <c r="G6596" t="n">
        <v>1</v>
      </c>
      <c r="H6596" t="n">
        <v>0</v>
      </c>
      <c r="I6596" t="n">
        <v>0</v>
      </c>
      <c r="J6596" t="n">
        <v>0</v>
      </c>
      <c r="K6596" t="n">
        <v>0</v>
      </c>
      <c r="L6596" t="n">
        <v>0</v>
      </c>
      <c r="M6596" t="n">
        <v>0</v>
      </c>
      <c r="N6596" t="n">
        <v>0</v>
      </c>
      <c r="O6596" t="n">
        <v>0</v>
      </c>
      <c r="P6596" t="n">
        <v>0</v>
      </c>
      <c r="Q6596" t="n">
        <v>0</v>
      </c>
      <c r="R6596" s="2" t="inlineStr"/>
    </row>
    <row r="6597" ht="15" customHeight="1">
      <c r="A6597" t="inlineStr">
        <is>
          <t>A 46816-2025</t>
        </is>
      </c>
      <c r="B6597" s="1" t="n">
        <v>45926</v>
      </c>
      <c r="C6597" s="1" t="n">
        <v>45962</v>
      </c>
      <c r="D6597" t="inlineStr">
        <is>
          <t>JÖNKÖPINGS LÄN</t>
        </is>
      </c>
      <c r="E6597" t="inlineStr">
        <is>
          <t>JÖNKÖPING</t>
        </is>
      </c>
      <c r="G6597" t="n">
        <v>1.4</v>
      </c>
      <c r="H6597" t="n">
        <v>0</v>
      </c>
      <c r="I6597" t="n">
        <v>0</v>
      </c>
      <c r="J6597" t="n">
        <v>0</v>
      </c>
      <c r="K6597" t="n">
        <v>0</v>
      </c>
      <c r="L6597" t="n">
        <v>0</v>
      </c>
      <c r="M6597" t="n">
        <v>0</v>
      </c>
      <c r="N6597" t="n">
        <v>0</v>
      </c>
      <c r="O6597" t="n">
        <v>0</v>
      </c>
      <c r="P6597" t="n">
        <v>0</v>
      </c>
      <c r="Q6597" t="n">
        <v>0</v>
      </c>
      <c r="R6597" s="2" t="inlineStr"/>
    </row>
    <row r="6598" ht="15" customHeight="1">
      <c r="A6598" t="inlineStr">
        <is>
          <t>A 45303-2025</t>
        </is>
      </c>
      <c r="B6598" s="1" t="n">
        <v>45921.53412037037</v>
      </c>
      <c r="C6598" s="1" t="n">
        <v>45962</v>
      </c>
      <c r="D6598" t="inlineStr">
        <is>
          <t>JÖNKÖPINGS LÄN</t>
        </is>
      </c>
      <c r="E6598" t="inlineStr">
        <is>
          <t>VAGGERYD</t>
        </is>
      </c>
      <c r="G6598" t="n">
        <v>2.1</v>
      </c>
      <c r="H6598" t="n">
        <v>0</v>
      </c>
      <c r="I6598" t="n">
        <v>0</v>
      </c>
      <c r="J6598" t="n">
        <v>0</v>
      </c>
      <c r="K6598" t="n">
        <v>0</v>
      </c>
      <c r="L6598" t="n">
        <v>0</v>
      </c>
      <c r="M6598" t="n">
        <v>0</v>
      </c>
      <c r="N6598" t="n">
        <v>0</v>
      </c>
      <c r="O6598" t="n">
        <v>0</v>
      </c>
      <c r="P6598" t="n">
        <v>0</v>
      </c>
      <c r="Q6598" t="n">
        <v>0</v>
      </c>
      <c r="R6598" s="2" t="inlineStr"/>
    </row>
    <row r="6599" ht="15" customHeight="1">
      <c r="A6599" t="inlineStr">
        <is>
          <t>A 45304-2025</t>
        </is>
      </c>
      <c r="B6599" s="1" t="n">
        <v>45921.53559027778</v>
      </c>
      <c r="C6599" s="1" t="n">
        <v>45962</v>
      </c>
      <c r="D6599" t="inlineStr">
        <is>
          <t>JÖNKÖPINGS LÄN</t>
        </is>
      </c>
      <c r="E6599" t="inlineStr">
        <is>
          <t>VAGGERYD</t>
        </is>
      </c>
      <c r="G6599" t="n">
        <v>5.2</v>
      </c>
      <c r="H6599" t="n">
        <v>0</v>
      </c>
      <c r="I6599" t="n">
        <v>0</v>
      </c>
      <c r="J6599" t="n">
        <v>0</v>
      </c>
      <c r="K6599" t="n">
        <v>0</v>
      </c>
      <c r="L6599" t="n">
        <v>0</v>
      </c>
      <c r="M6599" t="n">
        <v>0</v>
      </c>
      <c r="N6599" t="n">
        <v>0</v>
      </c>
      <c r="O6599" t="n">
        <v>0</v>
      </c>
      <c r="P6599" t="n">
        <v>0</v>
      </c>
      <c r="Q6599" t="n">
        <v>0</v>
      </c>
      <c r="R6599" s="2" t="inlineStr"/>
    </row>
    <row r="6600" ht="15" customHeight="1">
      <c r="A6600" t="inlineStr">
        <is>
          <t>A 45305-2025</t>
        </is>
      </c>
      <c r="B6600" s="1" t="n">
        <v>45921.53733796296</v>
      </c>
      <c r="C6600" s="1" t="n">
        <v>45962</v>
      </c>
      <c r="D6600" t="inlineStr">
        <is>
          <t>JÖNKÖPINGS LÄN</t>
        </is>
      </c>
      <c r="E6600" t="inlineStr">
        <is>
          <t>VAGGERYD</t>
        </is>
      </c>
      <c r="G6600" t="n">
        <v>5.7</v>
      </c>
      <c r="H6600" t="n">
        <v>0</v>
      </c>
      <c r="I6600" t="n">
        <v>0</v>
      </c>
      <c r="J6600" t="n">
        <v>0</v>
      </c>
      <c r="K6600" t="n">
        <v>0</v>
      </c>
      <c r="L6600" t="n">
        <v>0</v>
      </c>
      <c r="M6600" t="n">
        <v>0</v>
      </c>
      <c r="N6600" t="n">
        <v>0</v>
      </c>
      <c r="O6600" t="n">
        <v>0</v>
      </c>
      <c r="P6600" t="n">
        <v>0</v>
      </c>
      <c r="Q6600" t="n">
        <v>0</v>
      </c>
      <c r="R6600" s="2" t="inlineStr"/>
    </row>
    <row r="6601" ht="15" customHeight="1">
      <c r="A6601" t="inlineStr">
        <is>
          <t>A 54641-2024</t>
        </is>
      </c>
      <c r="B6601" s="1" t="n">
        <v>45617.91424768518</v>
      </c>
      <c r="C6601" s="1" t="n">
        <v>45962</v>
      </c>
      <c r="D6601" t="inlineStr">
        <is>
          <t>JÖNKÖPINGS LÄN</t>
        </is>
      </c>
      <c r="E6601" t="inlineStr">
        <is>
          <t>JÖNKÖPING</t>
        </is>
      </c>
      <c r="G6601" t="n">
        <v>1.8</v>
      </c>
      <c r="H6601" t="n">
        <v>0</v>
      </c>
      <c r="I6601" t="n">
        <v>0</v>
      </c>
      <c r="J6601" t="n">
        <v>0</v>
      </c>
      <c r="K6601" t="n">
        <v>0</v>
      </c>
      <c r="L6601" t="n">
        <v>0</v>
      </c>
      <c r="M6601" t="n">
        <v>0</v>
      </c>
      <c r="N6601" t="n">
        <v>0</v>
      </c>
      <c r="O6601" t="n">
        <v>0</v>
      </c>
      <c r="P6601" t="n">
        <v>0</v>
      </c>
      <c r="Q6601" t="n">
        <v>0</v>
      </c>
      <c r="R6601" s="2" t="inlineStr"/>
    </row>
    <row r="6602" ht="15" customHeight="1">
      <c r="A6602" t="inlineStr">
        <is>
          <t>A 38072-2023</t>
        </is>
      </c>
      <c r="B6602" s="1" t="n">
        <v>45160.76854166666</v>
      </c>
      <c r="C6602" s="1" t="n">
        <v>45962</v>
      </c>
      <c r="D6602" t="inlineStr">
        <is>
          <t>JÖNKÖPINGS LÄN</t>
        </is>
      </c>
      <c r="E6602" t="inlineStr">
        <is>
          <t>SÄVSJÖ</t>
        </is>
      </c>
      <c r="G6602" t="n">
        <v>0.5</v>
      </c>
      <c r="H6602" t="n">
        <v>0</v>
      </c>
      <c r="I6602" t="n">
        <v>0</v>
      </c>
      <c r="J6602" t="n">
        <v>0</v>
      </c>
      <c r="K6602" t="n">
        <v>0</v>
      </c>
      <c r="L6602" t="n">
        <v>0</v>
      </c>
      <c r="M6602" t="n">
        <v>0</v>
      </c>
      <c r="N6602" t="n">
        <v>0</v>
      </c>
      <c r="O6602" t="n">
        <v>0</v>
      </c>
      <c r="P6602" t="n">
        <v>0</v>
      </c>
      <c r="Q6602" t="n">
        <v>0</v>
      </c>
      <c r="R6602" s="2" t="inlineStr"/>
    </row>
    <row r="6603" ht="15" customHeight="1">
      <c r="A6603" t="inlineStr">
        <is>
          <t>A 39911-2025</t>
        </is>
      </c>
      <c r="B6603" s="1" t="n">
        <v>45891.6499537037</v>
      </c>
      <c r="C6603" s="1" t="n">
        <v>45962</v>
      </c>
      <c r="D6603" t="inlineStr">
        <is>
          <t>JÖNKÖPINGS LÄN</t>
        </is>
      </c>
      <c r="E6603" t="inlineStr">
        <is>
          <t>EKSJÖ</t>
        </is>
      </c>
      <c r="G6603" t="n">
        <v>3.6</v>
      </c>
      <c r="H6603" t="n">
        <v>0</v>
      </c>
      <c r="I6603" t="n">
        <v>0</v>
      </c>
      <c r="J6603" t="n">
        <v>0</v>
      </c>
      <c r="K6603" t="n">
        <v>0</v>
      </c>
      <c r="L6603" t="n">
        <v>0</v>
      </c>
      <c r="M6603" t="n">
        <v>0</v>
      </c>
      <c r="N6603" t="n">
        <v>0</v>
      </c>
      <c r="O6603" t="n">
        <v>0</v>
      </c>
      <c r="P6603" t="n">
        <v>0</v>
      </c>
      <c r="Q6603" t="n">
        <v>0</v>
      </c>
      <c r="R6603" s="2" t="inlineStr"/>
    </row>
    <row r="6604" ht="15" customHeight="1">
      <c r="A6604" t="inlineStr">
        <is>
          <t>A 48507-2021</t>
        </is>
      </c>
      <c r="B6604" s="1" t="n">
        <v>44452.42856481481</v>
      </c>
      <c r="C6604" s="1" t="n">
        <v>45962</v>
      </c>
      <c r="D6604" t="inlineStr">
        <is>
          <t>JÖNKÖPINGS LÄN</t>
        </is>
      </c>
      <c r="E6604" t="inlineStr">
        <is>
          <t>TRANÅS</t>
        </is>
      </c>
      <c r="F6604" t="inlineStr">
        <is>
          <t>Allmännings- och besparingsskogar</t>
        </is>
      </c>
      <c r="G6604" t="n">
        <v>4.5</v>
      </c>
      <c r="H6604" t="n">
        <v>0</v>
      </c>
      <c r="I6604" t="n">
        <v>0</v>
      </c>
      <c r="J6604" t="n">
        <v>0</v>
      </c>
      <c r="K6604" t="n">
        <v>0</v>
      </c>
      <c r="L6604" t="n">
        <v>0</v>
      </c>
      <c r="M6604" t="n">
        <v>0</v>
      </c>
      <c r="N6604" t="n">
        <v>0</v>
      </c>
      <c r="O6604" t="n">
        <v>0</v>
      </c>
      <c r="P6604" t="n">
        <v>0</v>
      </c>
      <c r="Q6604" t="n">
        <v>0</v>
      </c>
      <c r="R6604" s="2" t="inlineStr"/>
    </row>
    <row r="6605" ht="15" customHeight="1">
      <c r="A6605" t="inlineStr">
        <is>
          <t>A 6629-2021</t>
        </is>
      </c>
      <c r="B6605" s="1" t="n">
        <v>44236.50064814815</v>
      </c>
      <c r="C6605" s="1" t="n">
        <v>45962</v>
      </c>
      <c r="D6605" t="inlineStr">
        <is>
          <t>JÖNKÖPINGS LÄN</t>
        </is>
      </c>
      <c r="E6605" t="inlineStr">
        <is>
          <t>GISLAVED</t>
        </is>
      </c>
      <c r="G6605" t="n">
        <v>0.4</v>
      </c>
      <c r="H6605" t="n">
        <v>0</v>
      </c>
      <c r="I6605" t="n">
        <v>0</v>
      </c>
      <c r="J6605" t="n">
        <v>0</v>
      </c>
      <c r="K6605" t="n">
        <v>0</v>
      </c>
      <c r="L6605" t="n">
        <v>0</v>
      </c>
      <c r="M6605" t="n">
        <v>0</v>
      </c>
      <c r="N6605" t="n">
        <v>0</v>
      </c>
      <c r="O6605" t="n">
        <v>0</v>
      </c>
      <c r="P6605" t="n">
        <v>0</v>
      </c>
      <c r="Q6605" t="n">
        <v>0</v>
      </c>
      <c r="R6605" s="2" t="inlineStr"/>
    </row>
    <row r="6606" ht="15" customHeight="1">
      <c r="A6606" t="inlineStr">
        <is>
          <t>A 46125-2025</t>
        </is>
      </c>
      <c r="B6606" s="1" t="n">
        <v>45924.58829861111</v>
      </c>
      <c r="C6606" s="1" t="n">
        <v>45962</v>
      </c>
      <c r="D6606" t="inlineStr">
        <is>
          <t>JÖNKÖPINGS LÄN</t>
        </is>
      </c>
      <c r="E6606" t="inlineStr">
        <is>
          <t>NÄSSJÖ</t>
        </is>
      </c>
      <c r="G6606" t="n">
        <v>4.7</v>
      </c>
      <c r="H6606" t="n">
        <v>0</v>
      </c>
      <c r="I6606" t="n">
        <v>0</v>
      </c>
      <c r="J6606" t="n">
        <v>0</v>
      </c>
      <c r="K6606" t="n">
        <v>0</v>
      </c>
      <c r="L6606" t="n">
        <v>0</v>
      </c>
      <c r="M6606" t="n">
        <v>0</v>
      </c>
      <c r="N6606" t="n">
        <v>0</v>
      </c>
      <c r="O6606" t="n">
        <v>0</v>
      </c>
      <c r="P6606" t="n">
        <v>0</v>
      </c>
      <c r="Q6606" t="n">
        <v>0</v>
      </c>
      <c r="R6606" s="2" t="inlineStr"/>
    </row>
    <row r="6607" ht="15" customHeight="1">
      <c r="A6607" t="inlineStr">
        <is>
          <t>A 46127-2025</t>
        </is>
      </c>
      <c r="B6607" s="1" t="n">
        <v>45924.59092592593</v>
      </c>
      <c r="C6607" s="1" t="n">
        <v>45962</v>
      </c>
      <c r="D6607" t="inlineStr">
        <is>
          <t>JÖNKÖPINGS LÄN</t>
        </is>
      </c>
      <c r="E6607" t="inlineStr">
        <is>
          <t>EKSJÖ</t>
        </is>
      </c>
      <c r="G6607" t="n">
        <v>6.6</v>
      </c>
      <c r="H6607" t="n">
        <v>0</v>
      </c>
      <c r="I6607" t="n">
        <v>0</v>
      </c>
      <c r="J6607" t="n">
        <v>0</v>
      </c>
      <c r="K6607" t="n">
        <v>0</v>
      </c>
      <c r="L6607" t="n">
        <v>0</v>
      </c>
      <c r="M6607" t="n">
        <v>0</v>
      </c>
      <c r="N6607" t="n">
        <v>0</v>
      </c>
      <c r="O6607" t="n">
        <v>0</v>
      </c>
      <c r="P6607" t="n">
        <v>0</v>
      </c>
      <c r="Q6607" t="n">
        <v>0</v>
      </c>
      <c r="R6607" s="2" t="inlineStr"/>
    </row>
    <row r="6608" ht="15" customHeight="1">
      <c r="A6608" t="inlineStr">
        <is>
          <t>A 46330-2025</t>
        </is>
      </c>
      <c r="B6608" s="1" t="n">
        <v>45925.45548611111</v>
      </c>
      <c r="C6608" s="1" t="n">
        <v>45962</v>
      </c>
      <c r="D6608" t="inlineStr">
        <is>
          <t>JÖNKÖPINGS LÄN</t>
        </is>
      </c>
      <c r="E6608" t="inlineStr">
        <is>
          <t>TRANÅS</t>
        </is>
      </c>
      <c r="F6608" t="inlineStr">
        <is>
          <t>Allmännings- och besparingsskogar</t>
        </is>
      </c>
      <c r="G6608" t="n">
        <v>2</v>
      </c>
      <c r="H6608" t="n">
        <v>0</v>
      </c>
      <c r="I6608" t="n">
        <v>0</v>
      </c>
      <c r="J6608" t="n">
        <v>0</v>
      </c>
      <c r="K6608" t="n">
        <v>0</v>
      </c>
      <c r="L6608" t="n">
        <v>0</v>
      </c>
      <c r="M6608" t="n">
        <v>0</v>
      </c>
      <c r="N6608" t="n">
        <v>0</v>
      </c>
      <c r="O6608" t="n">
        <v>0</v>
      </c>
      <c r="P6608" t="n">
        <v>0</v>
      </c>
      <c r="Q6608" t="n">
        <v>0</v>
      </c>
      <c r="R6608" s="2" t="inlineStr"/>
    </row>
    <row r="6609" ht="15" customHeight="1">
      <c r="A6609" t="inlineStr">
        <is>
          <t>A 37980-2025</t>
        </is>
      </c>
      <c r="B6609" s="1" t="n">
        <v>45881.68104166666</v>
      </c>
      <c r="C6609" s="1" t="n">
        <v>45962</v>
      </c>
      <c r="D6609" t="inlineStr">
        <is>
          <t>JÖNKÖPINGS LÄN</t>
        </is>
      </c>
      <c r="E6609" t="inlineStr">
        <is>
          <t>SÄVSJÖ</t>
        </is>
      </c>
      <c r="G6609" t="n">
        <v>2.7</v>
      </c>
      <c r="H6609" t="n">
        <v>0</v>
      </c>
      <c r="I6609" t="n">
        <v>0</v>
      </c>
      <c r="J6609" t="n">
        <v>0</v>
      </c>
      <c r="K6609" t="n">
        <v>0</v>
      </c>
      <c r="L6609" t="n">
        <v>0</v>
      </c>
      <c r="M6609" t="n">
        <v>0</v>
      </c>
      <c r="N6609" t="n">
        <v>0</v>
      </c>
      <c r="O6609" t="n">
        <v>0</v>
      </c>
      <c r="P6609" t="n">
        <v>0</v>
      </c>
      <c r="Q6609" t="n">
        <v>0</v>
      </c>
      <c r="R6609" s="2" t="inlineStr"/>
    </row>
    <row r="6610" ht="15" customHeight="1">
      <c r="A6610" t="inlineStr">
        <is>
          <t>A 59507-2022</t>
        </is>
      </c>
      <c r="B6610" s="1" t="n">
        <v>44900</v>
      </c>
      <c r="C6610" s="1" t="n">
        <v>45962</v>
      </c>
      <c r="D6610" t="inlineStr">
        <is>
          <t>JÖNKÖPINGS LÄN</t>
        </is>
      </c>
      <c r="E6610" t="inlineStr">
        <is>
          <t>ANEBY</t>
        </is>
      </c>
      <c r="F6610" t="inlineStr">
        <is>
          <t>Övriga Aktiebolag</t>
        </is>
      </c>
      <c r="G6610" t="n">
        <v>1.4</v>
      </c>
      <c r="H6610" t="n">
        <v>0</v>
      </c>
      <c r="I6610" t="n">
        <v>0</v>
      </c>
      <c r="J6610" t="n">
        <v>0</v>
      </c>
      <c r="K6610" t="n">
        <v>0</v>
      </c>
      <c r="L6610" t="n">
        <v>0</v>
      </c>
      <c r="M6610" t="n">
        <v>0</v>
      </c>
      <c r="N6610" t="n">
        <v>0</v>
      </c>
      <c r="O6610" t="n">
        <v>0</v>
      </c>
      <c r="P6610" t="n">
        <v>0</v>
      </c>
      <c r="Q6610" t="n">
        <v>0</v>
      </c>
      <c r="R6610" s="2" t="inlineStr"/>
    </row>
    <row r="6611" ht="15" customHeight="1">
      <c r="A6611" t="inlineStr">
        <is>
          <t>A 38065-2025</t>
        </is>
      </c>
      <c r="B6611" s="1" t="n">
        <v>45882</v>
      </c>
      <c r="C6611" s="1" t="n">
        <v>45962</v>
      </c>
      <c r="D6611" t="inlineStr">
        <is>
          <t>JÖNKÖPINGS LÄN</t>
        </is>
      </c>
      <c r="E6611" t="inlineStr">
        <is>
          <t>HABO</t>
        </is>
      </c>
      <c r="F6611" t="inlineStr">
        <is>
          <t>Allmännings- och besparingsskogar</t>
        </is>
      </c>
      <c r="G6611" t="n">
        <v>4.1</v>
      </c>
      <c r="H6611" t="n">
        <v>0</v>
      </c>
      <c r="I6611" t="n">
        <v>0</v>
      </c>
      <c r="J6611" t="n">
        <v>0</v>
      </c>
      <c r="K6611" t="n">
        <v>0</v>
      </c>
      <c r="L6611" t="n">
        <v>0</v>
      </c>
      <c r="M6611" t="n">
        <v>0</v>
      </c>
      <c r="N6611" t="n">
        <v>0</v>
      </c>
      <c r="O6611" t="n">
        <v>0</v>
      </c>
      <c r="P6611" t="n">
        <v>0</v>
      </c>
      <c r="Q6611" t="n">
        <v>0</v>
      </c>
      <c r="R6611" s="2" t="inlineStr"/>
    </row>
    <row r="6612" ht="15" customHeight="1">
      <c r="A6612" t="inlineStr">
        <is>
          <t>A 38106-2025</t>
        </is>
      </c>
      <c r="B6612" s="1" t="n">
        <v>45882.4953125</v>
      </c>
      <c r="C6612" s="1" t="n">
        <v>45962</v>
      </c>
      <c r="D6612" t="inlineStr">
        <is>
          <t>JÖNKÖPINGS LÄN</t>
        </is>
      </c>
      <c r="E6612" t="inlineStr">
        <is>
          <t>EKSJÖ</t>
        </is>
      </c>
      <c r="G6612" t="n">
        <v>2.3</v>
      </c>
      <c r="H6612" t="n">
        <v>0</v>
      </c>
      <c r="I6612" t="n">
        <v>0</v>
      </c>
      <c r="J6612" t="n">
        <v>0</v>
      </c>
      <c r="K6612" t="n">
        <v>0</v>
      </c>
      <c r="L6612" t="n">
        <v>0</v>
      </c>
      <c r="M6612" t="n">
        <v>0</v>
      </c>
      <c r="N6612" t="n">
        <v>0</v>
      </c>
      <c r="O6612" t="n">
        <v>0</v>
      </c>
      <c r="P6612" t="n">
        <v>0</v>
      </c>
      <c r="Q6612" t="n">
        <v>0</v>
      </c>
      <c r="R6612" s="2" t="inlineStr"/>
    </row>
    <row r="6613" ht="15" customHeight="1">
      <c r="A6613" t="inlineStr">
        <is>
          <t>A 38109-2025</t>
        </is>
      </c>
      <c r="B6613" s="1" t="n">
        <v>45882.50864583333</v>
      </c>
      <c r="C6613" s="1" t="n">
        <v>45962</v>
      </c>
      <c r="D6613" t="inlineStr">
        <is>
          <t>JÖNKÖPINGS LÄN</t>
        </is>
      </c>
      <c r="E6613" t="inlineStr">
        <is>
          <t>EKSJÖ</t>
        </is>
      </c>
      <c r="G6613" t="n">
        <v>1.9</v>
      </c>
      <c r="H6613" t="n">
        <v>0</v>
      </c>
      <c r="I6613" t="n">
        <v>0</v>
      </c>
      <c r="J6613" t="n">
        <v>0</v>
      </c>
      <c r="K6613" t="n">
        <v>0</v>
      </c>
      <c r="L6613" t="n">
        <v>0</v>
      </c>
      <c r="M6613" t="n">
        <v>0</v>
      </c>
      <c r="N6613" t="n">
        <v>0</v>
      </c>
      <c r="O6613" t="n">
        <v>0</v>
      </c>
      <c r="P6613" t="n">
        <v>0</v>
      </c>
      <c r="Q6613" t="n">
        <v>0</v>
      </c>
      <c r="R6613" s="2" t="inlineStr"/>
    </row>
    <row r="6614" ht="15" customHeight="1">
      <c r="A6614" t="inlineStr">
        <is>
          <t>A 12664-2022</t>
        </is>
      </c>
      <c r="B6614" s="1" t="n">
        <v>44641</v>
      </c>
      <c r="C6614" s="1" t="n">
        <v>45962</v>
      </c>
      <c r="D6614" t="inlineStr">
        <is>
          <t>JÖNKÖPINGS LÄN</t>
        </is>
      </c>
      <c r="E6614" t="inlineStr">
        <is>
          <t>VAGGERYD</t>
        </is>
      </c>
      <c r="G6614" t="n">
        <v>1.6</v>
      </c>
      <c r="H6614" t="n">
        <v>0</v>
      </c>
      <c r="I6614" t="n">
        <v>0</v>
      </c>
      <c r="J6614" t="n">
        <v>0</v>
      </c>
      <c r="K6614" t="n">
        <v>0</v>
      </c>
      <c r="L6614" t="n">
        <v>0</v>
      </c>
      <c r="M6614" t="n">
        <v>0</v>
      </c>
      <c r="N6614" t="n">
        <v>0</v>
      </c>
      <c r="O6614" t="n">
        <v>0</v>
      </c>
      <c r="P6614" t="n">
        <v>0</v>
      </c>
      <c r="Q6614" t="n">
        <v>0</v>
      </c>
      <c r="R6614" s="2" t="inlineStr"/>
    </row>
    <row r="6615" ht="15" customHeight="1">
      <c r="A6615" t="inlineStr">
        <is>
          <t>A 49024-2025</t>
        </is>
      </c>
      <c r="B6615" s="1" t="n">
        <v>45937.61747685185</v>
      </c>
      <c r="C6615" s="1" t="n">
        <v>45962</v>
      </c>
      <c r="D6615" t="inlineStr">
        <is>
          <t>JÖNKÖPINGS LÄN</t>
        </is>
      </c>
      <c r="E6615" t="inlineStr">
        <is>
          <t>MULLSJÖ</t>
        </is>
      </c>
      <c r="G6615" t="n">
        <v>2.7</v>
      </c>
      <c r="H6615" t="n">
        <v>0</v>
      </c>
      <c r="I6615" t="n">
        <v>0</v>
      </c>
      <c r="J6615" t="n">
        <v>0</v>
      </c>
      <c r="K6615" t="n">
        <v>0</v>
      </c>
      <c r="L6615" t="n">
        <v>0</v>
      </c>
      <c r="M6615" t="n">
        <v>0</v>
      </c>
      <c r="N6615" t="n">
        <v>0</v>
      </c>
      <c r="O6615" t="n">
        <v>0</v>
      </c>
      <c r="P6615" t="n">
        <v>0</v>
      </c>
      <c r="Q6615" t="n">
        <v>0</v>
      </c>
      <c r="R6615" s="2" t="inlineStr"/>
    </row>
    <row r="6616" ht="15" customHeight="1">
      <c r="A6616" t="inlineStr">
        <is>
          <t>A 48080-2024</t>
        </is>
      </c>
      <c r="B6616" s="1" t="n">
        <v>45589.5802662037</v>
      </c>
      <c r="C6616" s="1" t="n">
        <v>45962</v>
      </c>
      <c r="D6616" t="inlineStr">
        <is>
          <t>JÖNKÖPINGS LÄN</t>
        </is>
      </c>
      <c r="E6616" t="inlineStr">
        <is>
          <t>VETLANDA</t>
        </is>
      </c>
      <c r="G6616" t="n">
        <v>0.6</v>
      </c>
      <c r="H6616" t="n">
        <v>0</v>
      </c>
      <c r="I6616" t="n">
        <v>0</v>
      </c>
      <c r="J6616" t="n">
        <v>0</v>
      </c>
      <c r="K6616" t="n">
        <v>0</v>
      </c>
      <c r="L6616" t="n">
        <v>0</v>
      </c>
      <c r="M6616" t="n">
        <v>0</v>
      </c>
      <c r="N6616" t="n">
        <v>0</v>
      </c>
      <c r="O6616" t="n">
        <v>0</v>
      </c>
      <c r="P6616" t="n">
        <v>0</v>
      </c>
      <c r="Q6616" t="n">
        <v>0</v>
      </c>
      <c r="R6616" s="2" t="inlineStr"/>
    </row>
    <row r="6617" ht="15" customHeight="1">
      <c r="A6617" t="inlineStr">
        <is>
          <t>A 48100-2024</t>
        </is>
      </c>
      <c r="B6617" s="1" t="n">
        <v>45589.61851851852</v>
      </c>
      <c r="C6617" s="1" t="n">
        <v>45962</v>
      </c>
      <c r="D6617" t="inlineStr">
        <is>
          <t>JÖNKÖPINGS LÄN</t>
        </is>
      </c>
      <c r="E6617" t="inlineStr">
        <is>
          <t>VETLANDA</t>
        </is>
      </c>
      <c r="G6617" t="n">
        <v>0.5</v>
      </c>
      <c r="H6617" t="n">
        <v>0</v>
      </c>
      <c r="I6617" t="n">
        <v>0</v>
      </c>
      <c r="J6617" t="n">
        <v>0</v>
      </c>
      <c r="K6617" t="n">
        <v>0</v>
      </c>
      <c r="L6617" t="n">
        <v>0</v>
      </c>
      <c r="M6617" t="n">
        <v>0</v>
      </c>
      <c r="N6617" t="n">
        <v>0</v>
      </c>
      <c r="O6617" t="n">
        <v>0</v>
      </c>
      <c r="P6617" t="n">
        <v>0</v>
      </c>
      <c r="Q6617" t="n">
        <v>0</v>
      </c>
      <c r="R6617" s="2" t="inlineStr"/>
    </row>
    <row r="6618" ht="15" customHeight="1">
      <c r="A6618" t="inlineStr">
        <is>
          <t>A 11227-2025</t>
        </is>
      </c>
      <c r="B6618" s="1" t="n">
        <v>45726.34702546296</v>
      </c>
      <c r="C6618" s="1" t="n">
        <v>45962</v>
      </c>
      <c r="D6618" t="inlineStr">
        <is>
          <t>JÖNKÖPINGS LÄN</t>
        </is>
      </c>
      <c r="E6618" t="inlineStr">
        <is>
          <t>MULLSJÖ</t>
        </is>
      </c>
      <c r="G6618" t="n">
        <v>6.3</v>
      </c>
      <c r="H6618" t="n">
        <v>0</v>
      </c>
      <c r="I6618" t="n">
        <v>0</v>
      </c>
      <c r="J6618" t="n">
        <v>0</v>
      </c>
      <c r="K6618" t="n">
        <v>0</v>
      </c>
      <c r="L6618" t="n">
        <v>0</v>
      </c>
      <c r="M6618" t="n">
        <v>0</v>
      </c>
      <c r="N6618" t="n">
        <v>0</v>
      </c>
      <c r="O6618" t="n">
        <v>0</v>
      </c>
      <c r="P6618" t="n">
        <v>0</v>
      </c>
      <c r="Q6618" t="n">
        <v>0</v>
      </c>
      <c r="R6618" s="2" t="inlineStr"/>
    </row>
    <row r="6619" ht="15" customHeight="1">
      <c r="A6619" t="inlineStr">
        <is>
          <t>A 32687-2025</t>
        </is>
      </c>
      <c r="B6619" s="1" t="n">
        <v>45838.92648148148</v>
      </c>
      <c r="C6619" s="1" t="n">
        <v>45962</v>
      </c>
      <c r="D6619" t="inlineStr">
        <is>
          <t>JÖNKÖPINGS LÄN</t>
        </is>
      </c>
      <c r="E6619" t="inlineStr">
        <is>
          <t>GISLAVED</t>
        </is>
      </c>
      <c r="G6619" t="n">
        <v>0.9</v>
      </c>
      <c r="H6619" t="n">
        <v>0</v>
      </c>
      <c r="I6619" t="n">
        <v>0</v>
      </c>
      <c r="J6619" t="n">
        <v>0</v>
      </c>
      <c r="K6619" t="n">
        <v>0</v>
      </c>
      <c r="L6619" t="n">
        <v>0</v>
      </c>
      <c r="M6619" t="n">
        <v>0</v>
      </c>
      <c r="N6619" t="n">
        <v>0</v>
      </c>
      <c r="O6619" t="n">
        <v>0</v>
      </c>
      <c r="P6619" t="n">
        <v>0</v>
      </c>
      <c r="Q6619" t="n">
        <v>0</v>
      </c>
      <c r="R6619" s="2" t="inlineStr"/>
    </row>
    <row r="6620" ht="15" customHeight="1">
      <c r="A6620" t="inlineStr">
        <is>
          <t>A 34225-2021</t>
        </is>
      </c>
      <c r="B6620" s="1" t="n">
        <v>44379</v>
      </c>
      <c r="C6620" s="1" t="n">
        <v>45962</v>
      </c>
      <c r="D6620" t="inlineStr">
        <is>
          <t>JÖNKÖPINGS LÄN</t>
        </is>
      </c>
      <c r="E6620" t="inlineStr">
        <is>
          <t>GISLAVED</t>
        </is>
      </c>
      <c r="G6620" t="n">
        <v>1.1</v>
      </c>
      <c r="H6620" t="n">
        <v>0</v>
      </c>
      <c r="I6620" t="n">
        <v>0</v>
      </c>
      <c r="J6620" t="n">
        <v>0</v>
      </c>
      <c r="K6620" t="n">
        <v>0</v>
      </c>
      <c r="L6620" t="n">
        <v>0</v>
      </c>
      <c r="M6620" t="n">
        <v>0</v>
      </c>
      <c r="N6620" t="n">
        <v>0</v>
      </c>
      <c r="O6620" t="n">
        <v>0</v>
      </c>
      <c r="P6620" t="n">
        <v>0</v>
      </c>
      <c r="Q6620" t="n">
        <v>0</v>
      </c>
      <c r="R6620" s="2" t="inlineStr"/>
    </row>
    <row r="6621" ht="15" customHeight="1">
      <c r="A6621" t="inlineStr">
        <is>
          <t>A 58614-2024</t>
        </is>
      </c>
      <c r="B6621" s="1" t="n">
        <v>45635.55659722222</v>
      </c>
      <c r="C6621" s="1" t="n">
        <v>45962</v>
      </c>
      <c r="D6621" t="inlineStr">
        <is>
          <t>JÖNKÖPINGS LÄN</t>
        </is>
      </c>
      <c r="E6621" t="inlineStr">
        <is>
          <t>GISLAVED</t>
        </is>
      </c>
      <c r="G6621" t="n">
        <v>0.5</v>
      </c>
      <c r="H6621" t="n">
        <v>0</v>
      </c>
      <c r="I6621" t="n">
        <v>0</v>
      </c>
      <c r="J6621" t="n">
        <v>0</v>
      </c>
      <c r="K6621" t="n">
        <v>0</v>
      </c>
      <c r="L6621" t="n">
        <v>0</v>
      </c>
      <c r="M6621" t="n">
        <v>0</v>
      </c>
      <c r="N6621" t="n">
        <v>0</v>
      </c>
      <c r="O6621" t="n">
        <v>0</v>
      </c>
      <c r="P6621" t="n">
        <v>0</v>
      </c>
      <c r="Q6621" t="n">
        <v>0</v>
      </c>
      <c r="R6621" s="2" t="inlineStr"/>
    </row>
    <row r="6622" ht="15" customHeight="1">
      <c r="A6622" t="inlineStr">
        <is>
          <t>A 58627-2024</t>
        </is>
      </c>
      <c r="B6622" s="1" t="n">
        <v>45635.56686342593</v>
      </c>
      <c r="C6622" s="1" t="n">
        <v>45962</v>
      </c>
      <c r="D6622" t="inlineStr">
        <is>
          <t>JÖNKÖPINGS LÄN</t>
        </is>
      </c>
      <c r="E6622" t="inlineStr">
        <is>
          <t>VAGGERYD</t>
        </is>
      </c>
      <c r="F6622" t="inlineStr">
        <is>
          <t>Sveaskog</t>
        </is>
      </c>
      <c r="G6622" t="n">
        <v>8</v>
      </c>
      <c r="H6622" t="n">
        <v>0</v>
      </c>
      <c r="I6622" t="n">
        <v>0</v>
      </c>
      <c r="J6622" t="n">
        <v>0</v>
      </c>
      <c r="K6622" t="n">
        <v>0</v>
      </c>
      <c r="L6622" t="n">
        <v>0</v>
      </c>
      <c r="M6622" t="n">
        <v>0</v>
      </c>
      <c r="N6622" t="n">
        <v>0</v>
      </c>
      <c r="O6622" t="n">
        <v>0</v>
      </c>
      <c r="P6622" t="n">
        <v>0</v>
      </c>
      <c r="Q6622" t="n">
        <v>0</v>
      </c>
      <c r="R6622" s="2" t="inlineStr"/>
    </row>
    <row r="6623" ht="15" customHeight="1">
      <c r="A6623" t="inlineStr">
        <is>
          <t>A 58666-2024</t>
        </is>
      </c>
      <c r="B6623" s="1" t="n">
        <v>45635.60771990741</v>
      </c>
      <c r="C6623" s="1" t="n">
        <v>45962</v>
      </c>
      <c r="D6623" t="inlineStr">
        <is>
          <t>JÖNKÖPINGS LÄN</t>
        </is>
      </c>
      <c r="E6623" t="inlineStr">
        <is>
          <t>HABO</t>
        </is>
      </c>
      <c r="G6623" t="n">
        <v>3.8</v>
      </c>
      <c r="H6623" t="n">
        <v>0</v>
      </c>
      <c r="I6623" t="n">
        <v>0</v>
      </c>
      <c r="J6623" t="n">
        <v>0</v>
      </c>
      <c r="K6623" t="n">
        <v>0</v>
      </c>
      <c r="L6623" t="n">
        <v>0</v>
      </c>
      <c r="M6623" t="n">
        <v>0</v>
      </c>
      <c r="N6623" t="n">
        <v>0</v>
      </c>
      <c r="O6623" t="n">
        <v>0</v>
      </c>
      <c r="P6623" t="n">
        <v>0</v>
      </c>
      <c r="Q6623" t="n">
        <v>0</v>
      </c>
      <c r="R6623" s="2" t="inlineStr"/>
    </row>
    <row r="6624" ht="15" customHeight="1">
      <c r="A6624" t="inlineStr">
        <is>
          <t>A 35809-2024</t>
        </is>
      </c>
      <c r="B6624" s="1" t="n">
        <v>45532.6524537037</v>
      </c>
      <c r="C6624" s="1" t="n">
        <v>45962</v>
      </c>
      <c r="D6624" t="inlineStr">
        <is>
          <t>JÖNKÖPINGS LÄN</t>
        </is>
      </c>
      <c r="E6624" t="inlineStr">
        <is>
          <t>VETLANDA</t>
        </is>
      </c>
      <c r="G6624" t="n">
        <v>0.6</v>
      </c>
      <c r="H6624" t="n">
        <v>0</v>
      </c>
      <c r="I6624" t="n">
        <v>0</v>
      </c>
      <c r="J6624" t="n">
        <v>0</v>
      </c>
      <c r="K6624" t="n">
        <v>0</v>
      </c>
      <c r="L6624" t="n">
        <v>0</v>
      </c>
      <c r="M6624" t="n">
        <v>0</v>
      </c>
      <c r="N6624" t="n">
        <v>0</v>
      </c>
      <c r="O6624" t="n">
        <v>0</v>
      </c>
      <c r="P6624" t="n">
        <v>0</v>
      </c>
      <c r="Q6624" t="n">
        <v>0</v>
      </c>
      <c r="R6624" s="2" t="inlineStr"/>
    </row>
    <row r="6625" ht="15" customHeight="1">
      <c r="A6625" t="inlineStr">
        <is>
          <t>A 46043-2025</t>
        </is>
      </c>
      <c r="B6625" s="1" t="n">
        <v>45924</v>
      </c>
      <c r="C6625" s="1" t="n">
        <v>45962</v>
      </c>
      <c r="D6625" t="inlineStr">
        <is>
          <t>JÖNKÖPINGS LÄN</t>
        </is>
      </c>
      <c r="E6625" t="inlineStr">
        <is>
          <t>VETLANDA</t>
        </is>
      </c>
      <c r="G6625" t="n">
        <v>1.5</v>
      </c>
      <c r="H6625" t="n">
        <v>0</v>
      </c>
      <c r="I6625" t="n">
        <v>0</v>
      </c>
      <c r="J6625" t="n">
        <v>0</v>
      </c>
      <c r="K6625" t="n">
        <v>0</v>
      </c>
      <c r="L6625" t="n">
        <v>0</v>
      </c>
      <c r="M6625" t="n">
        <v>0</v>
      </c>
      <c r="N6625" t="n">
        <v>0</v>
      </c>
      <c r="O6625" t="n">
        <v>0</v>
      </c>
      <c r="P6625" t="n">
        <v>0</v>
      </c>
      <c r="Q6625" t="n">
        <v>0</v>
      </c>
      <c r="R6625" s="2" t="inlineStr"/>
    </row>
    <row r="6626" ht="15" customHeight="1">
      <c r="A6626" t="inlineStr">
        <is>
          <t>A 46061-2025</t>
        </is>
      </c>
      <c r="B6626" s="1" t="n">
        <v>45924</v>
      </c>
      <c r="C6626" s="1" t="n">
        <v>45962</v>
      </c>
      <c r="D6626" t="inlineStr">
        <is>
          <t>JÖNKÖPINGS LÄN</t>
        </is>
      </c>
      <c r="E6626" t="inlineStr">
        <is>
          <t>VETLANDA</t>
        </is>
      </c>
      <c r="G6626" t="n">
        <v>1.3</v>
      </c>
      <c r="H6626" t="n">
        <v>0</v>
      </c>
      <c r="I6626" t="n">
        <v>0</v>
      </c>
      <c r="J6626" t="n">
        <v>0</v>
      </c>
      <c r="K6626" t="n">
        <v>0</v>
      </c>
      <c r="L6626" t="n">
        <v>0</v>
      </c>
      <c r="M6626" t="n">
        <v>0</v>
      </c>
      <c r="N6626" t="n">
        <v>0</v>
      </c>
      <c r="O6626" t="n">
        <v>0</v>
      </c>
      <c r="P6626" t="n">
        <v>0</v>
      </c>
      <c r="Q6626" t="n">
        <v>0</v>
      </c>
      <c r="R6626" s="2" t="inlineStr"/>
    </row>
    <row r="6627" ht="15" customHeight="1">
      <c r="A6627" t="inlineStr">
        <is>
          <t>A 36691-2021</t>
        </is>
      </c>
      <c r="B6627" s="1" t="n">
        <v>44392.49893518518</v>
      </c>
      <c r="C6627" s="1" t="n">
        <v>45962</v>
      </c>
      <c r="D6627" t="inlineStr">
        <is>
          <t>JÖNKÖPINGS LÄN</t>
        </is>
      </c>
      <c r="E6627" t="inlineStr">
        <is>
          <t>VETLANDA</t>
        </is>
      </c>
      <c r="G6627" t="n">
        <v>0.6</v>
      </c>
      <c r="H6627" t="n">
        <v>0</v>
      </c>
      <c r="I6627" t="n">
        <v>0</v>
      </c>
      <c r="J6627" t="n">
        <v>0</v>
      </c>
      <c r="K6627" t="n">
        <v>0</v>
      </c>
      <c r="L6627" t="n">
        <v>0</v>
      </c>
      <c r="M6627" t="n">
        <v>0</v>
      </c>
      <c r="N6627" t="n">
        <v>0</v>
      </c>
      <c r="O6627" t="n">
        <v>0</v>
      </c>
      <c r="P6627" t="n">
        <v>0</v>
      </c>
      <c r="Q6627" t="n">
        <v>0</v>
      </c>
      <c r="R6627" s="2" t="inlineStr"/>
    </row>
    <row r="6628" ht="15" customHeight="1">
      <c r="A6628" t="inlineStr">
        <is>
          <t>A 36751-2021</t>
        </is>
      </c>
      <c r="B6628" s="1" t="n">
        <v>44392.6381712963</v>
      </c>
      <c r="C6628" s="1" t="n">
        <v>45962</v>
      </c>
      <c r="D6628" t="inlineStr">
        <is>
          <t>JÖNKÖPINGS LÄN</t>
        </is>
      </c>
      <c r="E6628" t="inlineStr">
        <is>
          <t>VETLANDA</t>
        </is>
      </c>
      <c r="G6628" t="n">
        <v>4.7</v>
      </c>
      <c r="H6628" t="n">
        <v>0</v>
      </c>
      <c r="I6628" t="n">
        <v>0</v>
      </c>
      <c r="J6628" t="n">
        <v>0</v>
      </c>
      <c r="K6628" t="n">
        <v>0</v>
      </c>
      <c r="L6628" t="n">
        <v>0</v>
      </c>
      <c r="M6628" t="n">
        <v>0</v>
      </c>
      <c r="N6628" t="n">
        <v>0</v>
      </c>
      <c r="O6628" t="n">
        <v>0</v>
      </c>
      <c r="P6628" t="n">
        <v>0</v>
      </c>
      <c r="Q6628" t="n">
        <v>0</v>
      </c>
      <c r="R6628" s="2" t="inlineStr"/>
    </row>
    <row r="6629" ht="15" customHeight="1">
      <c r="A6629" t="inlineStr">
        <is>
          <t>A 2635-2023</t>
        </is>
      </c>
      <c r="B6629" s="1" t="n">
        <v>44942</v>
      </c>
      <c r="C6629" s="1" t="n">
        <v>45962</v>
      </c>
      <c r="D6629" t="inlineStr">
        <is>
          <t>JÖNKÖPINGS LÄN</t>
        </is>
      </c>
      <c r="E6629" t="inlineStr">
        <is>
          <t>SÄVSJÖ</t>
        </is>
      </c>
      <c r="G6629" t="n">
        <v>1.1</v>
      </c>
      <c r="H6629" t="n">
        <v>0</v>
      </c>
      <c r="I6629" t="n">
        <v>0</v>
      </c>
      <c r="J6629" t="n">
        <v>0</v>
      </c>
      <c r="K6629" t="n">
        <v>0</v>
      </c>
      <c r="L6629" t="n">
        <v>0</v>
      </c>
      <c r="M6629" t="n">
        <v>0</v>
      </c>
      <c r="N6629" t="n">
        <v>0</v>
      </c>
      <c r="O6629" t="n">
        <v>0</v>
      </c>
      <c r="P6629" t="n">
        <v>0</v>
      </c>
      <c r="Q6629" t="n">
        <v>0</v>
      </c>
      <c r="R6629" s="2" t="inlineStr"/>
    </row>
    <row r="6630" ht="15" customHeight="1">
      <c r="A6630" t="inlineStr">
        <is>
          <t>A 46162-2025</t>
        </is>
      </c>
      <c r="B6630" s="1" t="n">
        <v>45924.63803240741</v>
      </c>
      <c r="C6630" s="1" t="n">
        <v>45962</v>
      </c>
      <c r="D6630" t="inlineStr">
        <is>
          <t>JÖNKÖPINGS LÄN</t>
        </is>
      </c>
      <c r="E6630" t="inlineStr">
        <is>
          <t>ANEBY</t>
        </is>
      </c>
      <c r="G6630" t="n">
        <v>2.2</v>
      </c>
      <c r="H6630" t="n">
        <v>0</v>
      </c>
      <c r="I6630" t="n">
        <v>0</v>
      </c>
      <c r="J6630" t="n">
        <v>0</v>
      </c>
      <c r="K6630" t="n">
        <v>0</v>
      </c>
      <c r="L6630" t="n">
        <v>0</v>
      </c>
      <c r="M6630" t="n">
        <v>0</v>
      </c>
      <c r="N6630" t="n">
        <v>0</v>
      </c>
      <c r="O6630" t="n">
        <v>0</v>
      </c>
      <c r="P6630" t="n">
        <v>0</v>
      </c>
      <c r="Q6630" t="n">
        <v>0</v>
      </c>
      <c r="R6630" s="2" t="inlineStr"/>
    </row>
    <row r="6631" ht="15" customHeight="1">
      <c r="A6631" t="inlineStr">
        <is>
          <t>A 59254-2023</t>
        </is>
      </c>
      <c r="B6631" s="1" t="n">
        <v>45253.54540509259</v>
      </c>
      <c r="C6631" s="1" t="n">
        <v>45962</v>
      </c>
      <c r="D6631" t="inlineStr">
        <is>
          <t>JÖNKÖPINGS LÄN</t>
        </is>
      </c>
      <c r="E6631" t="inlineStr">
        <is>
          <t>EKSJÖ</t>
        </is>
      </c>
      <c r="G6631" t="n">
        <v>0.5</v>
      </c>
      <c r="H6631" t="n">
        <v>0</v>
      </c>
      <c r="I6631" t="n">
        <v>0</v>
      </c>
      <c r="J6631" t="n">
        <v>0</v>
      </c>
      <c r="K6631" t="n">
        <v>0</v>
      </c>
      <c r="L6631" t="n">
        <v>0</v>
      </c>
      <c r="M6631" t="n">
        <v>0</v>
      </c>
      <c r="N6631" t="n">
        <v>0</v>
      </c>
      <c r="O6631" t="n">
        <v>0</v>
      </c>
      <c r="P6631" t="n">
        <v>0</v>
      </c>
      <c r="Q6631" t="n">
        <v>0</v>
      </c>
      <c r="R6631" s="2" t="inlineStr"/>
    </row>
    <row r="6632" ht="15" customHeight="1">
      <c r="A6632" t="inlineStr">
        <is>
          <t>A 46475-2025</t>
        </is>
      </c>
      <c r="B6632" s="1" t="n">
        <v>45925.68997685185</v>
      </c>
      <c r="C6632" s="1" t="n">
        <v>45962</v>
      </c>
      <c r="D6632" t="inlineStr">
        <is>
          <t>JÖNKÖPINGS LÄN</t>
        </is>
      </c>
      <c r="E6632" t="inlineStr">
        <is>
          <t>EKSJÖ</t>
        </is>
      </c>
      <c r="F6632" t="inlineStr">
        <is>
          <t>Kyrkan</t>
        </is>
      </c>
      <c r="G6632" t="n">
        <v>1.2</v>
      </c>
      <c r="H6632" t="n">
        <v>0</v>
      </c>
      <c r="I6632" t="n">
        <v>0</v>
      </c>
      <c r="J6632" t="n">
        <v>0</v>
      </c>
      <c r="K6632" t="n">
        <v>0</v>
      </c>
      <c r="L6632" t="n">
        <v>0</v>
      </c>
      <c r="M6632" t="n">
        <v>0</v>
      </c>
      <c r="N6632" t="n">
        <v>0</v>
      </c>
      <c r="O6632" t="n">
        <v>0</v>
      </c>
      <c r="P6632" t="n">
        <v>0</v>
      </c>
      <c r="Q6632" t="n">
        <v>0</v>
      </c>
      <c r="R6632" s="2" t="inlineStr"/>
    </row>
    <row r="6633" ht="15" customHeight="1">
      <c r="A6633" t="inlineStr">
        <is>
          <t>A 46476-2025</t>
        </is>
      </c>
      <c r="B6633" s="1" t="n">
        <v>45925.69309027777</v>
      </c>
      <c r="C6633" s="1" t="n">
        <v>45962</v>
      </c>
      <c r="D6633" t="inlineStr">
        <is>
          <t>JÖNKÖPINGS LÄN</t>
        </is>
      </c>
      <c r="E6633" t="inlineStr">
        <is>
          <t>EKSJÖ</t>
        </is>
      </c>
      <c r="F6633" t="inlineStr">
        <is>
          <t>Kyrkan</t>
        </is>
      </c>
      <c r="G6633" t="n">
        <v>0.8</v>
      </c>
      <c r="H6633" t="n">
        <v>0</v>
      </c>
      <c r="I6633" t="n">
        <v>0</v>
      </c>
      <c r="J6633" t="n">
        <v>0</v>
      </c>
      <c r="K6633" t="n">
        <v>0</v>
      </c>
      <c r="L6633" t="n">
        <v>0</v>
      </c>
      <c r="M6633" t="n">
        <v>0</v>
      </c>
      <c r="N6633" t="n">
        <v>0</v>
      </c>
      <c r="O6633" t="n">
        <v>0</v>
      </c>
      <c r="P6633" t="n">
        <v>0</v>
      </c>
      <c r="Q6633" t="n">
        <v>0</v>
      </c>
      <c r="R6633" s="2" t="inlineStr"/>
    </row>
    <row r="6634" ht="15" customHeight="1">
      <c r="A6634" t="inlineStr">
        <is>
          <t>A 46126-2025</t>
        </is>
      </c>
      <c r="B6634" s="1" t="n">
        <v>45924.58982638889</v>
      </c>
      <c r="C6634" s="1" t="n">
        <v>45962</v>
      </c>
      <c r="D6634" t="inlineStr">
        <is>
          <t>JÖNKÖPINGS LÄN</t>
        </is>
      </c>
      <c r="E6634" t="inlineStr">
        <is>
          <t>ANEBY</t>
        </is>
      </c>
      <c r="G6634" t="n">
        <v>1.1</v>
      </c>
      <c r="H6634" t="n">
        <v>0</v>
      </c>
      <c r="I6634" t="n">
        <v>0</v>
      </c>
      <c r="J6634" t="n">
        <v>0</v>
      </c>
      <c r="K6634" t="n">
        <v>0</v>
      </c>
      <c r="L6634" t="n">
        <v>0</v>
      </c>
      <c r="M6634" t="n">
        <v>0</v>
      </c>
      <c r="N6634" t="n">
        <v>0</v>
      </c>
      <c r="O6634" t="n">
        <v>0</v>
      </c>
      <c r="P6634" t="n">
        <v>0</v>
      </c>
      <c r="Q6634" t="n">
        <v>0</v>
      </c>
      <c r="R6634" s="2" t="inlineStr"/>
    </row>
    <row r="6635" ht="15" customHeight="1">
      <c r="A6635" t="inlineStr">
        <is>
          <t>A 10934-2024</t>
        </is>
      </c>
      <c r="B6635" s="1" t="n">
        <v>45370</v>
      </c>
      <c r="C6635" s="1" t="n">
        <v>45962</v>
      </c>
      <c r="D6635" t="inlineStr">
        <is>
          <t>JÖNKÖPINGS LÄN</t>
        </is>
      </c>
      <c r="E6635" t="inlineStr">
        <is>
          <t>VETLANDA</t>
        </is>
      </c>
      <c r="G6635" t="n">
        <v>2.8</v>
      </c>
      <c r="H6635" t="n">
        <v>0</v>
      </c>
      <c r="I6635" t="n">
        <v>0</v>
      </c>
      <c r="J6635" t="n">
        <v>0</v>
      </c>
      <c r="K6635" t="n">
        <v>0</v>
      </c>
      <c r="L6635" t="n">
        <v>0</v>
      </c>
      <c r="M6635" t="n">
        <v>0</v>
      </c>
      <c r="N6635" t="n">
        <v>0</v>
      </c>
      <c r="O6635" t="n">
        <v>0</v>
      </c>
      <c r="P6635" t="n">
        <v>0</v>
      </c>
      <c r="Q6635" t="n">
        <v>0</v>
      </c>
      <c r="R6635" s="2" t="inlineStr"/>
    </row>
    <row r="6636" ht="15" customHeight="1">
      <c r="A6636" t="inlineStr">
        <is>
          <t>A 48756-2025</t>
        </is>
      </c>
      <c r="B6636" s="1" t="n">
        <v>45936.72032407407</v>
      </c>
      <c r="C6636" s="1" t="n">
        <v>45962</v>
      </c>
      <c r="D6636" t="inlineStr">
        <is>
          <t>JÖNKÖPINGS LÄN</t>
        </is>
      </c>
      <c r="E6636" t="inlineStr">
        <is>
          <t>SÄVSJÖ</t>
        </is>
      </c>
      <c r="G6636" t="n">
        <v>0.6</v>
      </c>
      <c r="H6636" t="n">
        <v>0</v>
      </c>
      <c r="I6636" t="n">
        <v>0</v>
      </c>
      <c r="J6636" t="n">
        <v>0</v>
      </c>
      <c r="K6636" t="n">
        <v>0</v>
      </c>
      <c r="L6636" t="n">
        <v>0</v>
      </c>
      <c r="M6636" t="n">
        <v>0</v>
      </c>
      <c r="N6636" t="n">
        <v>0</v>
      </c>
      <c r="O6636" t="n">
        <v>0</v>
      </c>
      <c r="P6636" t="n">
        <v>0</v>
      </c>
      <c r="Q6636" t="n">
        <v>0</v>
      </c>
      <c r="R6636" s="2" t="inlineStr"/>
    </row>
    <row r="6637" ht="15" customHeight="1">
      <c r="A6637" t="inlineStr">
        <is>
          <t>A 48764-2025</t>
        </is>
      </c>
      <c r="B6637" s="1" t="n">
        <v>45936.82814814815</v>
      </c>
      <c r="C6637" s="1" t="n">
        <v>45962</v>
      </c>
      <c r="D6637" t="inlineStr">
        <is>
          <t>JÖNKÖPINGS LÄN</t>
        </is>
      </c>
      <c r="E6637" t="inlineStr">
        <is>
          <t>JÖNKÖPING</t>
        </is>
      </c>
      <c r="G6637" t="n">
        <v>28.3</v>
      </c>
      <c r="H6637" t="n">
        <v>0</v>
      </c>
      <c r="I6637" t="n">
        <v>0</v>
      </c>
      <c r="J6637" t="n">
        <v>0</v>
      </c>
      <c r="K6637" t="n">
        <v>0</v>
      </c>
      <c r="L6637" t="n">
        <v>0</v>
      </c>
      <c r="M6637" t="n">
        <v>0</v>
      </c>
      <c r="N6637" t="n">
        <v>0</v>
      </c>
      <c r="O6637" t="n">
        <v>0</v>
      </c>
      <c r="P6637" t="n">
        <v>0</v>
      </c>
      <c r="Q6637" t="n">
        <v>0</v>
      </c>
      <c r="R6637" s="2" t="inlineStr"/>
    </row>
    <row r="6638" ht="15" customHeight="1">
      <c r="A6638" t="inlineStr">
        <is>
          <t>A 48783-2025</t>
        </is>
      </c>
      <c r="B6638" s="1" t="n">
        <v>45937.31070601852</v>
      </c>
      <c r="C6638" s="1" t="n">
        <v>45962</v>
      </c>
      <c r="D6638" t="inlineStr">
        <is>
          <t>JÖNKÖPINGS LÄN</t>
        </is>
      </c>
      <c r="E6638" t="inlineStr">
        <is>
          <t>JÖNKÖPING</t>
        </is>
      </c>
      <c r="G6638" t="n">
        <v>2.1</v>
      </c>
      <c r="H6638" t="n">
        <v>0</v>
      </c>
      <c r="I6638" t="n">
        <v>0</v>
      </c>
      <c r="J6638" t="n">
        <v>0</v>
      </c>
      <c r="K6638" t="n">
        <v>0</v>
      </c>
      <c r="L6638" t="n">
        <v>0</v>
      </c>
      <c r="M6638" t="n">
        <v>0</v>
      </c>
      <c r="N6638" t="n">
        <v>0</v>
      </c>
      <c r="O6638" t="n">
        <v>0</v>
      </c>
      <c r="P6638" t="n">
        <v>0</v>
      </c>
      <c r="Q6638" t="n">
        <v>0</v>
      </c>
      <c r="R6638" s="2" t="inlineStr"/>
    </row>
    <row r="6639" ht="15" customHeight="1">
      <c r="A6639" t="inlineStr">
        <is>
          <t>A 37785-2022</t>
        </is>
      </c>
      <c r="B6639" s="1" t="n">
        <v>44810.66979166667</v>
      </c>
      <c r="C6639" s="1" t="n">
        <v>45962</v>
      </c>
      <c r="D6639" t="inlineStr">
        <is>
          <t>JÖNKÖPINGS LÄN</t>
        </is>
      </c>
      <c r="E6639" t="inlineStr">
        <is>
          <t>SÄVSJÖ</t>
        </is>
      </c>
      <c r="G6639" t="n">
        <v>0.9</v>
      </c>
      <c r="H6639" t="n">
        <v>0</v>
      </c>
      <c r="I6639" t="n">
        <v>0</v>
      </c>
      <c r="J6639" t="n">
        <v>0</v>
      </c>
      <c r="K6639" t="n">
        <v>0</v>
      </c>
      <c r="L6639" t="n">
        <v>0</v>
      </c>
      <c r="M6639" t="n">
        <v>0</v>
      </c>
      <c r="N6639" t="n">
        <v>0</v>
      </c>
      <c r="O6639" t="n">
        <v>0</v>
      </c>
      <c r="P6639" t="n">
        <v>0</v>
      </c>
      <c r="Q6639" t="n">
        <v>0</v>
      </c>
      <c r="R6639" s="2" t="inlineStr"/>
    </row>
    <row r="6640" ht="15" customHeight="1">
      <c r="A6640" t="inlineStr">
        <is>
          <t>A 40094-2025</t>
        </is>
      </c>
      <c r="B6640" s="1" t="n">
        <v>45894.48199074074</v>
      </c>
      <c r="C6640" s="1" t="n">
        <v>45962</v>
      </c>
      <c r="D6640" t="inlineStr">
        <is>
          <t>JÖNKÖPINGS LÄN</t>
        </is>
      </c>
      <c r="E6640" t="inlineStr">
        <is>
          <t>EKSJÖ</t>
        </is>
      </c>
      <c r="G6640" t="n">
        <v>3</v>
      </c>
      <c r="H6640" t="n">
        <v>0</v>
      </c>
      <c r="I6640" t="n">
        <v>0</v>
      </c>
      <c r="J6640" t="n">
        <v>0</v>
      </c>
      <c r="K6640" t="n">
        <v>0</v>
      </c>
      <c r="L6640" t="n">
        <v>0</v>
      </c>
      <c r="M6640" t="n">
        <v>0</v>
      </c>
      <c r="N6640" t="n">
        <v>0</v>
      </c>
      <c r="O6640" t="n">
        <v>0</v>
      </c>
      <c r="P6640" t="n">
        <v>0</v>
      </c>
      <c r="Q6640" t="n">
        <v>0</v>
      </c>
      <c r="R6640" s="2" t="inlineStr"/>
    </row>
    <row r="6641" ht="15" customHeight="1">
      <c r="A6641" t="inlineStr">
        <is>
          <t>A 48656-2025</t>
        </is>
      </c>
      <c r="B6641" s="1" t="n">
        <v>45936.56549768519</v>
      </c>
      <c r="C6641" s="1" t="n">
        <v>45962</v>
      </c>
      <c r="D6641" t="inlineStr">
        <is>
          <t>JÖNKÖPINGS LÄN</t>
        </is>
      </c>
      <c r="E6641" t="inlineStr">
        <is>
          <t>VETLANDA</t>
        </is>
      </c>
      <c r="G6641" t="n">
        <v>1</v>
      </c>
      <c r="H6641" t="n">
        <v>0</v>
      </c>
      <c r="I6641" t="n">
        <v>0</v>
      </c>
      <c r="J6641" t="n">
        <v>0</v>
      </c>
      <c r="K6641" t="n">
        <v>0</v>
      </c>
      <c r="L6641" t="n">
        <v>0</v>
      </c>
      <c r="M6641" t="n">
        <v>0</v>
      </c>
      <c r="N6641" t="n">
        <v>0</v>
      </c>
      <c r="O6641" t="n">
        <v>0</v>
      </c>
      <c r="P6641" t="n">
        <v>0</v>
      </c>
      <c r="Q6641" t="n">
        <v>0</v>
      </c>
      <c r="R6641" s="2" t="inlineStr"/>
    </row>
    <row r="6642" ht="15" customHeight="1">
      <c r="A6642" t="inlineStr">
        <is>
          <t>A 35175-2025</t>
        </is>
      </c>
      <c r="B6642" s="1" t="n">
        <v>45852</v>
      </c>
      <c r="C6642" s="1" t="n">
        <v>45962</v>
      </c>
      <c r="D6642" t="inlineStr">
        <is>
          <t>JÖNKÖPINGS LÄN</t>
        </is>
      </c>
      <c r="E6642" t="inlineStr">
        <is>
          <t>VAGGERYD</t>
        </is>
      </c>
      <c r="G6642" t="n">
        <v>2</v>
      </c>
      <c r="H6642" t="n">
        <v>0</v>
      </c>
      <c r="I6642" t="n">
        <v>0</v>
      </c>
      <c r="J6642" t="n">
        <v>0</v>
      </c>
      <c r="K6642" t="n">
        <v>0</v>
      </c>
      <c r="L6642" t="n">
        <v>0</v>
      </c>
      <c r="M6642" t="n">
        <v>0</v>
      </c>
      <c r="N6642" t="n">
        <v>0</v>
      </c>
      <c r="O6642" t="n">
        <v>0</v>
      </c>
      <c r="P6642" t="n">
        <v>0</v>
      </c>
      <c r="Q6642" t="n">
        <v>0</v>
      </c>
      <c r="R6642" s="2" t="inlineStr"/>
    </row>
    <row r="6643" ht="15" customHeight="1">
      <c r="A6643" t="inlineStr">
        <is>
          <t>A 38170-2025</t>
        </is>
      </c>
      <c r="B6643" s="1" t="n">
        <v>45882.63306712963</v>
      </c>
      <c r="C6643" s="1" t="n">
        <v>45962</v>
      </c>
      <c r="D6643" t="inlineStr">
        <is>
          <t>JÖNKÖPINGS LÄN</t>
        </is>
      </c>
      <c r="E6643" t="inlineStr">
        <is>
          <t>GISLAVED</t>
        </is>
      </c>
      <c r="G6643" t="n">
        <v>2.2</v>
      </c>
      <c r="H6643" t="n">
        <v>0</v>
      </c>
      <c r="I6643" t="n">
        <v>0</v>
      </c>
      <c r="J6643" t="n">
        <v>0</v>
      </c>
      <c r="K6643" t="n">
        <v>0</v>
      </c>
      <c r="L6643" t="n">
        <v>0</v>
      </c>
      <c r="M6643" t="n">
        <v>0</v>
      </c>
      <c r="N6643" t="n">
        <v>0</v>
      </c>
      <c r="O6643" t="n">
        <v>0</v>
      </c>
      <c r="P6643" t="n">
        <v>0</v>
      </c>
      <c r="Q6643" t="n">
        <v>0</v>
      </c>
      <c r="R6643" s="2" t="inlineStr"/>
    </row>
    <row r="6644" ht="15" customHeight="1">
      <c r="A6644" t="inlineStr">
        <is>
          <t>A 48227-2022</t>
        </is>
      </c>
      <c r="B6644" s="1" t="n">
        <v>44858</v>
      </c>
      <c r="C6644" s="1" t="n">
        <v>45962</v>
      </c>
      <c r="D6644" t="inlineStr">
        <is>
          <t>JÖNKÖPINGS LÄN</t>
        </is>
      </c>
      <c r="E6644" t="inlineStr">
        <is>
          <t>GNOSJÖ</t>
        </is>
      </c>
      <c r="G6644" t="n">
        <v>2.3</v>
      </c>
      <c r="H6644" t="n">
        <v>0</v>
      </c>
      <c r="I6644" t="n">
        <v>0</v>
      </c>
      <c r="J6644" t="n">
        <v>0</v>
      </c>
      <c r="K6644" t="n">
        <v>0</v>
      </c>
      <c r="L6644" t="n">
        <v>0</v>
      </c>
      <c r="M6644" t="n">
        <v>0</v>
      </c>
      <c r="N6644" t="n">
        <v>0</v>
      </c>
      <c r="O6644" t="n">
        <v>0</v>
      </c>
      <c r="P6644" t="n">
        <v>0</v>
      </c>
      <c r="Q6644" t="n">
        <v>0</v>
      </c>
      <c r="R6644" s="2" t="inlineStr"/>
    </row>
    <row r="6645" ht="15" customHeight="1">
      <c r="A6645" t="inlineStr">
        <is>
          <t>A 48615-2025</t>
        </is>
      </c>
      <c r="B6645" s="1" t="n">
        <v>45936.4841087963</v>
      </c>
      <c r="C6645" s="1" t="n">
        <v>45962</v>
      </c>
      <c r="D6645" t="inlineStr">
        <is>
          <t>JÖNKÖPINGS LÄN</t>
        </is>
      </c>
      <c r="E6645" t="inlineStr">
        <is>
          <t>VÄRNAMO</t>
        </is>
      </c>
      <c r="G6645" t="n">
        <v>1.3</v>
      </c>
      <c r="H6645" t="n">
        <v>0</v>
      </c>
      <c r="I6645" t="n">
        <v>0</v>
      </c>
      <c r="J6645" t="n">
        <v>0</v>
      </c>
      <c r="K6645" t="n">
        <v>0</v>
      </c>
      <c r="L6645" t="n">
        <v>0</v>
      </c>
      <c r="M6645" t="n">
        <v>0</v>
      </c>
      <c r="N6645" t="n">
        <v>0</v>
      </c>
      <c r="O6645" t="n">
        <v>0</v>
      </c>
      <c r="P6645" t="n">
        <v>0</v>
      </c>
      <c r="Q6645" t="n">
        <v>0</v>
      </c>
      <c r="R6645" s="2" t="inlineStr"/>
    </row>
    <row r="6646" ht="15" customHeight="1">
      <c r="A6646" t="inlineStr">
        <is>
          <t>A 20004-2025</t>
        </is>
      </c>
      <c r="B6646" s="1" t="n">
        <v>45771.91304398148</v>
      </c>
      <c r="C6646" s="1" t="n">
        <v>45962</v>
      </c>
      <c r="D6646" t="inlineStr">
        <is>
          <t>JÖNKÖPINGS LÄN</t>
        </is>
      </c>
      <c r="E6646" t="inlineStr">
        <is>
          <t>SÄVSJÖ</t>
        </is>
      </c>
      <c r="G6646" t="n">
        <v>7.1</v>
      </c>
      <c r="H6646" t="n">
        <v>0</v>
      </c>
      <c r="I6646" t="n">
        <v>0</v>
      </c>
      <c r="J6646" t="n">
        <v>0</v>
      </c>
      <c r="K6646" t="n">
        <v>0</v>
      </c>
      <c r="L6646" t="n">
        <v>0</v>
      </c>
      <c r="M6646" t="n">
        <v>0</v>
      </c>
      <c r="N6646" t="n">
        <v>0</v>
      </c>
      <c r="O6646" t="n">
        <v>0</v>
      </c>
      <c r="P6646" t="n">
        <v>0</v>
      </c>
      <c r="Q6646" t="n">
        <v>0</v>
      </c>
      <c r="R6646" s="2" t="inlineStr"/>
    </row>
    <row r="6647" ht="15" customHeight="1">
      <c r="A6647" t="inlineStr">
        <is>
          <t>A 46047-2025</t>
        </is>
      </c>
      <c r="B6647" s="1" t="n">
        <v>45924.45655092593</v>
      </c>
      <c r="C6647" s="1" t="n">
        <v>45962</v>
      </c>
      <c r="D6647" t="inlineStr">
        <is>
          <t>JÖNKÖPINGS LÄN</t>
        </is>
      </c>
      <c r="E6647" t="inlineStr">
        <is>
          <t>VÄRNAMO</t>
        </is>
      </c>
      <c r="G6647" t="n">
        <v>0.9</v>
      </c>
      <c r="H6647" t="n">
        <v>0</v>
      </c>
      <c r="I6647" t="n">
        <v>0</v>
      </c>
      <c r="J6647" t="n">
        <v>0</v>
      </c>
      <c r="K6647" t="n">
        <v>0</v>
      </c>
      <c r="L6647" t="n">
        <v>0</v>
      </c>
      <c r="M6647" t="n">
        <v>0</v>
      </c>
      <c r="N6647" t="n">
        <v>0</v>
      </c>
      <c r="O6647" t="n">
        <v>0</v>
      </c>
      <c r="P6647" t="n">
        <v>0</v>
      </c>
      <c r="Q6647" t="n">
        <v>0</v>
      </c>
      <c r="R6647" s="2" t="inlineStr"/>
    </row>
    <row r="6648" ht="15" customHeight="1">
      <c r="A6648" t="inlineStr">
        <is>
          <t>A 46049-2025</t>
        </is>
      </c>
      <c r="B6648" s="1" t="n">
        <v>45924.45824074074</v>
      </c>
      <c r="C6648" s="1" t="n">
        <v>45962</v>
      </c>
      <c r="D6648" t="inlineStr">
        <is>
          <t>JÖNKÖPINGS LÄN</t>
        </is>
      </c>
      <c r="E6648" t="inlineStr">
        <is>
          <t>VÄRNAMO</t>
        </is>
      </c>
      <c r="G6648" t="n">
        <v>2.4</v>
      </c>
      <c r="H6648" t="n">
        <v>0</v>
      </c>
      <c r="I6648" t="n">
        <v>0</v>
      </c>
      <c r="J6648" t="n">
        <v>0</v>
      </c>
      <c r="K6648" t="n">
        <v>0</v>
      </c>
      <c r="L6648" t="n">
        <v>0</v>
      </c>
      <c r="M6648" t="n">
        <v>0</v>
      </c>
      <c r="N6648" t="n">
        <v>0</v>
      </c>
      <c r="O6648" t="n">
        <v>0</v>
      </c>
      <c r="P6648" t="n">
        <v>0</v>
      </c>
      <c r="Q6648" t="n">
        <v>0</v>
      </c>
      <c r="R6648" s="2" t="inlineStr"/>
    </row>
    <row r="6649" ht="15" customHeight="1">
      <c r="A6649" t="inlineStr">
        <is>
          <t>A 57422-2023</t>
        </is>
      </c>
      <c r="B6649" s="1" t="n">
        <v>45246</v>
      </c>
      <c r="C6649" s="1" t="n">
        <v>45962</v>
      </c>
      <c r="D6649" t="inlineStr">
        <is>
          <t>JÖNKÖPINGS LÄN</t>
        </is>
      </c>
      <c r="E6649" t="inlineStr">
        <is>
          <t>HABO</t>
        </is>
      </c>
      <c r="G6649" t="n">
        <v>0.9</v>
      </c>
      <c r="H6649" t="n">
        <v>0</v>
      </c>
      <c r="I6649" t="n">
        <v>0</v>
      </c>
      <c r="J6649" t="n">
        <v>0</v>
      </c>
      <c r="K6649" t="n">
        <v>0</v>
      </c>
      <c r="L6649" t="n">
        <v>0</v>
      </c>
      <c r="M6649" t="n">
        <v>0</v>
      </c>
      <c r="N6649" t="n">
        <v>0</v>
      </c>
      <c r="O6649" t="n">
        <v>0</v>
      </c>
      <c r="P6649" t="n">
        <v>0</v>
      </c>
      <c r="Q6649" t="n">
        <v>0</v>
      </c>
      <c r="R6649" s="2" t="inlineStr"/>
    </row>
    <row r="6650" ht="15" customHeight="1">
      <c r="A6650" t="inlineStr">
        <is>
          <t>A 45493-2022</t>
        </is>
      </c>
      <c r="B6650" s="1" t="n">
        <v>44845.41481481482</v>
      </c>
      <c r="C6650" s="1" t="n">
        <v>45962</v>
      </c>
      <c r="D6650" t="inlineStr">
        <is>
          <t>JÖNKÖPINGS LÄN</t>
        </is>
      </c>
      <c r="E6650" t="inlineStr">
        <is>
          <t>EKSJÖ</t>
        </is>
      </c>
      <c r="G6650" t="n">
        <v>1.9</v>
      </c>
      <c r="H6650" t="n">
        <v>0</v>
      </c>
      <c r="I6650" t="n">
        <v>0</v>
      </c>
      <c r="J6650" t="n">
        <v>0</v>
      </c>
      <c r="K6650" t="n">
        <v>0</v>
      </c>
      <c r="L6650" t="n">
        <v>0</v>
      </c>
      <c r="M6650" t="n">
        <v>0</v>
      </c>
      <c r="N6650" t="n">
        <v>0</v>
      </c>
      <c r="O6650" t="n">
        <v>0</v>
      </c>
      <c r="P6650" t="n">
        <v>0</v>
      </c>
      <c r="Q6650" t="n">
        <v>0</v>
      </c>
      <c r="R6650" s="2" t="inlineStr"/>
    </row>
    <row r="6651" ht="15" customHeight="1">
      <c r="A6651" t="inlineStr">
        <is>
          <t>A 46238-2025</t>
        </is>
      </c>
      <c r="B6651" s="1" t="n">
        <v>45925.31177083333</v>
      </c>
      <c r="C6651" s="1" t="n">
        <v>45962</v>
      </c>
      <c r="D6651" t="inlineStr">
        <is>
          <t>JÖNKÖPINGS LÄN</t>
        </is>
      </c>
      <c r="E6651" t="inlineStr">
        <is>
          <t>GNOSJÖ</t>
        </is>
      </c>
      <c r="G6651" t="n">
        <v>1.5</v>
      </c>
      <c r="H6651" t="n">
        <v>0</v>
      </c>
      <c r="I6651" t="n">
        <v>0</v>
      </c>
      <c r="J6651" t="n">
        <v>0</v>
      </c>
      <c r="K6651" t="n">
        <v>0</v>
      </c>
      <c r="L6651" t="n">
        <v>0</v>
      </c>
      <c r="M6651" t="n">
        <v>0</v>
      </c>
      <c r="N6651" t="n">
        <v>0</v>
      </c>
      <c r="O6651" t="n">
        <v>0</v>
      </c>
      <c r="P6651" t="n">
        <v>0</v>
      </c>
      <c r="Q6651" t="n">
        <v>0</v>
      </c>
      <c r="R6651" s="2" t="inlineStr"/>
    </row>
    <row r="6652" ht="15" customHeight="1">
      <c r="A6652" t="inlineStr">
        <is>
          <t>A 46258-2025</t>
        </is>
      </c>
      <c r="B6652" s="1" t="n">
        <v>45925.35635416667</v>
      </c>
      <c r="C6652" s="1" t="n">
        <v>45962</v>
      </c>
      <c r="D6652" t="inlineStr">
        <is>
          <t>JÖNKÖPINGS LÄN</t>
        </is>
      </c>
      <c r="E6652" t="inlineStr">
        <is>
          <t>VETLANDA</t>
        </is>
      </c>
      <c r="G6652" t="n">
        <v>2.8</v>
      </c>
      <c r="H6652" t="n">
        <v>0</v>
      </c>
      <c r="I6652" t="n">
        <v>0</v>
      </c>
      <c r="J6652" t="n">
        <v>0</v>
      </c>
      <c r="K6652" t="n">
        <v>0</v>
      </c>
      <c r="L6652" t="n">
        <v>0</v>
      </c>
      <c r="M6652" t="n">
        <v>0</v>
      </c>
      <c r="N6652" t="n">
        <v>0</v>
      </c>
      <c r="O6652" t="n">
        <v>0</v>
      </c>
      <c r="P6652" t="n">
        <v>0</v>
      </c>
      <c r="Q6652" t="n">
        <v>0</v>
      </c>
      <c r="R6652" s="2" t="inlineStr"/>
    </row>
    <row r="6653" ht="15" customHeight="1">
      <c r="A6653" t="inlineStr">
        <is>
          <t>A 46259-2025</t>
        </is>
      </c>
      <c r="B6653" s="1" t="n">
        <v>45925.35803240741</v>
      </c>
      <c r="C6653" s="1" t="n">
        <v>45962</v>
      </c>
      <c r="D6653" t="inlineStr">
        <is>
          <t>JÖNKÖPINGS LÄN</t>
        </is>
      </c>
      <c r="E6653" t="inlineStr">
        <is>
          <t>VETLANDA</t>
        </is>
      </c>
      <c r="G6653" t="n">
        <v>1.5</v>
      </c>
      <c r="H6653" t="n">
        <v>0</v>
      </c>
      <c r="I6653" t="n">
        <v>0</v>
      </c>
      <c r="J6653" t="n">
        <v>0</v>
      </c>
      <c r="K6653" t="n">
        <v>0</v>
      </c>
      <c r="L6653" t="n">
        <v>0</v>
      </c>
      <c r="M6653" t="n">
        <v>0</v>
      </c>
      <c r="N6653" t="n">
        <v>0</v>
      </c>
      <c r="O6653" t="n">
        <v>0</v>
      </c>
      <c r="P6653" t="n">
        <v>0</v>
      </c>
      <c r="Q6653" t="n">
        <v>0</v>
      </c>
      <c r="R6653" s="2" t="inlineStr"/>
    </row>
    <row r="6654" ht="15" customHeight="1">
      <c r="A6654" t="inlineStr">
        <is>
          <t>A 63656-2023</t>
        </is>
      </c>
      <c r="B6654" s="1" t="n">
        <v>45275</v>
      </c>
      <c r="C6654" s="1" t="n">
        <v>45962</v>
      </c>
      <c r="D6654" t="inlineStr">
        <is>
          <t>JÖNKÖPINGS LÄN</t>
        </is>
      </c>
      <c r="E6654" t="inlineStr">
        <is>
          <t>VÄRNAMO</t>
        </is>
      </c>
      <c r="G6654" t="n">
        <v>5.8</v>
      </c>
      <c r="H6654" t="n">
        <v>0</v>
      </c>
      <c r="I6654" t="n">
        <v>0</v>
      </c>
      <c r="J6654" t="n">
        <v>0</v>
      </c>
      <c r="K6654" t="n">
        <v>0</v>
      </c>
      <c r="L6654" t="n">
        <v>0</v>
      </c>
      <c r="M6654" t="n">
        <v>0</v>
      </c>
      <c r="N6654" t="n">
        <v>0</v>
      </c>
      <c r="O6654" t="n">
        <v>0</v>
      </c>
      <c r="P6654" t="n">
        <v>0</v>
      </c>
      <c r="Q6654" t="n">
        <v>0</v>
      </c>
      <c r="R6654" s="2" t="inlineStr"/>
    </row>
    <row r="6655" ht="15" customHeight="1">
      <c r="A6655" t="inlineStr">
        <is>
          <t>A 38210-2025</t>
        </is>
      </c>
      <c r="B6655" s="1" t="n">
        <v>45882.74145833333</v>
      </c>
      <c r="C6655" s="1" t="n">
        <v>45962</v>
      </c>
      <c r="D6655" t="inlineStr">
        <is>
          <t>JÖNKÖPINGS LÄN</t>
        </is>
      </c>
      <c r="E6655" t="inlineStr">
        <is>
          <t>GISLAVED</t>
        </is>
      </c>
      <c r="G6655" t="n">
        <v>1</v>
      </c>
      <c r="H6655" t="n">
        <v>0</v>
      </c>
      <c r="I6655" t="n">
        <v>0</v>
      </c>
      <c r="J6655" t="n">
        <v>0</v>
      </c>
      <c r="K6655" t="n">
        <v>0</v>
      </c>
      <c r="L6655" t="n">
        <v>0</v>
      </c>
      <c r="M6655" t="n">
        <v>0</v>
      </c>
      <c r="N6655" t="n">
        <v>0</v>
      </c>
      <c r="O6655" t="n">
        <v>0</v>
      </c>
      <c r="P6655" t="n">
        <v>0</v>
      </c>
      <c r="Q6655" t="n">
        <v>0</v>
      </c>
      <c r="R6655" s="2" t="inlineStr"/>
    </row>
    <row r="6656" ht="15" customHeight="1">
      <c r="A6656" t="inlineStr">
        <is>
          <t>A 49025-2025</t>
        </is>
      </c>
      <c r="B6656" s="1" t="n">
        <v>45937.61915509259</v>
      </c>
      <c r="C6656" s="1" t="n">
        <v>45962</v>
      </c>
      <c r="D6656" t="inlineStr">
        <is>
          <t>JÖNKÖPINGS LÄN</t>
        </is>
      </c>
      <c r="E6656" t="inlineStr">
        <is>
          <t>MULLSJÖ</t>
        </is>
      </c>
      <c r="G6656" t="n">
        <v>1.1</v>
      </c>
      <c r="H6656" t="n">
        <v>0</v>
      </c>
      <c r="I6656" t="n">
        <v>0</v>
      </c>
      <c r="J6656" t="n">
        <v>0</v>
      </c>
      <c r="K6656" t="n">
        <v>0</v>
      </c>
      <c r="L6656" t="n">
        <v>0</v>
      </c>
      <c r="M6656" t="n">
        <v>0</v>
      </c>
      <c r="N6656" t="n">
        <v>0</v>
      </c>
      <c r="O6656" t="n">
        <v>0</v>
      </c>
      <c r="P6656" t="n">
        <v>0</v>
      </c>
      <c r="Q6656" t="n">
        <v>0</v>
      </c>
      <c r="R6656" s="2" t="inlineStr"/>
    </row>
    <row r="6657" ht="15" customHeight="1">
      <c r="A6657" t="inlineStr">
        <is>
          <t>A 46270-2025</t>
        </is>
      </c>
      <c r="B6657" s="1" t="n">
        <v>45925.36980324074</v>
      </c>
      <c r="C6657" s="1" t="n">
        <v>45962</v>
      </c>
      <c r="D6657" t="inlineStr">
        <is>
          <t>JÖNKÖPINGS LÄN</t>
        </is>
      </c>
      <c r="E6657" t="inlineStr">
        <is>
          <t>VETLANDA</t>
        </is>
      </c>
      <c r="G6657" t="n">
        <v>0.7</v>
      </c>
      <c r="H6657" t="n">
        <v>0</v>
      </c>
      <c r="I6657" t="n">
        <v>0</v>
      </c>
      <c r="J6657" t="n">
        <v>0</v>
      </c>
      <c r="K6657" t="n">
        <v>0</v>
      </c>
      <c r="L6657" t="n">
        <v>0</v>
      </c>
      <c r="M6657" t="n">
        <v>0</v>
      </c>
      <c r="N6657" t="n">
        <v>0</v>
      </c>
      <c r="O6657" t="n">
        <v>0</v>
      </c>
      <c r="P6657" t="n">
        <v>0</v>
      </c>
      <c r="Q6657" t="n">
        <v>0</v>
      </c>
      <c r="R6657" s="2" t="inlineStr"/>
    </row>
    <row r="6658" ht="15" customHeight="1">
      <c r="A6658" t="inlineStr">
        <is>
          <t>A 49118-2025</t>
        </is>
      </c>
      <c r="B6658" s="1" t="n">
        <v>45937</v>
      </c>
      <c r="C6658" s="1" t="n">
        <v>45962</v>
      </c>
      <c r="D6658" t="inlineStr">
        <is>
          <t>JÖNKÖPINGS LÄN</t>
        </is>
      </c>
      <c r="E6658" t="inlineStr">
        <is>
          <t>TRANÅS</t>
        </is>
      </c>
      <c r="G6658" t="n">
        <v>3.5</v>
      </c>
      <c r="H6658" t="n">
        <v>0</v>
      </c>
      <c r="I6658" t="n">
        <v>0</v>
      </c>
      <c r="J6658" t="n">
        <v>0</v>
      </c>
      <c r="K6658" t="n">
        <v>0</v>
      </c>
      <c r="L6658" t="n">
        <v>0</v>
      </c>
      <c r="M6658" t="n">
        <v>0</v>
      </c>
      <c r="N6658" t="n">
        <v>0</v>
      </c>
      <c r="O6658" t="n">
        <v>0</v>
      </c>
      <c r="P6658" t="n">
        <v>0</v>
      </c>
      <c r="Q6658" t="n">
        <v>0</v>
      </c>
      <c r="R6658" s="2" t="inlineStr"/>
    </row>
    <row r="6659" ht="15" customHeight="1">
      <c r="A6659" t="inlineStr">
        <is>
          <t>A 45980-2025</t>
        </is>
      </c>
      <c r="B6659" s="1" t="n">
        <v>45924.37596064815</v>
      </c>
      <c r="C6659" s="1" t="n">
        <v>45962</v>
      </c>
      <c r="D6659" t="inlineStr">
        <is>
          <t>JÖNKÖPINGS LÄN</t>
        </is>
      </c>
      <c r="E6659" t="inlineStr">
        <is>
          <t>GISLAVED</t>
        </is>
      </c>
      <c r="G6659" t="n">
        <v>1.7</v>
      </c>
      <c r="H6659" t="n">
        <v>0</v>
      </c>
      <c r="I6659" t="n">
        <v>0</v>
      </c>
      <c r="J6659" t="n">
        <v>0</v>
      </c>
      <c r="K6659" t="n">
        <v>0</v>
      </c>
      <c r="L6659" t="n">
        <v>0</v>
      </c>
      <c r="M6659" t="n">
        <v>0</v>
      </c>
      <c r="N6659" t="n">
        <v>0</v>
      </c>
      <c r="O6659" t="n">
        <v>0</v>
      </c>
      <c r="P6659" t="n">
        <v>0</v>
      </c>
      <c r="Q6659" t="n">
        <v>0</v>
      </c>
      <c r="R6659" s="2" t="inlineStr"/>
    </row>
    <row r="6660" ht="15" customHeight="1">
      <c r="A6660" t="inlineStr">
        <is>
          <t>A 40466-2025</t>
        </is>
      </c>
      <c r="B6660" s="1" t="n">
        <v>45895.65793981482</v>
      </c>
      <c r="C6660" s="1" t="n">
        <v>45962</v>
      </c>
      <c r="D6660" t="inlineStr">
        <is>
          <t>JÖNKÖPINGS LÄN</t>
        </is>
      </c>
      <c r="E6660" t="inlineStr">
        <is>
          <t>ANEBY</t>
        </is>
      </c>
      <c r="G6660" t="n">
        <v>3.9</v>
      </c>
      <c r="H6660" t="n">
        <v>0</v>
      </c>
      <c r="I6660" t="n">
        <v>0</v>
      </c>
      <c r="J6660" t="n">
        <v>0</v>
      </c>
      <c r="K6660" t="n">
        <v>0</v>
      </c>
      <c r="L6660" t="n">
        <v>0</v>
      </c>
      <c r="M6660" t="n">
        <v>0</v>
      </c>
      <c r="N6660" t="n">
        <v>0</v>
      </c>
      <c r="O6660" t="n">
        <v>0</v>
      </c>
      <c r="P6660" t="n">
        <v>0</v>
      </c>
      <c r="Q6660" t="n">
        <v>0</v>
      </c>
      <c r="R6660" s="2" t="inlineStr"/>
    </row>
    <row r="6661" ht="15" customHeight="1">
      <c r="A6661" t="inlineStr">
        <is>
          <t>A 38042-2025</t>
        </is>
      </c>
      <c r="B6661" s="1" t="n">
        <v>45882.38854166667</v>
      </c>
      <c r="C6661" s="1" t="n">
        <v>45962</v>
      </c>
      <c r="D6661" t="inlineStr">
        <is>
          <t>JÖNKÖPINGS LÄN</t>
        </is>
      </c>
      <c r="E6661" t="inlineStr">
        <is>
          <t>GISLAVED</t>
        </is>
      </c>
      <c r="G6661" t="n">
        <v>4.8</v>
      </c>
      <c r="H6661" t="n">
        <v>0</v>
      </c>
      <c r="I6661" t="n">
        <v>0</v>
      </c>
      <c r="J6661" t="n">
        <v>0</v>
      </c>
      <c r="K6661" t="n">
        <v>0</v>
      </c>
      <c r="L6661" t="n">
        <v>0</v>
      </c>
      <c r="M6661" t="n">
        <v>0</v>
      </c>
      <c r="N6661" t="n">
        <v>0</v>
      </c>
      <c r="O6661" t="n">
        <v>0</v>
      </c>
      <c r="P6661" t="n">
        <v>0</v>
      </c>
      <c r="Q6661" t="n">
        <v>0</v>
      </c>
      <c r="R6661" s="2" t="inlineStr"/>
    </row>
    <row r="6662" ht="15" customHeight="1">
      <c r="A6662" t="inlineStr">
        <is>
          <t>A 43707-2023</t>
        </is>
      </c>
      <c r="B6662" s="1" t="n">
        <v>45187</v>
      </c>
      <c r="C6662" s="1" t="n">
        <v>45962</v>
      </c>
      <c r="D6662" t="inlineStr">
        <is>
          <t>JÖNKÖPINGS LÄN</t>
        </is>
      </c>
      <c r="E6662" t="inlineStr">
        <is>
          <t>GISLAVED</t>
        </is>
      </c>
      <c r="G6662" t="n">
        <v>2.4</v>
      </c>
      <c r="H6662" t="n">
        <v>0</v>
      </c>
      <c r="I6662" t="n">
        <v>0</v>
      </c>
      <c r="J6662" t="n">
        <v>0</v>
      </c>
      <c r="K6662" t="n">
        <v>0</v>
      </c>
      <c r="L6662" t="n">
        <v>0</v>
      </c>
      <c r="M6662" t="n">
        <v>0</v>
      </c>
      <c r="N6662" t="n">
        <v>0</v>
      </c>
      <c r="O6662" t="n">
        <v>0</v>
      </c>
      <c r="P6662" t="n">
        <v>0</v>
      </c>
      <c r="Q6662" t="n">
        <v>0</v>
      </c>
      <c r="R6662" s="2" t="inlineStr"/>
    </row>
    <row r="6663" ht="15" customHeight="1">
      <c r="A6663" t="inlineStr">
        <is>
          <t>A 43758-2023</t>
        </is>
      </c>
      <c r="B6663" s="1" t="n">
        <v>45187.483125</v>
      </c>
      <c r="C6663" s="1" t="n">
        <v>45962</v>
      </c>
      <c r="D6663" t="inlineStr">
        <is>
          <t>JÖNKÖPINGS LÄN</t>
        </is>
      </c>
      <c r="E6663" t="inlineStr">
        <is>
          <t>GNOSJÖ</t>
        </is>
      </c>
      <c r="G6663" t="n">
        <v>1.5</v>
      </c>
      <c r="H6663" t="n">
        <v>0</v>
      </c>
      <c r="I6663" t="n">
        <v>0</v>
      </c>
      <c r="J6663" t="n">
        <v>0</v>
      </c>
      <c r="K6663" t="n">
        <v>0</v>
      </c>
      <c r="L6663" t="n">
        <v>0</v>
      </c>
      <c r="M6663" t="n">
        <v>0</v>
      </c>
      <c r="N6663" t="n">
        <v>0</v>
      </c>
      <c r="O6663" t="n">
        <v>0</v>
      </c>
      <c r="P6663" t="n">
        <v>0</v>
      </c>
      <c r="Q6663" t="n">
        <v>0</v>
      </c>
      <c r="R6663" s="2" t="inlineStr"/>
    </row>
    <row r="6664" ht="15" customHeight="1">
      <c r="A6664" t="inlineStr">
        <is>
          <t>A 38037-2025</t>
        </is>
      </c>
      <c r="B6664" s="1" t="n">
        <v>45882.37444444445</v>
      </c>
      <c r="C6664" s="1" t="n">
        <v>45962</v>
      </c>
      <c r="D6664" t="inlineStr">
        <is>
          <t>JÖNKÖPINGS LÄN</t>
        </is>
      </c>
      <c r="E6664" t="inlineStr">
        <is>
          <t>GISLAVED</t>
        </is>
      </c>
      <c r="G6664" t="n">
        <v>3.4</v>
      </c>
      <c r="H6664" t="n">
        <v>0</v>
      </c>
      <c r="I6664" t="n">
        <v>0</v>
      </c>
      <c r="J6664" t="n">
        <v>0</v>
      </c>
      <c r="K6664" t="n">
        <v>0</v>
      </c>
      <c r="L6664" t="n">
        <v>0</v>
      </c>
      <c r="M6664" t="n">
        <v>0</v>
      </c>
      <c r="N6664" t="n">
        <v>0</v>
      </c>
      <c r="O6664" t="n">
        <v>0</v>
      </c>
      <c r="P6664" t="n">
        <v>0</v>
      </c>
      <c r="Q6664" t="n">
        <v>0</v>
      </c>
      <c r="R6664" s="2" t="inlineStr"/>
    </row>
    <row r="6665" ht="15" customHeight="1">
      <c r="A6665" t="inlineStr">
        <is>
          <t>A 45642-2025</t>
        </is>
      </c>
      <c r="B6665" s="1" t="n">
        <v>45923</v>
      </c>
      <c r="C6665" s="1" t="n">
        <v>45962</v>
      </c>
      <c r="D6665" t="inlineStr">
        <is>
          <t>JÖNKÖPINGS LÄN</t>
        </is>
      </c>
      <c r="E6665" t="inlineStr">
        <is>
          <t>VETLANDA</t>
        </is>
      </c>
      <c r="G6665" t="n">
        <v>0.8</v>
      </c>
      <c r="H6665" t="n">
        <v>0</v>
      </c>
      <c r="I6665" t="n">
        <v>0</v>
      </c>
      <c r="J6665" t="n">
        <v>0</v>
      </c>
      <c r="K6665" t="n">
        <v>0</v>
      </c>
      <c r="L6665" t="n">
        <v>0</v>
      </c>
      <c r="M6665" t="n">
        <v>0</v>
      </c>
      <c r="N6665" t="n">
        <v>0</v>
      </c>
      <c r="O6665" t="n">
        <v>0</v>
      </c>
      <c r="P6665" t="n">
        <v>0</v>
      </c>
      <c r="Q6665" t="n">
        <v>0</v>
      </c>
      <c r="R6665" s="2" t="inlineStr"/>
    </row>
    <row r="6666" ht="15" customHeight="1">
      <c r="A6666" t="inlineStr">
        <is>
          <t>A 38045-2025</t>
        </is>
      </c>
      <c r="B6666" s="1" t="n">
        <v>45882.3959375</v>
      </c>
      <c r="C6666" s="1" t="n">
        <v>45962</v>
      </c>
      <c r="D6666" t="inlineStr">
        <is>
          <t>JÖNKÖPINGS LÄN</t>
        </is>
      </c>
      <c r="E6666" t="inlineStr">
        <is>
          <t>GISLAVED</t>
        </is>
      </c>
      <c r="G6666" t="n">
        <v>2.9</v>
      </c>
      <c r="H6666" t="n">
        <v>0</v>
      </c>
      <c r="I6666" t="n">
        <v>0</v>
      </c>
      <c r="J6666" t="n">
        <v>0</v>
      </c>
      <c r="K6666" t="n">
        <v>0</v>
      </c>
      <c r="L6666" t="n">
        <v>0</v>
      </c>
      <c r="M6666" t="n">
        <v>0</v>
      </c>
      <c r="N6666" t="n">
        <v>0</v>
      </c>
      <c r="O6666" t="n">
        <v>0</v>
      </c>
      <c r="P6666" t="n">
        <v>0</v>
      </c>
      <c r="Q6666" t="n">
        <v>0</v>
      </c>
      <c r="R6666" s="2" t="inlineStr"/>
    </row>
    <row r="6667" ht="15" customHeight="1">
      <c r="A6667" t="inlineStr">
        <is>
          <t>A 46333-2025</t>
        </is>
      </c>
      <c r="B6667" s="1" t="n">
        <v>45925.45918981481</v>
      </c>
      <c r="C6667" s="1" t="n">
        <v>45962</v>
      </c>
      <c r="D6667" t="inlineStr">
        <is>
          <t>JÖNKÖPINGS LÄN</t>
        </is>
      </c>
      <c r="E6667" t="inlineStr">
        <is>
          <t>TRANÅS</t>
        </is>
      </c>
      <c r="F6667" t="inlineStr">
        <is>
          <t>Allmännings- och besparingsskogar</t>
        </is>
      </c>
      <c r="G6667" t="n">
        <v>1.4</v>
      </c>
      <c r="H6667" t="n">
        <v>0</v>
      </c>
      <c r="I6667" t="n">
        <v>0</v>
      </c>
      <c r="J6667" t="n">
        <v>0</v>
      </c>
      <c r="K6667" t="n">
        <v>0</v>
      </c>
      <c r="L6667" t="n">
        <v>0</v>
      </c>
      <c r="M6667" t="n">
        <v>0</v>
      </c>
      <c r="N6667" t="n">
        <v>0</v>
      </c>
      <c r="O6667" t="n">
        <v>0</v>
      </c>
      <c r="P6667" t="n">
        <v>0</v>
      </c>
      <c r="Q6667" t="n">
        <v>0</v>
      </c>
      <c r="R6667" s="2" t="inlineStr"/>
    </row>
    <row r="6668" ht="15" customHeight="1">
      <c r="A6668" t="inlineStr">
        <is>
          <t>A 46337-2025</t>
        </is>
      </c>
      <c r="B6668" s="1" t="n">
        <v>45925.46216435185</v>
      </c>
      <c r="C6668" s="1" t="n">
        <v>45962</v>
      </c>
      <c r="D6668" t="inlineStr">
        <is>
          <t>JÖNKÖPINGS LÄN</t>
        </is>
      </c>
      <c r="E6668" t="inlineStr">
        <is>
          <t>TRANÅS</t>
        </is>
      </c>
      <c r="F6668" t="inlineStr">
        <is>
          <t>Allmännings- och besparingsskogar</t>
        </is>
      </c>
      <c r="G6668" t="n">
        <v>0.7</v>
      </c>
      <c r="H6668" t="n">
        <v>0</v>
      </c>
      <c r="I6668" t="n">
        <v>0</v>
      </c>
      <c r="J6668" t="n">
        <v>0</v>
      </c>
      <c r="K6668" t="n">
        <v>0</v>
      </c>
      <c r="L6668" t="n">
        <v>0</v>
      </c>
      <c r="M6668" t="n">
        <v>0</v>
      </c>
      <c r="N6668" t="n">
        <v>0</v>
      </c>
      <c r="O6668" t="n">
        <v>0</v>
      </c>
      <c r="P6668" t="n">
        <v>0</v>
      </c>
      <c r="Q6668" t="n">
        <v>0</v>
      </c>
      <c r="R6668" s="2" t="inlineStr"/>
    </row>
    <row r="6669" ht="15" customHeight="1">
      <c r="A6669" t="inlineStr">
        <is>
          <t>A 38112-2025</t>
        </is>
      </c>
      <c r="B6669" s="1" t="n">
        <v>45882.51918981481</v>
      </c>
      <c r="C6669" s="1" t="n">
        <v>45962</v>
      </c>
      <c r="D6669" t="inlineStr">
        <is>
          <t>JÖNKÖPINGS LÄN</t>
        </is>
      </c>
      <c r="E6669" t="inlineStr">
        <is>
          <t>SÄVSJÖ</t>
        </is>
      </c>
      <c r="G6669" t="n">
        <v>5.7</v>
      </c>
      <c r="H6669" t="n">
        <v>0</v>
      </c>
      <c r="I6669" t="n">
        <v>0</v>
      </c>
      <c r="J6669" t="n">
        <v>0</v>
      </c>
      <c r="K6669" t="n">
        <v>0</v>
      </c>
      <c r="L6669" t="n">
        <v>0</v>
      </c>
      <c r="M6669" t="n">
        <v>0</v>
      </c>
      <c r="N6669" t="n">
        <v>0</v>
      </c>
      <c r="O6669" t="n">
        <v>0</v>
      </c>
      <c r="P6669" t="n">
        <v>0</v>
      </c>
      <c r="Q6669" t="n">
        <v>0</v>
      </c>
      <c r="R6669" s="2" t="inlineStr"/>
    </row>
    <row r="6670" ht="15" customHeight="1">
      <c r="A6670" t="inlineStr">
        <is>
          <t>A 46347-2025</t>
        </is>
      </c>
      <c r="B6670" s="1" t="n">
        <v>45925.4797800926</v>
      </c>
      <c r="C6670" s="1" t="n">
        <v>45962</v>
      </c>
      <c r="D6670" t="inlineStr">
        <is>
          <t>JÖNKÖPINGS LÄN</t>
        </is>
      </c>
      <c r="E6670" t="inlineStr">
        <is>
          <t>VAGGERYD</t>
        </is>
      </c>
      <c r="G6670" t="n">
        <v>1.4</v>
      </c>
      <c r="H6670" t="n">
        <v>0</v>
      </c>
      <c r="I6670" t="n">
        <v>0</v>
      </c>
      <c r="J6670" t="n">
        <v>0</v>
      </c>
      <c r="K6670" t="n">
        <v>0</v>
      </c>
      <c r="L6670" t="n">
        <v>0</v>
      </c>
      <c r="M6670" t="n">
        <v>0</v>
      </c>
      <c r="N6670" t="n">
        <v>0</v>
      </c>
      <c r="O6670" t="n">
        <v>0</v>
      </c>
      <c r="P6670" t="n">
        <v>0</v>
      </c>
      <c r="Q6670" t="n">
        <v>0</v>
      </c>
      <c r="R6670" s="2" t="inlineStr"/>
    </row>
    <row r="6671" ht="15" customHeight="1">
      <c r="A6671" t="inlineStr">
        <is>
          <t>A 23306-2025</t>
        </is>
      </c>
      <c r="B6671" s="1" t="n">
        <v>45791.60128472222</v>
      </c>
      <c r="C6671" s="1" t="n">
        <v>45962</v>
      </c>
      <c r="D6671" t="inlineStr">
        <is>
          <t>JÖNKÖPINGS LÄN</t>
        </is>
      </c>
      <c r="E6671" t="inlineStr">
        <is>
          <t>VETLANDA</t>
        </is>
      </c>
      <c r="G6671" t="n">
        <v>4.4</v>
      </c>
      <c r="H6671" t="n">
        <v>0</v>
      </c>
      <c r="I6671" t="n">
        <v>0</v>
      </c>
      <c r="J6671" t="n">
        <v>0</v>
      </c>
      <c r="K6671" t="n">
        <v>0</v>
      </c>
      <c r="L6671" t="n">
        <v>0</v>
      </c>
      <c r="M6671" t="n">
        <v>0</v>
      </c>
      <c r="N6671" t="n">
        <v>0</v>
      </c>
      <c r="O6671" t="n">
        <v>0</v>
      </c>
      <c r="P6671" t="n">
        <v>0</v>
      </c>
      <c r="Q6671" t="n">
        <v>0</v>
      </c>
      <c r="R6671" s="2" t="inlineStr"/>
    </row>
    <row r="6672" ht="15" customHeight="1">
      <c r="A6672" t="inlineStr">
        <is>
          <t>A 16074-2024</t>
        </is>
      </c>
      <c r="B6672" s="1" t="n">
        <v>45406.34086805556</v>
      </c>
      <c r="C6672" s="1" t="n">
        <v>45962</v>
      </c>
      <c r="D6672" t="inlineStr">
        <is>
          <t>JÖNKÖPINGS LÄN</t>
        </is>
      </c>
      <c r="E6672" t="inlineStr">
        <is>
          <t>VETLANDA</t>
        </is>
      </c>
      <c r="G6672" t="n">
        <v>0.5</v>
      </c>
      <c r="H6672" t="n">
        <v>0</v>
      </c>
      <c r="I6672" t="n">
        <v>0</v>
      </c>
      <c r="J6672" t="n">
        <v>0</v>
      </c>
      <c r="K6672" t="n">
        <v>0</v>
      </c>
      <c r="L6672" t="n">
        <v>0</v>
      </c>
      <c r="M6672" t="n">
        <v>0</v>
      </c>
      <c r="N6672" t="n">
        <v>0</v>
      </c>
      <c r="O6672" t="n">
        <v>0</v>
      </c>
      <c r="P6672" t="n">
        <v>0</v>
      </c>
      <c r="Q6672" t="n">
        <v>0</v>
      </c>
      <c r="R6672" s="2" t="inlineStr"/>
    </row>
    <row r="6673" ht="15" customHeight="1">
      <c r="A6673" t="inlineStr">
        <is>
          <t>A 36147-2024</t>
        </is>
      </c>
      <c r="B6673" s="1" t="n">
        <v>45534.36645833333</v>
      </c>
      <c r="C6673" s="1" t="n">
        <v>45962</v>
      </c>
      <c r="D6673" t="inlineStr">
        <is>
          <t>JÖNKÖPINGS LÄN</t>
        </is>
      </c>
      <c r="E6673" t="inlineStr">
        <is>
          <t>JÖNKÖPING</t>
        </is>
      </c>
      <c r="G6673" t="n">
        <v>0.8</v>
      </c>
      <c r="H6673" t="n">
        <v>0</v>
      </c>
      <c r="I6673" t="n">
        <v>0</v>
      </c>
      <c r="J6673" t="n">
        <v>0</v>
      </c>
      <c r="K6673" t="n">
        <v>0</v>
      </c>
      <c r="L6673" t="n">
        <v>0</v>
      </c>
      <c r="M6673" t="n">
        <v>0</v>
      </c>
      <c r="N6673" t="n">
        <v>0</v>
      </c>
      <c r="O6673" t="n">
        <v>0</v>
      </c>
      <c r="P6673" t="n">
        <v>0</v>
      </c>
      <c r="Q6673" t="n">
        <v>0</v>
      </c>
      <c r="R6673" s="2" t="inlineStr"/>
    </row>
    <row r="6674" ht="15" customHeight="1">
      <c r="A6674" t="inlineStr">
        <is>
          <t>A 46324-2025</t>
        </is>
      </c>
      <c r="B6674" s="1" t="n">
        <v>45925.45210648148</v>
      </c>
      <c r="C6674" s="1" t="n">
        <v>45962</v>
      </c>
      <c r="D6674" t="inlineStr">
        <is>
          <t>JÖNKÖPINGS LÄN</t>
        </is>
      </c>
      <c r="E6674" t="inlineStr">
        <is>
          <t>TRANÅS</t>
        </is>
      </c>
      <c r="F6674" t="inlineStr">
        <is>
          <t>Allmännings- och besparingsskogar</t>
        </is>
      </c>
      <c r="G6674" t="n">
        <v>9.800000000000001</v>
      </c>
      <c r="H6674" t="n">
        <v>0</v>
      </c>
      <c r="I6674" t="n">
        <v>0</v>
      </c>
      <c r="J6674" t="n">
        <v>0</v>
      </c>
      <c r="K6674" t="n">
        <v>0</v>
      </c>
      <c r="L6674" t="n">
        <v>0</v>
      </c>
      <c r="M6674" t="n">
        <v>0</v>
      </c>
      <c r="N6674" t="n">
        <v>0</v>
      </c>
      <c r="O6674" t="n">
        <v>0</v>
      </c>
      <c r="P6674" t="n">
        <v>0</v>
      </c>
      <c r="Q6674" t="n">
        <v>0</v>
      </c>
      <c r="R6674" s="2" t="inlineStr"/>
    </row>
    <row r="6675" ht="15" customHeight="1">
      <c r="A6675" t="inlineStr">
        <is>
          <t>A 46096-2025</t>
        </is>
      </c>
      <c r="B6675" s="1" t="n">
        <v>45924</v>
      </c>
      <c r="C6675" s="1" t="n">
        <v>45962</v>
      </c>
      <c r="D6675" t="inlineStr">
        <is>
          <t>JÖNKÖPINGS LÄN</t>
        </is>
      </c>
      <c r="E6675" t="inlineStr">
        <is>
          <t>NÄSSJÖ</t>
        </is>
      </c>
      <c r="G6675" t="n">
        <v>1.2</v>
      </c>
      <c r="H6675" t="n">
        <v>0</v>
      </c>
      <c r="I6675" t="n">
        <v>0</v>
      </c>
      <c r="J6675" t="n">
        <v>0</v>
      </c>
      <c r="K6675" t="n">
        <v>0</v>
      </c>
      <c r="L6675" t="n">
        <v>0</v>
      </c>
      <c r="M6675" t="n">
        <v>0</v>
      </c>
      <c r="N6675" t="n">
        <v>0</v>
      </c>
      <c r="O6675" t="n">
        <v>0</v>
      </c>
      <c r="P6675" t="n">
        <v>0</v>
      </c>
      <c r="Q6675" t="n">
        <v>0</v>
      </c>
      <c r="R6675" s="2" t="inlineStr"/>
    </row>
    <row r="6676" ht="15" customHeight="1">
      <c r="A6676" t="inlineStr">
        <is>
          <t>A 38403-2025</t>
        </is>
      </c>
      <c r="B6676" s="1" t="n">
        <v>45883.58956018519</v>
      </c>
      <c r="C6676" s="1" t="n">
        <v>45962</v>
      </c>
      <c r="D6676" t="inlineStr">
        <is>
          <t>JÖNKÖPINGS LÄN</t>
        </is>
      </c>
      <c r="E6676" t="inlineStr">
        <is>
          <t>JÖNKÖPING</t>
        </is>
      </c>
      <c r="G6676" t="n">
        <v>7.4</v>
      </c>
      <c r="H6676" t="n">
        <v>0</v>
      </c>
      <c r="I6676" t="n">
        <v>0</v>
      </c>
      <c r="J6676" t="n">
        <v>0</v>
      </c>
      <c r="K6676" t="n">
        <v>0</v>
      </c>
      <c r="L6676" t="n">
        <v>0</v>
      </c>
      <c r="M6676" t="n">
        <v>0</v>
      </c>
      <c r="N6676" t="n">
        <v>0</v>
      </c>
      <c r="O6676" t="n">
        <v>0</v>
      </c>
      <c r="P6676" t="n">
        <v>0</v>
      </c>
      <c r="Q6676" t="n">
        <v>0</v>
      </c>
      <c r="R6676" s="2" t="inlineStr"/>
    </row>
    <row r="6677" ht="15" customHeight="1">
      <c r="A6677" t="inlineStr">
        <is>
          <t>A 38407-2025</t>
        </is>
      </c>
      <c r="B6677" s="1" t="n">
        <v>45883.59239583334</v>
      </c>
      <c r="C6677" s="1" t="n">
        <v>45962</v>
      </c>
      <c r="D6677" t="inlineStr">
        <is>
          <t>JÖNKÖPINGS LÄN</t>
        </is>
      </c>
      <c r="E6677" t="inlineStr">
        <is>
          <t>JÖNKÖPING</t>
        </is>
      </c>
      <c r="G6677" t="n">
        <v>8.6</v>
      </c>
      <c r="H6677" t="n">
        <v>0</v>
      </c>
      <c r="I6677" t="n">
        <v>0</v>
      </c>
      <c r="J6677" t="n">
        <v>0</v>
      </c>
      <c r="K6677" t="n">
        <v>0</v>
      </c>
      <c r="L6677" t="n">
        <v>0</v>
      </c>
      <c r="M6677" t="n">
        <v>0</v>
      </c>
      <c r="N6677" t="n">
        <v>0</v>
      </c>
      <c r="O6677" t="n">
        <v>0</v>
      </c>
      <c r="P6677" t="n">
        <v>0</v>
      </c>
      <c r="Q6677" t="n">
        <v>0</v>
      </c>
      <c r="R6677" s="2" t="inlineStr"/>
    </row>
    <row r="6678" ht="15" customHeight="1">
      <c r="A6678" t="inlineStr">
        <is>
          <t>A 38415-2025</t>
        </is>
      </c>
      <c r="B6678" s="1" t="n">
        <v>45883.60604166667</v>
      </c>
      <c r="C6678" s="1" t="n">
        <v>45962</v>
      </c>
      <c r="D6678" t="inlineStr">
        <is>
          <t>JÖNKÖPINGS LÄN</t>
        </is>
      </c>
      <c r="E6678" t="inlineStr">
        <is>
          <t>JÖNKÖPING</t>
        </is>
      </c>
      <c r="G6678" t="n">
        <v>3.9</v>
      </c>
      <c r="H6678" t="n">
        <v>0</v>
      </c>
      <c r="I6678" t="n">
        <v>0</v>
      </c>
      <c r="J6678" t="n">
        <v>0</v>
      </c>
      <c r="K6678" t="n">
        <v>0</v>
      </c>
      <c r="L6678" t="n">
        <v>0</v>
      </c>
      <c r="M6678" t="n">
        <v>0</v>
      </c>
      <c r="N6678" t="n">
        <v>0</v>
      </c>
      <c r="O6678" t="n">
        <v>0</v>
      </c>
      <c r="P6678" t="n">
        <v>0</v>
      </c>
      <c r="Q6678" t="n">
        <v>0</v>
      </c>
      <c r="R6678" s="2" t="inlineStr"/>
    </row>
    <row r="6679" ht="15" customHeight="1">
      <c r="A6679" t="inlineStr">
        <is>
          <t>A 23354-2023</t>
        </is>
      </c>
      <c r="B6679" s="1" t="n">
        <v>45076</v>
      </c>
      <c r="C6679" s="1" t="n">
        <v>45962</v>
      </c>
      <c r="D6679" t="inlineStr">
        <is>
          <t>JÖNKÖPINGS LÄN</t>
        </is>
      </c>
      <c r="E6679" t="inlineStr">
        <is>
          <t>ANEBY</t>
        </is>
      </c>
      <c r="G6679" t="n">
        <v>0.4</v>
      </c>
      <c r="H6679" t="n">
        <v>0</v>
      </c>
      <c r="I6679" t="n">
        <v>0</v>
      </c>
      <c r="J6679" t="n">
        <v>0</v>
      </c>
      <c r="K6679" t="n">
        <v>0</v>
      </c>
      <c r="L6679" t="n">
        <v>0</v>
      </c>
      <c r="M6679" t="n">
        <v>0</v>
      </c>
      <c r="N6679" t="n">
        <v>0</v>
      </c>
      <c r="O6679" t="n">
        <v>0</v>
      </c>
      <c r="P6679" t="n">
        <v>0</v>
      </c>
      <c r="Q6679" t="n">
        <v>0</v>
      </c>
      <c r="R6679" s="2" t="inlineStr"/>
    </row>
    <row r="6680" ht="15" customHeight="1">
      <c r="A6680" t="inlineStr">
        <is>
          <t>A 46134-2025</t>
        </is>
      </c>
      <c r="B6680" s="1" t="n">
        <v>45924.59579861111</v>
      </c>
      <c r="C6680" s="1" t="n">
        <v>45962</v>
      </c>
      <c r="D6680" t="inlineStr">
        <is>
          <t>JÖNKÖPINGS LÄN</t>
        </is>
      </c>
      <c r="E6680" t="inlineStr">
        <is>
          <t>EKSJÖ</t>
        </is>
      </c>
      <c r="G6680" t="n">
        <v>1.2</v>
      </c>
      <c r="H6680" t="n">
        <v>0</v>
      </c>
      <c r="I6680" t="n">
        <v>0</v>
      </c>
      <c r="J6680" t="n">
        <v>0</v>
      </c>
      <c r="K6680" t="n">
        <v>0</v>
      </c>
      <c r="L6680" t="n">
        <v>0</v>
      </c>
      <c r="M6680" t="n">
        <v>0</v>
      </c>
      <c r="N6680" t="n">
        <v>0</v>
      </c>
      <c r="O6680" t="n">
        <v>0</v>
      </c>
      <c r="P6680" t="n">
        <v>0</v>
      </c>
      <c r="Q6680" t="n">
        <v>0</v>
      </c>
      <c r="R6680" s="2" t="inlineStr"/>
    </row>
    <row r="6681" ht="15" customHeight="1">
      <c r="A6681" t="inlineStr">
        <is>
          <t>A 54394-2024</t>
        </is>
      </c>
      <c r="B6681" s="1" t="n">
        <v>45617.45760416667</v>
      </c>
      <c r="C6681" s="1" t="n">
        <v>45962</v>
      </c>
      <c r="D6681" t="inlineStr">
        <is>
          <t>JÖNKÖPINGS LÄN</t>
        </is>
      </c>
      <c r="E6681" t="inlineStr">
        <is>
          <t>JÖNKÖPING</t>
        </is>
      </c>
      <c r="G6681" t="n">
        <v>0.5</v>
      </c>
      <c r="H6681" t="n">
        <v>0</v>
      </c>
      <c r="I6681" t="n">
        <v>0</v>
      </c>
      <c r="J6681" t="n">
        <v>0</v>
      </c>
      <c r="K6681" t="n">
        <v>0</v>
      </c>
      <c r="L6681" t="n">
        <v>0</v>
      </c>
      <c r="M6681" t="n">
        <v>0</v>
      </c>
      <c r="N6681" t="n">
        <v>0</v>
      </c>
      <c r="O6681" t="n">
        <v>0</v>
      </c>
      <c r="P6681" t="n">
        <v>0</v>
      </c>
      <c r="Q6681" t="n">
        <v>0</v>
      </c>
      <c r="R6681" s="2" t="inlineStr"/>
    </row>
    <row r="6682" ht="15" customHeight="1">
      <c r="A6682" t="inlineStr">
        <is>
          <t>A 38275-2025</t>
        </is>
      </c>
      <c r="B6682" s="1" t="n">
        <v>45883.40858796296</v>
      </c>
      <c r="C6682" s="1" t="n">
        <v>45962</v>
      </c>
      <c r="D6682" t="inlineStr">
        <is>
          <t>JÖNKÖPINGS LÄN</t>
        </is>
      </c>
      <c r="E6682" t="inlineStr">
        <is>
          <t>VETLANDA</t>
        </is>
      </c>
      <c r="G6682" t="n">
        <v>1.5</v>
      </c>
      <c r="H6682" t="n">
        <v>0</v>
      </c>
      <c r="I6682" t="n">
        <v>0</v>
      </c>
      <c r="J6682" t="n">
        <v>0</v>
      </c>
      <c r="K6682" t="n">
        <v>0</v>
      </c>
      <c r="L6682" t="n">
        <v>0</v>
      </c>
      <c r="M6682" t="n">
        <v>0</v>
      </c>
      <c r="N6682" t="n">
        <v>0</v>
      </c>
      <c r="O6682" t="n">
        <v>0</v>
      </c>
      <c r="P6682" t="n">
        <v>0</v>
      </c>
      <c r="Q6682" t="n">
        <v>0</v>
      </c>
      <c r="R6682" s="2" t="inlineStr"/>
    </row>
    <row r="6683" ht="15" customHeight="1">
      <c r="A6683" t="inlineStr">
        <is>
          <t>A 38125-2025</t>
        </is>
      </c>
      <c r="B6683" s="1" t="n">
        <v>45882.55325231481</v>
      </c>
      <c r="C6683" s="1" t="n">
        <v>45962</v>
      </c>
      <c r="D6683" t="inlineStr">
        <is>
          <t>JÖNKÖPINGS LÄN</t>
        </is>
      </c>
      <c r="E6683" t="inlineStr">
        <is>
          <t>HABO</t>
        </is>
      </c>
      <c r="G6683" t="n">
        <v>0.8</v>
      </c>
      <c r="H6683" t="n">
        <v>0</v>
      </c>
      <c r="I6683" t="n">
        <v>0</v>
      </c>
      <c r="J6683" t="n">
        <v>0</v>
      </c>
      <c r="K6683" t="n">
        <v>0</v>
      </c>
      <c r="L6683" t="n">
        <v>0</v>
      </c>
      <c r="M6683" t="n">
        <v>0</v>
      </c>
      <c r="N6683" t="n">
        <v>0</v>
      </c>
      <c r="O6683" t="n">
        <v>0</v>
      </c>
      <c r="P6683" t="n">
        <v>0</v>
      </c>
      <c r="Q6683" t="n">
        <v>0</v>
      </c>
      <c r="R6683" s="2" t="inlineStr"/>
    </row>
    <row r="6684" ht="15" customHeight="1">
      <c r="A6684" t="inlineStr">
        <is>
          <t>A 48595-2025</t>
        </is>
      </c>
      <c r="B6684" s="1" t="n">
        <v>45936.46378472223</v>
      </c>
      <c r="C6684" s="1" t="n">
        <v>45962</v>
      </c>
      <c r="D6684" t="inlineStr">
        <is>
          <t>JÖNKÖPINGS LÄN</t>
        </is>
      </c>
      <c r="E6684" t="inlineStr">
        <is>
          <t>VETLANDA</t>
        </is>
      </c>
      <c r="G6684" t="n">
        <v>1.7</v>
      </c>
      <c r="H6684" t="n">
        <v>0</v>
      </c>
      <c r="I6684" t="n">
        <v>0</v>
      </c>
      <c r="J6684" t="n">
        <v>0</v>
      </c>
      <c r="K6684" t="n">
        <v>0</v>
      </c>
      <c r="L6684" t="n">
        <v>0</v>
      </c>
      <c r="M6684" t="n">
        <v>0</v>
      </c>
      <c r="N6684" t="n">
        <v>0</v>
      </c>
      <c r="O6684" t="n">
        <v>0</v>
      </c>
      <c r="P6684" t="n">
        <v>0</v>
      </c>
      <c r="Q6684" t="n">
        <v>0</v>
      </c>
      <c r="R6684" s="2" t="inlineStr"/>
    </row>
    <row r="6685" ht="15" customHeight="1">
      <c r="A6685" t="inlineStr">
        <is>
          <t>A 6741-2025</t>
        </is>
      </c>
      <c r="B6685" s="1" t="n">
        <v>45700.60138888889</v>
      </c>
      <c r="C6685" s="1" t="n">
        <v>45962</v>
      </c>
      <c r="D6685" t="inlineStr">
        <is>
          <t>JÖNKÖPINGS LÄN</t>
        </is>
      </c>
      <c r="E6685" t="inlineStr">
        <is>
          <t>JÖNKÖPING</t>
        </is>
      </c>
      <c r="G6685" t="n">
        <v>1.9</v>
      </c>
      <c r="H6685" t="n">
        <v>0</v>
      </c>
      <c r="I6685" t="n">
        <v>0</v>
      </c>
      <c r="J6685" t="n">
        <v>0</v>
      </c>
      <c r="K6685" t="n">
        <v>0</v>
      </c>
      <c r="L6685" t="n">
        <v>0</v>
      </c>
      <c r="M6685" t="n">
        <v>0</v>
      </c>
      <c r="N6685" t="n">
        <v>0</v>
      </c>
      <c r="O6685" t="n">
        <v>0</v>
      </c>
      <c r="P6685" t="n">
        <v>0</v>
      </c>
      <c r="Q6685" t="n">
        <v>0</v>
      </c>
      <c r="R6685" s="2" t="inlineStr"/>
    </row>
    <row r="6686" ht="15" customHeight="1">
      <c r="A6686" t="inlineStr">
        <is>
          <t>A 6747-2025</t>
        </is>
      </c>
      <c r="B6686" s="1" t="n">
        <v>45700.60572916667</v>
      </c>
      <c r="C6686" s="1" t="n">
        <v>45962</v>
      </c>
      <c r="D6686" t="inlineStr">
        <is>
          <t>JÖNKÖPINGS LÄN</t>
        </is>
      </c>
      <c r="E6686" t="inlineStr">
        <is>
          <t>GNOSJÖ</t>
        </is>
      </c>
      <c r="G6686" t="n">
        <v>0.5</v>
      </c>
      <c r="H6686" t="n">
        <v>0</v>
      </c>
      <c r="I6686" t="n">
        <v>0</v>
      </c>
      <c r="J6686" t="n">
        <v>0</v>
      </c>
      <c r="K6686" t="n">
        <v>0</v>
      </c>
      <c r="L6686" t="n">
        <v>0</v>
      </c>
      <c r="M6686" t="n">
        <v>0</v>
      </c>
      <c r="N6686" t="n">
        <v>0</v>
      </c>
      <c r="O6686" t="n">
        <v>0</v>
      </c>
      <c r="P6686" t="n">
        <v>0</v>
      </c>
      <c r="Q6686" t="n">
        <v>0</v>
      </c>
      <c r="R6686" s="2" t="inlineStr"/>
    </row>
    <row r="6687" ht="15" customHeight="1">
      <c r="A6687" t="inlineStr">
        <is>
          <t>A 18413-2025</t>
        </is>
      </c>
      <c r="B6687" s="1" t="n">
        <v>45762.61453703704</v>
      </c>
      <c r="C6687" s="1" t="n">
        <v>45962</v>
      </c>
      <c r="D6687" t="inlineStr">
        <is>
          <t>JÖNKÖPINGS LÄN</t>
        </is>
      </c>
      <c r="E6687" t="inlineStr">
        <is>
          <t>EKSJÖ</t>
        </is>
      </c>
      <c r="G6687" t="n">
        <v>3.8</v>
      </c>
      <c r="H6687" t="n">
        <v>0</v>
      </c>
      <c r="I6687" t="n">
        <v>0</v>
      </c>
      <c r="J6687" t="n">
        <v>0</v>
      </c>
      <c r="K6687" t="n">
        <v>0</v>
      </c>
      <c r="L6687" t="n">
        <v>0</v>
      </c>
      <c r="M6687" t="n">
        <v>0</v>
      </c>
      <c r="N6687" t="n">
        <v>0</v>
      </c>
      <c r="O6687" t="n">
        <v>0</v>
      </c>
      <c r="P6687" t="n">
        <v>0</v>
      </c>
      <c r="Q6687" t="n">
        <v>0</v>
      </c>
      <c r="R6687" s="2" t="inlineStr"/>
    </row>
    <row r="6688" ht="15" customHeight="1">
      <c r="A6688" t="inlineStr">
        <is>
          <t>A 38412-2025</t>
        </is>
      </c>
      <c r="B6688" s="1" t="n">
        <v>45883.60167824074</v>
      </c>
      <c r="C6688" s="1" t="n">
        <v>45962</v>
      </c>
      <c r="D6688" t="inlineStr">
        <is>
          <t>JÖNKÖPINGS LÄN</t>
        </is>
      </c>
      <c r="E6688" t="inlineStr">
        <is>
          <t>VAGGERYD</t>
        </is>
      </c>
      <c r="G6688" t="n">
        <v>5.6</v>
      </c>
      <c r="H6688" t="n">
        <v>0</v>
      </c>
      <c r="I6688" t="n">
        <v>0</v>
      </c>
      <c r="J6688" t="n">
        <v>0</v>
      </c>
      <c r="K6688" t="n">
        <v>0</v>
      </c>
      <c r="L6688" t="n">
        <v>0</v>
      </c>
      <c r="M6688" t="n">
        <v>0</v>
      </c>
      <c r="N6688" t="n">
        <v>0</v>
      </c>
      <c r="O6688" t="n">
        <v>0</v>
      </c>
      <c r="P6688" t="n">
        <v>0</v>
      </c>
      <c r="Q6688" t="n">
        <v>0</v>
      </c>
      <c r="R6688" s="2" t="inlineStr"/>
    </row>
    <row r="6689" ht="15" customHeight="1">
      <c r="A6689" t="inlineStr">
        <is>
          <t>A 46374-2025</t>
        </is>
      </c>
      <c r="B6689" s="1" t="n">
        <v>45925.51032407407</v>
      </c>
      <c r="C6689" s="1" t="n">
        <v>45962</v>
      </c>
      <c r="D6689" t="inlineStr">
        <is>
          <t>JÖNKÖPINGS LÄN</t>
        </is>
      </c>
      <c r="E6689" t="inlineStr">
        <is>
          <t>JÖNKÖPING</t>
        </is>
      </c>
      <c r="G6689" t="n">
        <v>2.6</v>
      </c>
      <c r="H6689" t="n">
        <v>0</v>
      </c>
      <c r="I6689" t="n">
        <v>0</v>
      </c>
      <c r="J6689" t="n">
        <v>0</v>
      </c>
      <c r="K6689" t="n">
        <v>0</v>
      </c>
      <c r="L6689" t="n">
        <v>0</v>
      </c>
      <c r="M6689" t="n">
        <v>0</v>
      </c>
      <c r="N6689" t="n">
        <v>0</v>
      </c>
      <c r="O6689" t="n">
        <v>0</v>
      </c>
      <c r="P6689" t="n">
        <v>0</v>
      </c>
      <c r="Q6689" t="n">
        <v>0</v>
      </c>
      <c r="R6689" s="2" t="inlineStr"/>
    </row>
    <row r="6690" ht="15" customHeight="1">
      <c r="A6690" t="inlineStr">
        <is>
          <t>A 24784-2024</t>
        </is>
      </c>
      <c r="B6690" s="1" t="n">
        <v>45460.80543981482</v>
      </c>
      <c r="C6690" s="1" t="n">
        <v>45962</v>
      </c>
      <c r="D6690" t="inlineStr">
        <is>
          <t>JÖNKÖPINGS LÄN</t>
        </is>
      </c>
      <c r="E6690" t="inlineStr">
        <is>
          <t>ANEBY</t>
        </is>
      </c>
      <c r="G6690" t="n">
        <v>0.6</v>
      </c>
      <c r="H6690" t="n">
        <v>0</v>
      </c>
      <c r="I6690" t="n">
        <v>0</v>
      </c>
      <c r="J6690" t="n">
        <v>0</v>
      </c>
      <c r="K6690" t="n">
        <v>0</v>
      </c>
      <c r="L6690" t="n">
        <v>0</v>
      </c>
      <c r="M6690" t="n">
        <v>0</v>
      </c>
      <c r="N6690" t="n">
        <v>0</v>
      </c>
      <c r="O6690" t="n">
        <v>0</v>
      </c>
      <c r="P6690" t="n">
        <v>0</v>
      </c>
      <c r="Q6690" t="n">
        <v>0</v>
      </c>
      <c r="R6690" s="2" t="inlineStr"/>
    </row>
    <row r="6691" ht="15" customHeight="1">
      <c r="A6691" t="inlineStr">
        <is>
          <t>A 741-2025</t>
        </is>
      </c>
      <c r="B6691" s="1" t="n">
        <v>45665.42128472222</v>
      </c>
      <c r="C6691" s="1" t="n">
        <v>45962</v>
      </c>
      <c r="D6691" t="inlineStr">
        <is>
          <t>JÖNKÖPINGS LÄN</t>
        </is>
      </c>
      <c r="E6691" t="inlineStr">
        <is>
          <t>VETLANDA</t>
        </is>
      </c>
      <c r="G6691" t="n">
        <v>3.5</v>
      </c>
      <c r="H6691" t="n">
        <v>0</v>
      </c>
      <c r="I6691" t="n">
        <v>0</v>
      </c>
      <c r="J6691" t="n">
        <v>0</v>
      </c>
      <c r="K6691" t="n">
        <v>0</v>
      </c>
      <c r="L6691" t="n">
        <v>0</v>
      </c>
      <c r="M6691" t="n">
        <v>0</v>
      </c>
      <c r="N6691" t="n">
        <v>0</v>
      </c>
      <c r="O6691" t="n">
        <v>0</v>
      </c>
      <c r="P6691" t="n">
        <v>0</v>
      </c>
      <c r="Q6691" t="n">
        <v>0</v>
      </c>
      <c r="R6691" s="2" t="inlineStr"/>
    </row>
    <row r="6692" ht="15" customHeight="1">
      <c r="A6692" t="inlineStr">
        <is>
          <t>A 38280-2025</t>
        </is>
      </c>
      <c r="B6692" s="1" t="n">
        <v>45882</v>
      </c>
      <c r="C6692" s="1" t="n">
        <v>45962</v>
      </c>
      <c r="D6692" t="inlineStr">
        <is>
          <t>JÖNKÖPINGS LÄN</t>
        </is>
      </c>
      <c r="E6692" t="inlineStr">
        <is>
          <t>VETLANDA</t>
        </is>
      </c>
      <c r="G6692" t="n">
        <v>4.1</v>
      </c>
      <c r="H6692" t="n">
        <v>0</v>
      </c>
      <c r="I6692" t="n">
        <v>0</v>
      </c>
      <c r="J6692" t="n">
        <v>0</v>
      </c>
      <c r="K6692" t="n">
        <v>0</v>
      </c>
      <c r="L6692" t="n">
        <v>0</v>
      </c>
      <c r="M6692" t="n">
        <v>0</v>
      </c>
      <c r="N6692" t="n">
        <v>0</v>
      </c>
      <c r="O6692" t="n">
        <v>0</v>
      </c>
      <c r="P6692" t="n">
        <v>0</v>
      </c>
      <c r="Q6692" t="n">
        <v>0</v>
      </c>
      <c r="R6692" s="2" t="inlineStr"/>
    </row>
    <row r="6693" ht="15" customHeight="1">
      <c r="A6693" t="inlineStr">
        <is>
          <t>A 53960-2022</t>
        </is>
      </c>
      <c r="B6693" s="1" t="n">
        <v>44881</v>
      </c>
      <c r="C6693" s="1" t="n">
        <v>45962</v>
      </c>
      <c r="D6693" t="inlineStr">
        <is>
          <t>JÖNKÖPINGS LÄN</t>
        </is>
      </c>
      <c r="E6693" t="inlineStr">
        <is>
          <t>NÄSSJÖ</t>
        </is>
      </c>
      <c r="G6693" t="n">
        <v>2.8</v>
      </c>
      <c r="H6693" t="n">
        <v>0</v>
      </c>
      <c r="I6693" t="n">
        <v>0</v>
      </c>
      <c r="J6693" t="n">
        <v>0</v>
      </c>
      <c r="K6693" t="n">
        <v>0</v>
      </c>
      <c r="L6693" t="n">
        <v>0</v>
      </c>
      <c r="M6693" t="n">
        <v>0</v>
      </c>
      <c r="N6693" t="n">
        <v>0</v>
      </c>
      <c r="O6693" t="n">
        <v>0</v>
      </c>
      <c r="P6693" t="n">
        <v>0</v>
      </c>
      <c r="Q6693" t="n">
        <v>0</v>
      </c>
      <c r="R6693" s="2" t="inlineStr"/>
    </row>
    <row r="6694" ht="15" customHeight="1">
      <c r="A6694" t="inlineStr">
        <is>
          <t>A 48559-2025</t>
        </is>
      </c>
      <c r="B6694" s="1" t="n">
        <v>45936.43239583333</v>
      </c>
      <c r="C6694" s="1" t="n">
        <v>45962</v>
      </c>
      <c r="D6694" t="inlineStr">
        <is>
          <t>JÖNKÖPINGS LÄN</t>
        </is>
      </c>
      <c r="E6694" t="inlineStr">
        <is>
          <t>ANEBY</t>
        </is>
      </c>
      <c r="G6694" t="n">
        <v>0.6</v>
      </c>
      <c r="H6694" t="n">
        <v>0</v>
      </c>
      <c r="I6694" t="n">
        <v>0</v>
      </c>
      <c r="J6694" t="n">
        <v>0</v>
      </c>
      <c r="K6694" t="n">
        <v>0</v>
      </c>
      <c r="L6694" t="n">
        <v>0</v>
      </c>
      <c r="M6694" t="n">
        <v>0</v>
      </c>
      <c r="N6694" t="n">
        <v>0</v>
      </c>
      <c r="O6694" t="n">
        <v>0</v>
      </c>
      <c r="P6694" t="n">
        <v>0</v>
      </c>
      <c r="Q6694" t="n">
        <v>0</v>
      </c>
      <c r="R6694" s="2" t="inlineStr"/>
    </row>
    <row r="6695" ht="15" customHeight="1">
      <c r="A6695" t="inlineStr">
        <is>
          <t>A 46046-2025</t>
        </is>
      </c>
      <c r="B6695" s="1" t="n">
        <v>45924.45631944444</v>
      </c>
      <c r="C6695" s="1" t="n">
        <v>45962</v>
      </c>
      <c r="D6695" t="inlineStr">
        <is>
          <t>JÖNKÖPINGS LÄN</t>
        </is>
      </c>
      <c r="E6695" t="inlineStr">
        <is>
          <t>VÄRNAMO</t>
        </is>
      </c>
      <c r="G6695" t="n">
        <v>1.4</v>
      </c>
      <c r="H6695" t="n">
        <v>0</v>
      </c>
      <c r="I6695" t="n">
        <v>0</v>
      </c>
      <c r="J6695" t="n">
        <v>0</v>
      </c>
      <c r="K6695" t="n">
        <v>0</v>
      </c>
      <c r="L6695" t="n">
        <v>0</v>
      </c>
      <c r="M6695" t="n">
        <v>0</v>
      </c>
      <c r="N6695" t="n">
        <v>0</v>
      </c>
      <c r="O6695" t="n">
        <v>0</v>
      </c>
      <c r="P6695" t="n">
        <v>0</v>
      </c>
      <c r="Q6695" t="n">
        <v>0</v>
      </c>
      <c r="R6695" s="2" t="inlineStr"/>
    </row>
    <row r="6696" ht="15" customHeight="1">
      <c r="A6696" t="inlineStr">
        <is>
          <t>A 216-2022</t>
        </is>
      </c>
      <c r="B6696" s="1" t="n">
        <v>44564.8419212963</v>
      </c>
      <c r="C6696" s="1" t="n">
        <v>45962</v>
      </c>
      <c r="D6696" t="inlineStr">
        <is>
          <t>JÖNKÖPINGS LÄN</t>
        </is>
      </c>
      <c r="E6696" t="inlineStr">
        <is>
          <t>JÖNKÖPING</t>
        </is>
      </c>
      <c r="G6696" t="n">
        <v>2.1</v>
      </c>
      <c r="H6696" t="n">
        <v>0</v>
      </c>
      <c r="I6696" t="n">
        <v>0</v>
      </c>
      <c r="J6696" t="n">
        <v>0</v>
      </c>
      <c r="K6696" t="n">
        <v>0</v>
      </c>
      <c r="L6696" t="n">
        <v>0</v>
      </c>
      <c r="M6696" t="n">
        <v>0</v>
      </c>
      <c r="N6696" t="n">
        <v>0</v>
      </c>
      <c r="O6696" t="n">
        <v>0</v>
      </c>
      <c r="P6696" t="n">
        <v>0</v>
      </c>
      <c r="Q6696" t="n">
        <v>0</v>
      </c>
      <c r="R6696" s="2" t="inlineStr"/>
    </row>
    <row r="6697" ht="15" customHeight="1">
      <c r="A6697" t="inlineStr">
        <is>
          <t>A 46051-2025</t>
        </is>
      </c>
      <c r="B6697" s="1" t="n">
        <v>45924.46025462963</v>
      </c>
      <c r="C6697" s="1" t="n">
        <v>45962</v>
      </c>
      <c r="D6697" t="inlineStr">
        <is>
          <t>JÖNKÖPINGS LÄN</t>
        </is>
      </c>
      <c r="E6697" t="inlineStr">
        <is>
          <t>VÄRNAMO</t>
        </is>
      </c>
      <c r="G6697" t="n">
        <v>2.5</v>
      </c>
      <c r="H6697" t="n">
        <v>0</v>
      </c>
      <c r="I6697" t="n">
        <v>0</v>
      </c>
      <c r="J6697" t="n">
        <v>0</v>
      </c>
      <c r="K6697" t="n">
        <v>0</v>
      </c>
      <c r="L6697" t="n">
        <v>0</v>
      </c>
      <c r="M6697" t="n">
        <v>0</v>
      </c>
      <c r="N6697" t="n">
        <v>0</v>
      </c>
      <c r="O6697" t="n">
        <v>0</v>
      </c>
      <c r="P6697" t="n">
        <v>0</v>
      </c>
      <c r="Q6697" t="n">
        <v>0</v>
      </c>
      <c r="R6697" s="2" t="inlineStr"/>
    </row>
    <row r="6698" ht="15" customHeight="1">
      <c r="A6698" t="inlineStr">
        <is>
          <t>A 46055-2025</t>
        </is>
      </c>
      <c r="B6698" s="1" t="n">
        <v>45924.4637037037</v>
      </c>
      <c r="C6698" s="1" t="n">
        <v>45962</v>
      </c>
      <c r="D6698" t="inlineStr">
        <is>
          <t>JÖNKÖPINGS LÄN</t>
        </is>
      </c>
      <c r="E6698" t="inlineStr">
        <is>
          <t>VÄRNAMO</t>
        </is>
      </c>
      <c r="G6698" t="n">
        <v>0.5</v>
      </c>
      <c r="H6698" t="n">
        <v>0</v>
      </c>
      <c r="I6698" t="n">
        <v>0</v>
      </c>
      <c r="J6698" t="n">
        <v>0</v>
      </c>
      <c r="K6698" t="n">
        <v>0</v>
      </c>
      <c r="L6698" t="n">
        <v>0</v>
      </c>
      <c r="M6698" t="n">
        <v>0</v>
      </c>
      <c r="N6698" t="n">
        <v>0</v>
      </c>
      <c r="O6698" t="n">
        <v>0</v>
      </c>
      <c r="P6698" t="n">
        <v>0</v>
      </c>
      <c r="Q6698" t="n">
        <v>0</v>
      </c>
      <c r="R6698" s="2" t="inlineStr"/>
    </row>
    <row r="6699" ht="15" customHeight="1">
      <c r="A6699" t="inlineStr">
        <is>
          <t>A 46124-2025</t>
        </is>
      </c>
      <c r="B6699" s="1" t="n">
        <v>45924.58665509259</v>
      </c>
      <c r="C6699" s="1" t="n">
        <v>45962</v>
      </c>
      <c r="D6699" t="inlineStr">
        <is>
          <t>JÖNKÖPINGS LÄN</t>
        </is>
      </c>
      <c r="E6699" t="inlineStr">
        <is>
          <t>NÄSSJÖ</t>
        </is>
      </c>
      <c r="G6699" t="n">
        <v>4.5</v>
      </c>
      <c r="H6699" t="n">
        <v>0</v>
      </c>
      <c r="I6699" t="n">
        <v>0</v>
      </c>
      <c r="J6699" t="n">
        <v>0</v>
      </c>
      <c r="K6699" t="n">
        <v>0</v>
      </c>
      <c r="L6699" t="n">
        <v>0</v>
      </c>
      <c r="M6699" t="n">
        <v>0</v>
      </c>
      <c r="N6699" t="n">
        <v>0</v>
      </c>
      <c r="O6699" t="n">
        <v>0</v>
      </c>
      <c r="P6699" t="n">
        <v>0</v>
      </c>
      <c r="Q6699" t="n">
        <v>0</v>
      </c>
      <c r="R6699" s="2" t="inlineStr"/>
    </row>
    <row r="6700" ht="15" customHeight="1">
      <c r="A6700" t="inlineStr">
        <is>
          <t>A 38032-2025</t>
        </is>
      </c>
      <c r="B6700" s="1" t="n">
        <v>45882.36873842592</v>
      </c>
      <c r="C6700" s="1" t="n">
        <v>45962</v>
      </c>
      <c r="D6700" t="inlineStr">
        <is>
          <t>JÖNKÖPINGS LÄN</t>
        </is>
      </c>
      <c r="E6700" t="inlineStr">
        <is>
          <t>GISLAVED</t>
        </is>
      </c>
      <c r="G6700" t="n">
        <v>4.4</v>
      </c>
      <c r="H6700" t="n">
        <v>0</v>
      </c>
      <c r="I6700" t="n">
        <v>0</v>
      </c>
      <c r="J6700" t="n">
        <v>0</v>
      </c>
      <c r="K6700" t="n">
        <v>0</v>
      </c>
      <c r="L6700" t="n">
        <v>0</v>
      </c>
      <c r="M6700" t="n">
        <v>0</v>
      </c>
      <c r="N6700" t="n">
        <v>0</v>
      </c>
      <c r="O6700" t="n">
        <v>0</v>
      </c>
      <c r="P6700" t="n">
        <v>0</v>
      </c>
      <c r="Q6700" t="n">
        <v>0</v>
      </c>
      <c r="R6700" s="2" t="inlineStr"/>
    </row>
    <row r="6701" ht="15" customHeight="1">
      <c r="A6701" t="inlineStr">
        <is>
          <t>A 39957-2025</t>
        </is>
      </c>
      <c r="B6701" s="1" t="n">
        <v>45892.46936342592</v>
      </c>
      <c r="C6701" s="1" t="n">
        <v>45962</v>
      </c>
      <c r="D6701" t="inlineStr">
        <is>
          <t>JÖNKÖPINGS LÄN</t>
        </is>
      </c>
      <c r="E6701" t="inlineStr">
        <is>
          <t>JÖNKÖPING</t>
        </is>
      </c>
      <c r="G6701" t="n">
        <v>2.6</v>
      </c>
      <c r="H6701" t="n">
        <v>0</v>
      </c>
      <c r="I6701" t="n">
        <v>0</v>
      </c>
      <c r="J6701" t="n">
        <v>0</v>
      </c>
      <c r="K6701" t="n">
        <v>0</v>
      </c>
      <c r="L6701" t="n">
        <v>0</v>
      </c>
      <c r="M6701" t="n">
        <v>0</v>
      </c>
      <c r="N6701" t="n">
        <v>0</v>
      </c>
      <c r="O6701" t="n">
        <v>0</v>
      </c>
      <c r="P6701" t="n">
        <v>0</v>
      </c>
      <c r="Q6701" t="n">
        <v>0</v>
      </c>
      <c r="R6701" s="2" t="inlineStr"/>
    </row>
    <row r="6702" ht="15" customHeight="1">
      <c r="A6702" t="inlineStr">
        <is>
          <t>A 40064-2025</t>
        </is>
      </c>
      <c r="B6702" s="1" t="n">
        <v>45894.43447916667</v>
      </c>
      <c r="C6702" s="1" t="n">
        <v>45962</v>
      </c>
      <c r="D6702" t="inlineStr">
        <is>
          <t>JÖNKÖPINGS LÄN</t>
        </is>
      </c>
      <c r="E6702" t="inlineStr">
        <is>
          <t>SÄVSJÖ</t>
        </is>
      </c>
      <c r="G6702" t="n">
        <v>1.3</v>
      </c>
      <c r="H6702" t="n">
        <v>0</v>
      </c>
      <c r="I6702" t="n">
        <v>0</v>
      </c>
      <c r="J6702" t="n">
        <v>0</v>
      </c>
      <c r="K6702" t="n">
        <v>0</v>
      </c>
      <c r="L6702" t="n">
        <v>0</v>
      </c>
      <c r="M6702" t="n">
        <v>0</v>
      </c>
      <c r="N6702" t="n">
        <v>0</v>
      </c>
      <c r="O6702" t="n">
        <v>0</v>
      </c>
      <c r="P6702" t="n">
        <v>0</v>
      </c>
      <c r="Q6702" t="n">
        <v>0</v>
      </c>
      <c r="R6702" s="2" t="inlineStr"/>
    </row>
    <row r="6703" ht="15" customHeight="1">
      <c r="A6703" t="inlineStr">
        <is>
          <t>A 38414-2025</t>
        </is>
      </c>
      <c r="B6703" s="1" t="n">
        <v>45883.60416666666</v>
      </c>
      <c r="C6703" s="1" t="n">
        <v>45962</v>
      </c>
      <c r="D6703" t="inlineStr">
        <is>
          <t>JÖNKÖPINGS LÄN</t>
        </is>
      </c>
      <c r="E6703" t="inlineStr">
        <is>
          <t>JÖNKÖPING</t>
        </is>
      </c>
      <c r="G6703" t="n">
        <v>1</v>
      </c>
      <c r="H6703" t="n">
        <v>0</v>
      </c>
      <c r="I6703" t="n">
        <v>0</v>
      </c>
      <c r="J6703" t="n">
        <v>0</v>
      </c>
      <c r="K6703" t="n">
        <v>0</v>
      </c>
      <c r="L6703" t="n">
        <v>0</v>
      </c>
      <c r="M6703" t="n">
        <v>0</v>
      </c>
      <c r="N6703" t="n">
        <v>0</v>
      </c>
      <c r="O6703" t="n">
        <v>0</v>
      </c>
      <c r="P6703" t="n">
        <v>0</v>
      </c>
      <c r="Q6703" t="n">
        <v>0</v>
      </c>
      <c r="R6703" s="2" t="inlineStr"/>
    </row>
    <row r="6704" ht="15" customHeight="1">
      <c r="A6704" t="inlineStr">
        <is>
          <t>A 48413-2025</t>
        </is>
      </c>
      <c r="B6704" s="1" t="n">
        <v>45934.46428240741</v>
      </c>
      <c r="C6704" s="1" t="n">
        <v>45962</v>
      </c>
      <c r="D6704" t="inlineStr">
        <is>
          <t>JÖNKÖPINGS LÄN</t>
        </is>
      </c>
      <c r="E6704" t="inlineStr">
        <is>
          <t>JÖNKÖPING</t>
        </is>
      </c>
      <c r="G6704" t="n">
        <v>0.9</v>
      </c>
      <c r="H6704" t="n">
        <v>0</v>
      </c>
      <c r="I6704" t="n">
        <v>0</v>
      </c>
      <c r="J6704" t="n">
        <v>0</v>
      </c>
      <c r="K6704" t="n">
        <v>0</v>
      </c>
      <c r="L6704" t="n">
        <v>0</v>
      </c>
      <c r="M6704" t="n">
        <v>0</v>
      </c>
      <c r="N6704" t="n">
        <v>0</v>
      </c>
      <c r="O6704" t="n">
        <v>0</v>
      </c>
      <c r="P6704" t="n">
        <v>0</v>
      </c>
      <c r="Q6704" t="n">
        <v>0</v>
      </c>
      <c r="R6704" s="2" t="inlineStr"/>
    </row>
    <row r="6705" ht="15" customHeight="1">
      <c r="A6705" t="inlineStr">
        <is>
          <t>A 49376-2021</t>
        </is>
      </c>
      <c r="B6705" s="1" t="n">
        <v>44454</v>
      </c>
      <c r="C6705" s="1" t="n">
        <v>45962</v>
      </c>
      <c r="D6705" t="inlineStr">
        <is>
          <t>JÖNKÖPINGS LÄN</t>
        </is>
      </c>
      <c r="E6705" t="inlineStr">
        <is>
          <t>NÄSSJÖ</t>
        </is>
      </c>
      <c r="G6705" t="n">
        <v>2.7</v>
      </c>
      <c r="H6705" t="n">
        <v>0</v>
      </c>
      <c r="I6705" t="n">
        <v>0</v>
      </c>
      <c r="J6705" t="n">
        <v>0</v>
      </c>
      <c r="K6705" t="n">
        <v>0</v>
      </c>
      <c r="L6705" t="n">
        <v>0</v>
      </c>
      <c r="M6705" t="n">
        <v>0</v>
      </c>
      <c r="N6705" t="n">
        <v>0</v>
      </c>
      <c r="O6705" t="n">
        <v>0</v>
      </c>
      <c r="P6705" t="n">
        <v>0</v>
      </c>
      <c r="Q6705" t="n">
        <v>0</v>
      </c>
      <c r="R6705" s="2" t="inlineStr"/>
    </row>
    <row r="6706" ht="15" customHeight="1">
      <c r="A6706" t="inlineStr">
        <is>
          <t>A 63933-2020</t>
        </is>
      </c>
      <c r="B6706" s="1" t="n">
        <v>44167</v>
      </c>
      <c r="C6706" s="1" t="n">
        <v>45962</v>
      </c>
      <c r="D6706" t="inlineStr">
        <is>
          <t>JÖNKÖPINGS LÄN</t>
        </is>
      </c>
      <c r="E6706" t="inlineStr">
        <is>
          <t>VETLANDA</t>
        </is>
      </c>
      <c r="G6706" t="n">
        <v>0.9</v>
      </c>
      <c r="H6706" t="n">
        <v>0</v>
      </c>
      <c r="I6706" t="n">
        <v>0</v>
      </c>
      <c r="J6706" t="n">
        <v>0</v>
      </c>
      <c r="K6706" t="n">
        <v>0</v>
      </c>
      <c r="L6706" t="n">
        <v>0</v>
      </c>
      <c r="M6706" t="n">
        <v>0</v>
      </c>
      <c r="N6706" t="n">
        <v>0</v>
      </c>
      <c r="O6706" t="n">
        <v>0</v>
      </c>
      <c r="P6706" t="n">
        <v>0</v>
      </c>
      <c r="Q6706" t="n">
        <v>0</v>
      </c>
      <c r="R6706" s="2" t="inlineStr"/>
    </row>
    <row r="6707" ht="15" customHeight="1">
      <c r="A6707" t="inlineStr">
        <is>
          <t>A 42872-2022</t>
        </is>
      </c>
      <c r="B6707" s="1" t="n">
        <v>44832</v>
      </c>
      <c r="C6707" s="1" t="n">
        <v>45962</v>
      </c>
      <c r="D6707" t="inlineStr">
        <is>
          <t>JÖNKÖPINGS LÄN</t>
        </is>
      </c>
      <c r="E6707" t="inlineStr">
        <is>
          <t>MULLSJÖ</t>
        </is>
      </c>
      <c r="G6707" t="n">
        <v>2.2</v>
      </c>
      <c r="H6707" t="n">
        <v>0</v>
      </c>
      <c r="I6707" t="n">
        <v>0</v>
      </c>
      <c r="J6707" t="n">
        <v>0</v>
      </c>
      <c r="K6707" t="n">
        <v>0</v>
      </c>
      <c r="L6707" t="n">
        <v>0</v>
      </c>
      <c r="M6707" t="n">
        <v>0</v>
      </c>
      <c r="N6707" t="n">
        <v>0</v>
      </c>
      <c r="O6707" t="n">
        <v>0</v>
      </c>
      <c r="P6707" t="n">
        <v>0</v>
      </c>
      <c r="Q6707" t="n">
        <v>0</v>
      </c>
      <c r="R6707" s="2" t="inlineStr"/>
    </row>
    <row r="6708" ht="15" customHeight="1">
      <c r="A6708" t="inlineStr">
        <is>
          <t>A 35775-2022</t>
        </is>
      </c>
      <c r="B6708" s="1" t="n">
        <v>44801.56965277778</v>
      </c>
      <c r="C6708" s="1" t="n">
        <v>45962</v>
      </c>
      <c r="D6708" t="inlineStr">
        <is>
          <t>JÖNKÖPINGS LÄN</t>
        </is>
      </c>
      <c r="E6708" t="inlineStr">
        <is>
          <t>HABO</t>
        </is>
      </c>
      <c r="G6708" t="n">
        <v>0.9</v>
      </c>
      <c r="H6708" t="n">
        <v>0</v>
      </c>
      <c r="I6708" t="n">
        <v>0</v>
      </c>
      <c r="J6708" t="n">
        <v>0</v>
      </c>
      <c r="K6708" t="n">
        <v>0</v>
      </c>
      <c r="L6708" t="n">
        <v>0</v>
      </c>
      <c r="M6708" t="n">
        <v>0</v>
      </c>
      <c r="N6708" t="n">
        <v>0</v>
      </c>
      <c r="O6708" t="n">
        <v>0</v>
      </c>
      <c r="P6708" t="n">
        <v>0</v>
      </c>
      <c r="Q6708" t="n">
        <v>0</v>
      </c>
      <c r="R6708" s="2" t="inlineStr"/>
    </row>
    <row r="6709" ht="15" customHeight="1">
      <c r="A6709" t="inlineStr">
        <is>
          <t>A 38063-2025</t>
        </is>
      </c>
      <c r="B6709" s="1" t="n">
        <v>45882</v>
      </c>
      <c r="C6709" s="1" t="n">
        <v>45962</v>
      </c>
      <c r="D6709" t="inlineStr">
        <is>
          <t>JÖNKÖPINGS LÄN</t>
        </is>
      </c>
      <c r="E6709" t="inlineStr">
        <is>
          <t>HABO</t>
        </is>
      </c>
      <c r="F6709" t="inlineStr">
        <is>
          <t>Allmännings- och besparingsskogar</t>
        </is>
      </c>
      <c r="G6709" t="n">
        <v>11.4</v>
      </c>
      <c r="H6709" t="n">
        <v>0</v>
      </c>
      <c r="I6709" t="n">
        <v>0</v>
      </c>
      <c r="J6709" t="n">
        <v>0</v>
      </c>
      <c r="K6709" t="n">
        <v>0</v>
      </c>
      <c r="L6709" t="n">
        <v>0</v>
      </c>
      <c r="M6709" t="n">
        <v>0</v>
      </c>
      <c r="N6709" t="n">
        <v>0</v>
      </c>
      <c r="O6709" t="n">
        <v>0</v>
      </c>
      <c r="P6709" t="n">
        <v>0</v>
      </c>
      <c r="Q6709" t="n">
        <v>0</v>
      </c>
      <c r="R6709" s="2" t="inlineStr"/>
    </row>
    <row r="6710" ht="15" customHeight="1">
      <c r="A6710" t="inlineStr">
        <is>
          <t>A 38067-2025</t>
        </is>
      </c>
      <c r="B6710" s="1" t="n">
        <v>45882</v>
      </c>
      <c r="C6710" s="1" t="n">
        <v>45962</v>
      </c>
      <c r="D6710" t="inlineStr">
        <is>
          <t>JÖNKÖPINGS LÄN</t>
        </is>
      </c>
      <c r="E6710" t="inlineStr">
        <is>
          <t>HABO</t>
        </is>
      </c>
      <c r="F6710" t="inlineStr">
        <is>
          <t>Allmännings- och besparingsskogar</t>
        </is>
      </c>
      <c r="G6710" t="n">
        <v>1.5</v>
      </c>
      <c r="H6710" t="n">
        <v>0</v>
      </c>
      <c r="I6710" t="n">
        <v>0</v>
      </c>
      <c r="J6710" t="n">
        <v>0</v>
      </c>
      <c r="K6710" t="n">
        <v>0</v>
      </c>
      <c r="L6710" t="n">
        <v>0</v>
      </c>
      <c r="M6710" t="n">
        <v>0</v>
      </c>
      <c r="N6710" t="n">
        <v>0</v>
      </c>
      <c r="O6710" t="n">
        <v>0</v>
      </c>
      <c r="P6710" t="n">
        <v>0</v>
      </c>
      <c r="Q6710" t="n">
        <v>0</v>
      </c>
      <c r="R6710" s="2" t="inlineStr"/>
    </row>
    <row r="6711" ht="15" customHeight="1">
      <c r="A6711" t="inlineStr">
        <is>
          <t>A 48628-2025</t>
        </is>
      </c>
      <c r="B6711" s="1" t="n">
        <v>45936.51135416667</v>
      </c>
      <c r="C6711" s="1" t="n">
        <v>45962</v>
      </c>
      <c r="D6711" t="inlineStr">
        <is>
          <t>JÖNKÖPINGS LÄN</t>
        </is>
      </c>
      <c r="E6711" t="inlineStr">
        <is>
          <t>GNOSJÖ</t>
        </is>
      </c>
      <c r="G6711" t="n">
        <v>2.3</v>
      </c>
      <c r="H6711" t="n">
        <v>0</v>
      </c>
      <c r="I6711" t="n">
        <v>0</v>
      </c>
      <c r="J6711" t="n">
        <v>0</v>
      </c>
      <c r="K6711" t="n">
        <v>0</v>
      </c>
      <c r="L6711" t="n">
        <v>0</v>
      </c>
      <c r="M6711" t="n">
        <v>0</v>
      </c>
      <c r="N6711" t="n">
        <v>0</v>
      </c>
      <c r="O6711" t="n">
        <v>0</v>
      </c>
      <c r="P6711" t="n">
        <v>0</v>
      </c>
      <c r="Q6711" t="n">
        <v>0</v>
      </c>
      <c r="R6711" s="2" t="inlineStr"/>
    </row>
    <row r="6712" ht="15" customHeight="1">
      <c r="A6712" t="inlineStr">
        <is>
          <t>A 51759-2024</t>
        </is>
      </c>
      <c r="B6712" s="1" t="n">
        <v>45607.43587962963</v>
      </c>
      <c r="C6712" s="1" t="n">
        <v>45962</v>
      </c>
      <c r="D6712" t="inlineStr">
        <is>
          <t>JÖNKÖPINGS LÄN</t>
        </is>
      </c>
      <c r="E6712" t="inlineStr">
        <is>
          <t>VAGGERYD</t>
        </is>
      </c>
      <c r="F6712" t="inlineStr">
        <is>
          <t>Sveaskog</t>
        </is>
      </c>
      <c r="G6712" t="n">
        <v>2.1</v>
      </c>
      <c r="H6712" t="n">
        <v>0</v>
      </c>
      <c r="I6712" t="n">
        <v>0</v>
      </c>
      <c r="J6712" t="n">
        <v>0</v>
      </c>
      <c r="K6712" t="n">
        <v>0</v>
      </c>
      <c r="L6712" t="n">
        <v>0</v>
      </c>
      <c r="M6712" t="n">
        <v>0</v>
      </c>
      <c r="N6712" t="n">
        <v>0</v>
      </c>
      <c r="O6712" t="n">
        <v>0</v>
      </c>
      <c r="P6712" t="n">
        <v>0</v>
      </c>
      <c r="Q6712" t="n">
        <v>0</v>
      </c>
      <c r="R6712" s="2" t="inlineStr"/>
    </row>
    <row r="6713" ht="15" customHeight="1">
      <c r="A6713" t="inlineStr">
        <is>
          <t>A 38102-2025</t>
        </is>
      </c>
      <c r="B6713" s="1" t="n">
        <v>45882.49215277778</v>
      </c>
      <c r="C6713" s="1" t="n">
        <v>45962</v>
      </c>
      <c r="D6713" t="inlineStr">
        <is>
          <t>JÖNKÖPINGS LÄN</t>
        </is>
      </c>
      <c r="E6713" t="inlineStr">
        <is>
          <t>EKSJÖ</t>
        </is>
      </c>
      <c r="G6713" t="n">
        <v>1.9</v>
      </c>
      <c r="H6713" t="n">
        <v>0</v>
      </c>
      <c r="I6713" t="n">
        <v>0</v>
      </c>
      <c r="J6713" t="n">
        <v>0</v>
      </c>
      <c r="K6713" t="n">
        <v>0</v>
      </c>
      <c r="L6713" t="n">
        <v>0</v>
      </c>
      <c r="M6713" t="n">
        <v>0</v>
      </c>
      <c r="N6713" t="n">
        <v>0</v>
      </c>
      <c r="O6713" t="n">
        <v>0</v>
      </c>
      <c r="P6713" t="n">
        <v>0</v>
      </c>
      <c r="Q6713" t="n">
        <v>0</v>
      </c>
      <c r="R6713" s="2" t="inlineStr"/>
    </row>
    <row r="6714" ht="15" customHeight="1">
      <c r="A6714" t="inlineStr">
        <is>
          <t>A 48758-2025</t>
        </is>
      </c>
      <c r="B6714" s="1" t="n">
        <v>45936.7499537037</v>
      </c>
      <c r="C6714" s="1" t="n">
        <v>45962</v>
      </c>
      <c r="D6714" t="inlineStr">
        <is>
          <t>JÖNKÖPINGS LÄN</t>
        </is>
      </c>
      <c r="E6714" t="inlineStr">
        <is>
          <t>VÄRNAMO</t>
        </is>
      </c>
      <c r="G6714" t="n">
        <v>1</v>
      </c>
      <c r="H6714" t="n">
        <v>0</v>
      </c>
      <c r="I6714" t="n">
        <v>0</v>
      </c>
      <c r="J6714" t="n">
        <v>0</v>
      </c>
      <c r="K6714" t="n">
        <v>0</v>
      </c>
      <c r="L6714" t="n">
        <v>0</v>
      </c>
      <c r="M6714" t="n">
        <v>0</v>
      </c>
      <c r="N6714" t="n">
        <v>0</v>
      </c>
      <c r="O6714" t="n">
        <v>0</v>
      </c>
      <c r="P6714" t="n">
        <v>0</v>
      </c>
      <c r="Q6714" t="n">
        <v>0</v>
      </c>
      <c r="R6714" s="2" t="inlineStr"/>
    </row>
    <row r="6715" ht="15" customHeight="1">
      <c r="A6715" t="inlineStr">
        <is>
          <t>A 33644-2022</t>
        </is>
      </c>
      <c r="B6715" s="1" t="n">
        <v>44789</v>
      </c>
      <c r="C6715" s="1" t="n">
        <v>45962</v>
      </c>
      <c r="D6715" t="inlineStr">
        <is>
          <t>JÖNKÖPINGS LÄN</t>
        </is>
      </c>
      <c r="E6715" t="inlineStr">
        <is>
          <t>EKSJÖ</t>
        </is>
      </c>
      <c r="G6715" t="n">
        <v>6.9</v>
      </c>
      <c r="H6715" t="n">
        <v>0</v>
      </c>
      <c r="I6715" t="n">
        <v>0</v>
      </c>
      <c r="J6715" t="n">
        <v>0</v>
      </c>
      <c r="K6715" t="n">
        <v>0</v>
      </c>
      <c r="L6715" t="n">
        <v>0</v>
      </c>
      <c r="M6715" t="n">
        <v>0</v>
      </c>
      <c r="N6715" t="n">
        <v>0</v>
      </c>
      <c r="O6715" t="n">
        <v>0</v>
      </c>
      <c r="P6715" t="n">
        <v>0</v>
      </c>
      <c r="Q6715" t="n">
        <v>0</v>
      </c>
      <c r="R6715" s="2" t="inlineStr"/>
    </row>
    <row r="6716" ht="15" customHeight="1">
      <c r="A6716" t="inlineStr">
        <is>
          <t>A 47799-2025</t>
        </is>
      </c>
      <c r="B6716" s="1" t="n">
        <v>45931</v>
      </c>
      <c r="C6716" s="1" t="n">
        <v>45962</v>
      </c>
      <c r="D6716" t="inlineStr">
        <is>
          <t>JÖNKÖPINGS LÄN</t>
        </is>
      </c>
      <c r="E6716" t="inlineStr">
        <is>
          <t>SÄVSJÖ</t>
        </is>
      </c>
      <c r="G6716" t="n">
        <v>1.3</v>
      </c>
      <c r="H6716" t="n">
        <v>0</v>
      </c>
      <c r="I6716" t="n">
        <v>0</v>
      </c>
      <c r="J6716" t="n">
        <v>0</v>
      </c>
      <c r="K6716" t="n">
        <v>0</v>
      </c>
      <c r="L6716" t="n">
        <v>0</v>
      </c>
      <c r="M6716" t="n">
        <v>0</v>
      </c>
      <c r="N6716" t="n">
        <v>0</v>
      </c>
      <c r="O6716" t="n">
        <v>0</v>
      </c>
      <c r="P6716" t="n">
        <v>0</v>
      </c>
      <c r="Q6716" t="n">
        <v>0</v>
      </c>
      <c r="R6716" s="2" t="inlineStr"/>
    </row>
    <row r="6717" ht="15" customHeight="1">
      <c r="A6717" t="inlineStr">
        <is>
          <t>A 38176-2025</t>
        </is>
      </c>
      <c r="B6717" s="1" t="n">
        <v>45882.638125</v>
      </c>
      <c r="C6717" s="1" t="n">
        <v>45962</v>
      </c>
      <c r="D6717" t="inlineStr">
        <is>
          <t>JÖNKÖPINGS LÄN</t>
        </is>
      </c>
      <c r="E6717" t="inlineStr">
        <is>
          <t>GNOSJÖ</t>
        </is>
      </c>
      <c r="G6717" t="n">
        <v>4.8</v>
      </c>
      <c r="H6717" t="n">
        <v>0</v>
      </c>
      <c r="I6717" t="n">
        <v>0</v>
      </c>
      <c r="J6717" t="n">
        <v>0</v>
      </c>
      <c r="K6717" t="n">
        <v>0</v>
      </c>
      <c r="L6717" t="n">
        <v>0</v>
      </c>
      <c r="M6717" t="n">
        <v>0</v>
      </c>
      <c r="N6717" t="n">
        <v>0</v>
      </c>
      <c r="O6717" t="n">
        <v>0</v>
      </c>
      <c r="P6717" t="n">
        <v>0</v>
      </c>
      <c r="Q6717" t="n">
        <v>0</v>
      </c>
      <c r="R6717" s="2" t="inlineStr"/>
    </row>
    <row r="6718" ht="15" customHeight="1">
      <c r="A6718" t="inlineStr">
        <is>
          <t>A 51829-2024</t>
        </is>
      </c>
      <c r="B6718" s="1" t="n">
        <v>45607.50462962963</v>
      </c>
      <c r="C6718" s="1" t="n">
        <v>45962</v>
      </c>
      <c r="D6718" t="inlineStr">
        <is>
          <t>JÖNKÖPINGS LÄN</t>
        </is>
      </c>
      <c r="E6718" t="inlineStr">
        <is>
          <t>GISLAVED</t>
        </is>
      </c>
      <c r="G6718" t="n">
        <v>2.2</v>
      </c>
      <c r="H6718" t="n">
        <v>0</v>
      </c>
      <c r="I6718" t="n">
        <v>0</v>
      </c>
      <c r="J6718" t="n">
        <v>0</v>
      </c>
      <c r="K6718" t="n">
        <v>0</v>
      </c>
      <c r="L6718" t="n">
        <v>0</v>
      </c>
      <c r="M6718" t="n">
        <v>0</v>
      </c>
      <c r="N6718" t="n">
        <v>0</v>
      </c>
      <c r="O6718" t="n">
        <v>0</v>
      </c>
      <c r="P6718" t="n">
        <v>0</v>
      </c>
      <c r="Q6718" t="n">
        <v>0</v>
      </c>
      <c r="R6718" s="2" t="inlineStr"/>
    </row>
    <row r="6719" ht="15" customHeight="1">
      <c r="A6719" t="inlineStr">
        <is>
          <t>A 18728-2024</t>
        </is>
      </c>
      <c r="B6719" s="1" t="n">
        <v>45426.47565972222</v>
      </c>
      <c r="C6719" s="1" t="n">
        <v>45962</v>
      </c>
      <c r="D6719" t="inlineStr">
        <is>
          <t>JÖNKÖPINGS LÄN</t>
        </is>
      </c>
      <c r="E6719" t="inlineStr">
        <is>
          <t>TRANÅS</t>
        </is>
      </c>
      <c r="G6719" t="n">
        <v>5.2</v>
      </c>
      <c r="H6719" t="n">
        <v>0</v>
      </c>
      <c r="I6719" t="n">
        <v>0</v>
      </c>
      <c r="J6719" t="n">
        <v>0</v>
      </c>
      <c r="K6719" t="n">
        <v>0</v>
      </c>
      <c r="L6719" t="n">
        <v>0</v>
      </c>
      <c r="M6719" t="n">
        <v>0</v>
      </c>
      <c r="N6719" t="n">
        <v>0</v>
      </c>
      <c r="O6719" t="n">
        <v>0</v>
      </c>
      <c r="P6719" t="n">
        <v>0</v>
      </c>
      <c r="Q6719" t="n">
        <v>0</v>
      </c>
      <c r="R6719" s="2" t="inlineStr"/>
    </row>
    <row r="6720" ht="15" customHeight="1">
      <c r="A6720" t="inlineStr">
        <is>
          <t>A 12277-2025</t>
        </is>
      </c>
      <c r="B6720" s="1" t="n">
        <v>45729</v>
      </c>
      <c r="C6720" s="1" t="n">
        <v>45962</v>
      </c>
      <c r="D6720" t="inlineStr">
        <is>
          <t>JÖNKÖPINGS LÄN</t>
        </is>
      </c>
      <c r="E6720" t="inlineStr">
        <is>
          <t>EKSJÖ</t>
        </is>
      </c>
      <c r="G6720" t="n">
        <v>2.5</v>
      </c>
      <c r="H6720" t="n">
        <v>0</v>
      </c>
      <c r="I6720" t="n">
        <v>0</v>
      </c>
      <c r="J6720" t="n">
        <v>0</v>
      </c>
      <c r="K6720" t="n">
        <v>0</v>
      </c>
      <c r="L6720" t="n">
        <v>0</v>
      </c>
      <c r="M6720" t="n">
        <v>0</v>
      </c>
      <c r="N6720" t="n">
        <v>0</v>
      </c>
      <c r="O6720" t="n">
        <v>0</v>
      </c>
      <c r="P6720" t="n">
        <v>0</v>
      </c>
      <c r="Q6720" t="n">
        <v>0</v>
      </c>
      <c r="R6720" s="2" t="inlineStr"/>
    </row>
    <row r="6721" ht="15" customHeight="1">
      <c r="A6721" t="inlineStr">
        <is>
          <t>A 45542-2025</t>
        </is>
      </c>
      <c r="B6721" s="1" t="n">
        <v>45922</v>
      </c>
      <c r="C6721" s="1" t="n">
        <v>45962</v>
      </c>
      <c r="D6721" t="inlineStr">
        <is>
          <t>JÖNKÖPINGS LÄN</t>
        </is>
      </c>
      <c r="E6721" t="inlineStr">
        <is>
          <t>VAGGERYD</t>
        </is>
      </c>
      <c r="G6721" t="n">
        <v>1</v>
      </c>
      <c r="H6721" t="n">
        <v>0</v>
      </c>
      <c r="I6721" t="n">
        <v>0</v>
      </c>
      <c r="J6721" t="n">
        <v>0</v>
      </c>
      <c r="K6721" t="n">
        <v>0</v>
      </c>
      <c r="L6721" t="n">
        <v>0</v>
      </c>
      <c r="M6721" t="n">
        <v>0</v>
      </c>
      <c r="N6721" t="n">
        <v>0</v>
      </c>
      <c r="O6721" t="n">
        <v>0</v>
      </c>
      <c r="P6721" t="n">
        <v>0</v>
      </c>
      <c r="Q6721" t="n">
        <v>0</v>
      </c>
      <c r="R6721" s="2" t="inlineStr"/>
    </row>
    <row r="6722" ht="15" customHeight="1">
      <c r="A6722" t="inlineStr">
        <is>
          <t>A 46232-2025</t>
        </is>
      </c>
      <c r="B6722" s="1" t="n">
        <v>45925.28489583333</v>
      </c>
      <c r="C6722" s="1" t="n">
        <v>45962</v>
      </c>
      <c r="D6722" t="inlineStr">
        <is>
          <t>JÖNKÖPINGS LÄN</t>
        </is>
      </c>
      <c r="E6722" t="inlineStr">
        <is>
          <t>GNOSJÖ</t>
        </is>
      </c>
      <c r="G6722" t="n">
        <v>3.9</v>
      </c>
      <c r="H6722" t="n">
        <v>0</v>
      </c>
      <c r="I6722" t="n">
        <v>0</v>
      </c>
      <c r="J6722" t="n">
        <v>0</v>
      </c>
      <c r="K6722" t="n">
        <v>0</v>
      </c>
      <c r="L6722" t="n">
        <v>0</v>
      </c>
      <c r="M6722" t="n">
        <v>0</v>
      </c>
      <c r="N6722" t="n">
        <v>0</v>
      </c>
      <c r="O6722" t="n">
        <v>0</v>
      </c>
      <c r="P6722" t="n">
        <v>0</v>
      </c>
      <c r="Q6722" t="n">
        <v>0</v>
      </c>
      <c r="R6722" s="2" t="inlineStr"/>
    </row>
    <row r="6723" ht="15" customHeight="1">
      <c r="A6723" t="inlineStr">
        <is>
          <t>A 46263-2025</t>
        </is>
      </c>
      <c r="B6723" s="1" t="n">
        <v>45925.36193287037</v>
      </c>
      <c r="C6723" s="1" t="n">
        <v>45962</v>
      </c>
      <c r="D6723" t="inlineStr">
        <is>
          <t>JÖNKÖPINGS LÄN</t>
        </is>
      </c>
      <c r="E6723" t="inlineStr">
        <is>
          <t>VETLANDA</t>
        </is>
      </c>
      <c r="G6723" t="n">
        <v>0.7</v>
      </c>
      <c r="H6723" t="n">
        <v>0</v>
      </c>
      <c r="I6723" t="n">
        <v>0</v>
      </c>
      <c r="J6723" t="n">
        <v>0</v>
      </c>
      <c r="K6723" t="n">
        <v>0</v>
      </c>
      <c r="L6723" t="n">
        <v>0</v>
      </c>
      <c r="M6723" t="n">
        <v>0</v>
      </c>
      <c r="N6723" t="n">
        <v>0</v>
      </c>
      <c r="O6723" t="n">
        <v>0</v>
      </c>
      <c r="P6723" t="n">
        <v>0</v>
      </c>
      <c r="Q6723" t="n">
        <v>0</v>
      </c>
      <c r="R6723" s="2" t="inlineStr"/>
    </row>
    <row r="6724" ht="15" customHeight="1">
      <c r="A6724" t="inlineStr">
        <is>
          <t>A 5491-2022</t>
        </is>
      </c>
      <c r="B6724" s="1" t="n">
        <v>44595.52881944444</v>
      </c>
      <c r="C6724" s="1" t="n">
        <v>45962</v>
      </c>
      <c r="D6724" t="inlineStr">
        <is>
          <t>JÖNKÖPINGS LÄN</t>
        </is>
      </c>
      <c r="E6724" t="inlineStr">
        <is>
          <t>VETLANDA</t>
        </is>
      </c>
      <c r="G6724" t="n">
        <v>0.9</v>
      </c>
      <c r="H6724" t="n">
        <v>0</v>
      </c>
      <c r="I6724" t="n">
        <v>0</v>
      </c>
      <c r="J6724" t="n">
        <v>0</v>
      </c>
      <c r="K6724" t="n">
        <v>0</v>
      </c>
      <c r="L6724" t="n">
        <v>0</v>
      </c>
      <c r="M6724" t="n">
        <v>0</v>
      </c>
      <c r="N6724" t="n">
        <v>0</v>
      </c>
      <c r="O6724" t="n">
        <v>0</v>
      </c>
      <c r="P6724" t="n">
        <v>0</v>
      </c>
      <c r="Q6724" t="n">
        <v>0</v>
      </c>
      <c r="R6724" s="2" t="inlineStr"/>
    </row>
    <row r="6725" ht="15" customHeight="1">
      <c r="A6725" t="inlineStr">
        <is>
          <t>A 39722-2024</t>
        </is>
      </c>
      <c r="B6725" s="1" t="n">
        <v>45552.61659722222</v>
      </c>
      <c r="C6725" s="1" t="n">
        <v>45962</v>
      </c>
      <c r="D6725" t="inlineStr">
        <is>
          <t>JÖNKÖPINGS LÄN</t>
        </is>
      </c>
      <c r="E6725" t="inlineStr">
        <is>
          <t>TRANÅS</t>
        </is>
      </c>
      <c r="G6725" t="n">
        <v>1.1</v>
      </c>
      <c r="H6725" t="n">
        <v>0</v>
      </c>
      <c r="I6725" t="n">
        <v>0</v>
      </c>
      <c r="J6725" t="n">
        <v>0</v>
      </c>
      <c r="K6725" t="n">
        <v>0</v>
      </c>
      <c r="L6725" t="n">
        <v>0</v>
      </c>
      <c r="M6725" t="n">
        <v>0</v>
      </c>
      <c r="N6725" t="n">
        <v>0</v>
      </c>
      <c r="O6725" t="n">
        <v>0</v>
      </c>
      <c r="P6725" t="n">
        <v>0</v>
      </c>
      <c r="Q6725" t="n">
        <v>0</v>
      </c>
      <c r="R6725" s="2" t="inlineStr"/>
    </row>
    <row r="6726" ht="15" customHeight="1">
      <c r="A6726" t="inlineStr">
        <is>
          <t>A 50139-2024</t>
        </is>
      </c>
      <c r="B6726" s="1" t="n">
        <v>45600.4481712963</v>
      </c>
      <c r="C6726" s="1" t="n">
        <v>45962</v>
      </c>
      <c r="D6726" t="inlineStr">
        <is>
          <t>JÖNKÖPINGS LÄN</t>
        </is>
      </c>
      <c r="E6726" t="inlineStr">
        <is>
          <t>VAGGERYD</t>
        </is>
      </c>
      <c r="F6726" t="inlineStr">
        <is>
          <t>Sveaskog</t>
        </is>
      </c>
      <c r="G6726" t="n">
        <v>2.1</v>
      </c>
      <c r="H6726" t="n">
        <v>0</v>
      </c>
      <c r="I6726" t="n">
        <v>0</v>
      </c>
      <c r="J6726" t="n">
        <v>0</v>
      </c>
      <c r="K6726" t="n">
        <v>0</v>
      </c>
      <c r="L6726" t="n">
        <v>0</v>
      </c>
      <c r="M6726" t="n">
        <v>0</v>
      </c>
      <c r="N6726" t="n">
        <v>0</v>
      </c>
      <c r="O6726" t="n">
        <v>0</v>
      </c>
      <c r="P6726" t="n">
        <v>0</v>
      </c>
      <c r="Q6726" t="n">
        <v>0</v>
      </c>
      <c r="R6726" s="2" t="inlineStr"/>
    </row>
    <row r="6727" ht="15" customHeight="1">
      <c r="A6727" t="inlineStr">
        <is>
          <t>A 17422-2024</t>
        </is>
      </c>
      <c r="B6727" s="1" t="n">
        <v>45415.24046296296</v>
      </c>
      <c r="C6727" s="1" t="n">
        <v>45962</v>
      </c>
      <c r="D6727" t="inlineStr">
        <is>
          <t>JÖNKÖPINGS LÄN</t>
        </is>
      </c>
      <c r="E6727" t="inlineStr">
        <is>
          <t>GISLAVED</t>
        </is>
      </c>
      <c r="G6727" t="n">
        <v>4.6</v>
      </c>
      <c r="H6727" t="n">
        <v>0</v>
      </c>
      <c r="I6727" t="n">
        <v>0</v>
      </c>
      <c r="J6727" t="n">
        <v>0</v>
      </c>
      <c r="K6727" t="n">
        <v>0</v>
      </c>
      <c r="L6727" t="n">
        <v>0</v>
      </c>
      <c r="M6727" t="n">
        <v>0</v>
      </c>
      <c r="N6727" t="n">
        <v>0</v>
      </c>
      <c r="O6727" t="n">
        <v>0</v>
      </c>
      <c r="P6727" t="n">
        <v>0</v>
      </c>
      <c r="Q6727" t="n">
        <v>0</v>
      </c>
      <c r="R6727" s="2" t="inlineStr"/>
    </row>
    <row r="6728" ht="15" customHeight="1">
      <c r="A6728" t="inlineStr">
        <is>
          <t>A 39952-2025</t>
        </is>
      </c>
      <c r="B6728" s="1" t="n">
        <v>45892.38811342593</v>
      </c>
      <c r="C6728" s="1" t="n">
        <v>45962</v>
      </c>
      <c r="D6728" t="inlineStr">
        <is>
          <t>JÖNKÖPINGS LÄN</t>
        </is>
      </c>
      <c r="E6728" t="inlineStr">
        <is>
          <t>JÖNKÖPING</t>
        </is>
      </c>
      <c r="G6728" t="n">
        <v>2.4</v>
      </c>
      <c r="H6728" t="n">
        <v>0</v>
      </c>
      <c r="I6728" t="n">
        <v>0</v>
      </c>
      <c r="J6728" t="n">
        <v>0</v>
      </c>
      <c r="K6728" t="n">
        <v>0</v>
      </c>
      <c r="L6728" t="n">
        <v>0</v>
      </c>
      <c r="M6728" t="n">
        <v>0</v>
      </c>
      <c r="N6728" t="n">
        <v>0</v>
      </c>
      <c r="O6728" t="n">
        <v>0</v>
      </c>
      <c r="P6728" t="n">
        <v>0</v>
      </c>
      <c r="Q6728" t="n">
        <v>0</v>
      </c>
      <c r="R6728" s="2" t="inlineStr"/>
    </row>
    <row r="6729" ht="15" customHeight="1">
      <c r="A6729" t="inlineStr">
        <is>
          <t>A 46165-2025</t>
        </is>
      </c>
      <c r="B6729" s="1" t="n">
        <v>45924</v>
      </c>
      <c r="C6729" s="1" t="n">
        <v>45962</v>
      </c>
      <c r="D6729" t="inlineStr">
        <is>
          <t>JÖNKÖPINGS LÄN</t>
        </is>
      </c>
      <c r="E6729" t="inlineStr">
        <is>
          <t>NÄSSJÖ</t>
        </is>
      </c>
      <c r="G6729" t="n">
        <v>1.5</v>
      </c>
      <c r="H6729" t="n">
        <v>0</v>
      </c>
      <c r="I6729" t="n">
        <v>0</v>
      </c>
      <c r="J6729" t="n">
        <v>0</v>
      </c>
      <c r="K6729" t="n">
        <v>0</v>
      </c>
      <c r="L6729" t="n">
        <v>0</v>
      </c>
      <c r="M6729" t="n">
        <v>0</v>
      </c>
      <c r="N6729" t="n">
        <v>0</v>
      </c>
      <c r="O6729" t="n">
        <v>0</v>
      </c>
      <c r="P6729" t="n">
        <v>0</v>
      </c>
      <c r="Q6729" t="n">
        <v>0</v>
      </c>
      <c r="R6729" s="2" t="inlineStr"/>
    </row>
    <row r="6730" ht="15" customHeight="1">
      <c r="A6730" t="inlineStr">
        <is>
          <t>A 45900-2025</t>
        </is>
      </c>
      <c r="B6730" s="1" t="n">
        <v>45923</v>
      </c>
      <c r="C6730" s="1" t="n">
        <v>45962</v>
      </c>
      <c r="D6730" t="inlineStr">
        <is>
          <t>JÖNKÖPINGS LÄN</t>
        </is>
      </c>
      <c r="E6730" t="inlineStr">
        <is>
          <t>JÖNKÖPING</t>
        </is>
      </c>
      <c r="G6730" t="n">
        <v>0.8</v>
      </c>
      <c r="H6730" t="n">
        <v>0</v>
      </c>
      <c r="I6730" t="n">
        <v>0</v>
      </c>
      <c r="J6730" t="n">
        <v>0</v>
      </c>
      <c r="K6730" t="n">
        <v>0</v>
      </c>
      <c r="L6730" t="n">
        <v>0</v>
      </c>
      <c r="M6730" t="n">
        <v>0</v>
      </c>
      <c r="N6730" t="n">
        <v>0</v>
      </c>
      <c r="O6730" t="n">
        <v>0</v>
      </c>
      <c r="P6730" t="n">
        <v>0</v>
      </c>
      <c r="Q6730" t="n">
        <v>0</v>
      </c>
      <c r="R6730" s="2" t="inlineStr"/>
      <c r="U6730">
        <f>HYPERLINK("https://klasma.github.io/Logging_0680/knärot/A 45900-2025 karta knärot.png", "A 45900-2025")</f>
        <v/>
      </c>
      <c r="V6730">
        <f>HYPERLINK("https://klasma.github.io/Logging_0680/klagomål/A 45900-2025 FSC-klagomål.docx", "A 45900-2025")</f>
        <v/>
      </c>
      <c r="W6730">
        <f>HYPERLINK("https://klasma.github.io/Logging_0680/klagomålsmail/A 45900-2025 FSC-klagomål mail.docx", "A 45900-2025")</f>
        <v/>
      </c>
      <c r="X6730">
        <f>HYPERLINK("https://klasma.github.io/Logging_0680/tillsyn/A 45900-2025 tillsynsbegäran.docx", "A 45900-2025")</f>
        <v/>
      </c>
      <c r="Y6730">
        <f>HYPERLINK("https://klasma.github.io/Logging_0680/tillsynsmail/A 45900-2025 tillsynsbegäran mail.docx", "A 45900-2025")</f>
        <v/>
      </c>
    </row>
    <row r="6731" ht="15" customHeight="1">
      <c r="A6731" t="inlineStr">
        <is>
          <t>A 37343-2023</t>
        </is>
      </c>
      <c r="B6731" s="1" t="n">
        <v>45156</v>
      </c>
      <c r="C6731" s="1" t="n">
        <v>45962</v>
      </c>
      <c r="D6731" t="inlineStr">
        <is>
          <t>JÖNKÖPINGS LÄN</t>
        </is>
      </c>
      <c r="E6731" t="inlineStr">
        <is>
          <t>ANEBY</t>
        </is>
      </c>
      <c r="G6731" t="n">
        <v>2</v>
      </c>
      <c r="H6731" t="n">
        <v>0</v>
      </c>
      <c r="I6731" t="n">
        <v>0</v>
      </c>
      <c r="J6731" t="n">
        <v>0</v>
      </c>
      <c r="K6731" t="n">
        <v>0</v>
      </c>
      <c r="L6731" t="n">
        <v>0</v>
      </c>
      <c r="M6731" t="n">
        <v>0</v>
      </c>
      <c r="N6731" t="n">
        <v>0</v>
      </c>
      <c r="O6731" t="n">
        <v>0</v>
      </c>
      <c r="P6731" t="n">
        <v>0</v>
      </c>
      <c r="Q6731" t="n">
        <v>0</v>
      </c>
      <c r="R6731" s="2" t="inlineStr"/>
    </row>
    <row r="6732" ht="15" customHeight="1">
      <c r="A6732" t="inlineStr">
        <is>
          <t>A 32807-2025</t>
        </is>
      </c>
      <c r="B6732" s="1" t="n">
        <v>45839.50319444444</v>
      </c>
      <c r="C6732" s="1" t="n">
        <v>45962</v>
      </c>
      <c r="D6732" t="inlineStr">
        <is>
          <t>JÖNKÖPINGS LÄN</t>
        </is>
      </c>
      <c r="E6732" t="inlineStr">
        <is>
          <t>VETLANDA</t>
        </is>
      </c>
      <c r="G6732" t="n">
        <v>1.5</v>
      </c>
      <c r="H6732" t="n">
        <v>0</v>
      </c>
      <c r="I6732" t="n">
        <v>0</v>
      </c>
      <c r="J6732" t="n">
        <v>0</v>
      </c>
      <c r="K6732" t="n">
        <v>0</v>
      </c>
      <c r="L6732" t="n">
        <v>0</v>
      </c>
      <c r="M6732" t="n">
        <v>0</v>
      </c>
      <c r="N6732" t="n">
        <v>0</v>
      </c>
      <c r="O6732" t="n">
        <v>0</v>
      </c>
      <c r="P6732" t="n">
        <v>0</v>
      </c>
      <c r="Q6732" t="n">
        <v>0</v>
      </c>
      <c r="R6732" s="2" t="inlineStr"/>
    </row>
    <row r="6733" ht="15" customHeight="1">
      <c r="A6733" t="inlineStr">
        <is>
          <t>A 55817-2023</t>
        </is>
      </c>
      <c r="B6733" s="1" t="n">
        <v>45239.5780787037</v>
      </c>
      <c r="C6733" s="1" t="n">
        <v>45962</v>
      </c>
      <c r="D6733" t="inlineStr">
        <is>
          <t>JÖNKÖPINGS LÄN</t>
        </is>
      </c>
      <c r="E6733" t="inlineStr">
        <is>
          <t>EKSJÖ</t>
        </is>
      </c>
      <c r="G6733" t="n">
        <v>2.1</v>
      </c>
      <c r="H6733" t="n">
        <v>0</v>
      </c>
      <c r="I6733" t="n">
        <v>0</v>
      </c>
      <c r="J6733" t="n">
        <v>0</v>
      </c>
      <c r="K6733" t="n">
        <v>0</v>
      </c>
      <c r="L6733" t="n">
        <v>0</v>
      </c>
      <c r="M6733" t="n">
        <v>0</v>
      </c>
      <c r="N6733" t="n">
        <v>0</v>
      </c>
      <c r="O6733" t="n">
        <v>0</v>
      </c>
      <c r="P6733" t="n">
        <v>0</v>
      </c>
      <c r="Q6733" t="n">
        <v>0</v>
      </c>
      <c r="R6733" s="2" t="inlineStr"/>
    </row>
    <row r="6734" ht="15" customHeight="1">
      <c r="A6734" t="inlineStr">
        <is>
          <t>A 38209-2025</t>
        </is>
      </c>
      <c r="B6734" s="1" t="n">
        <v>45882.73533564815</v>
      </c>
      <c r="C6734" s="1" t="n">
        <v>45962</v>
      </c>
      <c r="D6734" t="inlineStr">
        <is>
          <t>JÖNKÖPINGS LÄN</t>
        </is>
      </c>
      <c r="E6734" t="inlineStr">
        <is>
          <t>GISLAVED</t>
        </is>
      </c>
      <c r="G6734" t="n">
        <v>0.9</v>
      </c>
      <c r="H6734" t="n">
        <v>0</v>
      </c>
      <c r="I6734" t="n">
        <v>0</v>
      </c>
      <c r="J6734" t="n">
        <v>0</v>
      </c>
      <c r="K6734" t="n">
        <v>0</v>
      </c>
      <c r="L6734" t="n">
        <v>0</v>
      </c>
      <c r="M6734" t="n">
        <v>0</v>
      </c>
      <c r="N6734" t="n">
        <v>0</v>
      </c>
      <c r="O6734" t="n">
        <v>0</v>
      </c>
      <c r="P6734" t="n">
        <v>0</v>
      </c>
      <c r="Q6734" t="n">
        <v>0</v>
      </c>
      <c r="R6734" s="2" t="inlineStr"/>
    </row>
    <row r="6735" ht="15" customHeight="1">
      <c r="A6735" t="inlineStr">
        <is>
          <t>A 38215-2025</t>
        </is>
      </c>
      <c r="B6735" s="1" t="n">
        <v>45883.29547453704</v>
      </c>
      <c r="C6735" s="1" t="n">
        <v>45962</v>
      </c>
      <c r="D6735" t="inlineStr">
        <is>
          <t>JÖNKÖPINGS LÄN</t>
        </is>
      </c>
      <c r="E6735" t="inlineStr">
        <is>
          <t>GNOSJÖ</t>
        </is>
      </c>
      <c r="G6735" t="n">
        <v>6.5</v>
      </c>
      <c r="H6735" t="n">
        <v>0</v>
      </c>
      <c r="I6735" t="n">
        <v>0</v>
      </c>
      <c r="J6735" t="n">
        <v>0</v>
      </c>
      <c r="K6735" t="n">
        <v>0</v>
      </c>
      <c r="L6735" t="n">
        <v>0</v>
      </c>
      <c r="M6735" t="n">
        <v>0</v>
      </c>
      <c r="N6735" t="n">
        <v>0</v>
      </c>
      <c r="O6735" t="n">
        <v>0</v>
      </c>
      <c r="P6735" t="n">
        <v>0</v>
      </c>
      <c r="Q6735" t="n">
        <v>0</v>
      </c>
      <c r="R6735" s="2" t="inlineStr"/>
    </row>
    <row r="6736" ht="15" customHeight="1">
      <c r="A6736" t="inlineStr">
        <is>
          <t>A 12042-2024</t>
        </is>
      </c>
      <c r="B6736" s="1" t="n">
        <v>45377.42784722222</v>
      </c>
      <c r="C6736" s="1" t="n">
        <v>45962</v>
      </c>
      <c r="D6736" t="inlineStr">
        <is>
          <t>JÖNKÖPINGS LÄN</t>
        </is>
      </c>
      <c r="E6736" t="inlineStr">
        <is>
          <t>JÖNKÖPING</t>
        </is>
      </c>
      <c r="G6736" t="n">
        <v>4.8</v>
      </c>
      <c r="H6736" t="n">
        <v>0</v>
      </c>
      <c r="I6736" t="n">
        <v>0</v>
      </c>
      <c r="J6736" t="n">
        <v>0</v>
      </c>
      <c r="K6736" t="n">
        <v>0</v>
      </c>
      <c r="L6736" t="n">
        <v>0</v>
      </c>
      <c r="M6736" t="n">
        <v>0</v>
      </c>
      <c r="N6736" t="n">
        <v>0</v>
      </c>
      <c r="O6736" t="n">
        <v>0</v>
      </c>
      <c r="P6736" t="n">
        <v>0</v>
      </c>
      <c r="Q6736" t="n">
        <v>0</v>
      </c>
      <c r="R6736" s="2" t="inlineStr"/>
    </row>
    <row r="6737" ht="15" customHeight="1">
      <c r="A6737" t="inlineStr">
        <is>
          <t>A 12070-2024</t>
        </is>
      </c>
      <c r="B6737" s="1" t="n">
        <v>45377.51591435185</v>
      </c>
      <c r="C6737" s="1" t="n">
        <v>45962</v>
      </c>
      <c r="D6737" t="inlineStr">
        <is>
          <t>JÖNKÖPINGS LÄN</t>
        </is>
      </c>
      <c r="E6737" t="inlineStr">
        <is>
          <t>TRANÅS</t>
        </is>
      </c>
      <c r="G6737" t="n">
        <v>12.5</v>
      </c>
      <c r="H6737" t="n">
        <v>0</v>
      </c>
      <c r="I6737" t="n">
        <v>0</v>
      </c>
      <c r="J6737" t="n">
        <v>0</v>
      </c>
      <c r="K6737" t="n">
        <v>0</v>
      </c>
      <c r="L6737" t="n">
        <v>0</v>
      </c>
      <c r="M6737" t="n">
        <v>0</v>
      </c>
      <c r="N6737" t="n">
        <v>0</v>
      </c>
      <c r="O6737" t="n">
        <v>0</v>
      </c>
      <c r="P6737" t="n">
        <v>0</v>
      </c>
      <c r="Q6737" t="n">
        <v>0</v>
      </c>
      <c r="R6737" s="2" t="inlineStr"/>
    </row>
    <row r="6738" ht="15" customHeight="1">
      <c r="A6738" t="inlineStr">
        <is>
          <t>A 12103-2024</t>
        </is>
      </c>
      <c r="B6738" s="1" t="n">
        <v>45377</v>
      </c>
      <c r="C6738" s="1" t="n">
        <v>45962</v>
      </c>
      <c r="D6738" t="inlineStr">
        <is>
          <t>JÖNKÖPINGS LÄN</t>
        </is>
      </c>
      <c r="E6738" t="inlineStr">
        <is>
          <t>NÄSSJÖ</t>
        </is>
      </c>
      <c r="G6738" t="n">
        <v>1.5</v>
      </c>
      <c r="H6738" t="n">
        <v>0</v>
      </c>
      <c r="I6738" t="n">
        <v>0</v>
      </c>
      <c r="J6738" t="n">
        <v>0</v>
      </c>
      <c r="K6738" t="n">
        <v>0</v>
      </c>
      <c r="L6738" t="n">
        <v>0</v>
      </c>
      <c r="M6738" t="n">
        <v>0</v>
      </c>
      <c r="N6738" t="n">
        <v>0</v>
      </c>
      <c r="O6738" t="n">
        <v>0</v>
      </c>
      <c r="P6738" t="n">
        <v>0</v>
      </c>
      <c r="Q6738" t="n">
        <v>0</v>
      </c>
      <c r="R6738" s="2" t="inlineStr"/>
    </row>
    <row r="6739" ht="15" customHeight="1">
      <c r="A6739" t="inlineStr">
        <is>
          <t>A 51188-2023</t>
        </is>
      </c>
      <c r="B6739" s="1" t="n">
        <v>45219</v>
      </c>
      <c r="C6739" s="1" t="n">
        <v>45962</v>
      </c>
      <c r="D6739" t="inlineStr">
        <is>
          <t>JÖNKÖPINGS LÄN</t>
        </is>
      </c>
      <c r="E6739" t="inlineStr">
        <is>
          <t>JÖNKÖPING</t>
        </is>
      </c>
      <c r="G6739" t="n">
        <v>1.2</v>
      </c>
      <c r="H6739" t="n">
        <v>0</v>
      </c>
      <c r="I6739" t="n">
        <v>0</v>
      </c>
      <c r="J6739" t="n">
        <v>0</v>
      </c>
      <c r="K6739" t="n">
        <v>0</v>
      </c>
      <c r="L6739" t="n">
        <v>0</v>
      </c>
      <c r="M6739" t="n">
        <v>0</v>
      </c>
      <c r="N6739" t="n">
        <v>0</v>
      </c>
      <c r="O6739" t="n">
        <v>0</v>
      </c>
      <c r="P6739" t="n">
        <v>0</v>
      </c>
      <c r="Q6739" t="n">
        <v>0</v>
      </c>
      <c r="R6739" s="2" t="inlineStr"/>
    </row>
    <row r="6740" ht="15" customHeight="1">
      <c r="A6740" t="inlineStr">
        <is>
          <t>A 62032-2023</t>
        </is>
      </c>
      <c r="B6740" s="1" t="n">
        <v>45265</v>
      </c>
      <c r="C6740" s="1" t="n">
        <v>45962</v>
      </c>
      <c r="D6740" t="inlineStr">
        <is>
          <t>JÖNKÖPINGS LÄN</t>
        </is>
      </c>
      <c r="E6740" t="inlineStr">
        <is>
          <t>VAGGERYD</t>
        </is>
      </c>
      <c r="G6740" t="n">
        <v>1.7</v>
      </c>
      <c r="H6740" t="n">
        <v>0</v>
      </c>
      <c r="I6740" t="n">
        <v>0</v>
      </c>
      <c r="J6740" t="n">
        <v>0</v>
      </c>
      <c r="K6740" t="n">
        <v>0</v>
      </c>
      <c r="L6740" t="n">
        <v>0</v>
      </c>
      <c r="M6740" t="n">
        <v>0</v>
      </c>
      <c r="N6740" t="n">
        <v>0</v>
      </c>
      <c r="O6740" t="n">
        <v>0</v>
      </c>
      <c r="P6740" t="n">
        <v>0</v>
      </c>
      <c r="Q6740" t="n">
        <v>0</v>
      </c>
      <c r="R6740" s="2" t="inlineStr"/>
    </row>
    <row r="6741" ht="15" customHeight="1">
      <c r="A6741" t="inlineStr">
        <is>
          <t>A 46173-2025</t>
        </is>
      </c>
      <c r="B6741" s="1" t="n">
        <v>45924</v>
      </c>
      <c r="C6741" s="1" t="n">
        <v>45962</v>
      </c>
      <c r="D6741" t="inlineStr">
        <is>
          <t>JÖNKÖPINGS LÄN</t>
        </is>
      </c>
      <c r="E6741" t="inlineStr">
        <is>
          <t>NÄSSJÖ</t>
        </is>
      </c>
      <c r="G6741" t="n">
        <v>0.7</v>
      </c>
      <c r="H6741" t="n">
        <v>0</v>
      </c>
      <c r="I6741" t="n">
        <v>0</v>
      </c>
      <c r="J6741" t="n">
        <v>0</v>
      </c>
      <c r="K6741" t="n">
        <v>0</v>
      </c>
      <c r="L6741" t="n">
        <v>0</v>
      </c>
      <c r="M6741" t="n">
        <v>0</v>
      </c>
      <c r="N6741" t="n">
        <v>0</v>
      </c>
      <c r="O6741" t="n">
        <v>0</v>
      </c>
      <c r="P6741" t="n">
        <v>0</v>
      </c>
      <c r="Q6741" t="n">
        <v>0</v>
      </c>
      <c r="R6741" s="2" t="inlineStr"/>
    </row>
    <row r="6742" ht="15" customHeight="1">
      <c r="A6742" t="inlineStr">
        <is>
          <t>A 39953-2025</t>
        </is>
      </c>
      <c r="B6742" s="1" t="n">
        <v>45892.42259259259</v>
      </c>
      <c r="C6742" s="1" t="n">
        <v>45962</v>
      </c>
      <c r="D6742" t="inlineStr">
        <is>
          <t>JÖNKÖPINGS LÄN</t>
        </is>
      </c>
      <c r="E6742" t="inlineStr">
        <is>
          <t>JÖNKÖPING</t>
        </is>
      </c>
      <c r="G6742" t="n">
        <v>5.7</v>
      </c>
      <c r="H6742" t="n">
        <v>0</v>
      </c>
      <c r="I6742" t="n">
        <v>0</v>
      </c>
      <c r="J6742" t="n">
        <v>0</v>
      </c>
      <c r="K6742" t="n">
        <v>0</v>
      </c>
      <c r="L6742" t="n">
        <v>0</v>
      </c>
      <c r="M6742" t="n">
        <v>0</v>
      </c>
      <c r="N6742" t="n">
        <v>0</v>
      </c>
      <c r="O6742" t="n">
        <v>0</v>
      </c>
      <c r="P6742" t="n">
        <v>0</v>
      </c>
      <c r="Q6742" t="n">
        <v>0</v>
      </c>
      <c r="R6742" s="2" t="inlineStr"/>
    </row>
    <row r="6743" ht="15" customHeight="1">
      <c r="A6743" t="inlineStr">
        <is>
          <t>A 39954-2025</t>
        </is>
      </c>
      <c r="B6743" s="1" t="n">
        <v>45892.43763888889</v>
      </c>
      <c r="C6743" s="1" t="n">
        <v>45962</v>
      </c>
      <c r="D6743" t="inlineStr">
        <is>
          <t>JÖNKÖPINGS LÄN</t>
        </is>
      </c>
      <c r="E6743" t="inlineStr">
        <is>
          <t>JÖNKÖPING</t>
        </is>
      </c>
      <c r="G6743" t="n">
        <v>1.5</v>
      </c>
      <c r="H6743" t="n">
        <v>0</v>
      </c>
      <c r="I6743" t="n">
        <v>0</v>
      </c>
      <c r="J6743" t="n">
        <v>0</v>
      </c>
      <c r="K6743" t="n">
        <v>0</v>
      </c>
      <c r="L6743" t="n">
        <v>0</v>
      </c>
      <c r="M6743" t="n">
        <v>0</v>
      </c>
      <c r="N6743" t="n">
        <v>0</v>
      </c>
      <c r="O6743" t="n">
        <v>0</v>
      </c>
      <c r="P6743" t="n">
        <v>0</v>
      </c>
      <c r="Q6743" t="n">
        <v>0</v>
      </c>
      <c r="R6743" s="2" t="inlineStr"/>
    </row>
    <row r="6744" ht="15" customHeight="1">
      <c r="A6744" t="inlineStr">
        <is>
          <t>A 40209-2025</t>
        </is>
      </c>
      <c r="B6744" s="1" t="n">
        <v>45894.68030092592</v>
      </c>
      <c r="C6744" s="1" t="n">
        <v>45962</v>
      </c>
      <c r="D6744" t="inlineStr">
        <is>
          <t>JÖNKÖPINGS LÄN</t>
        </is>
      </c>
      <c r="E6744" t="inlineStr">
        <is>
          <t>SÄVSJÖ</t>
        </is>
      </c>
      <c r="G6744" t="n">
        <v>0.9</v>
      </c>
      <c r="H6744" t="n">
        <v>0</v>
      </c>
      <c r="I6744" t="n">
        <v>0</v>
      </c>
      <c r="J6744" t="n">
        <v>0</v>
      </c>
      <c r="K6744" t="n">
        <v>0</v>
      </c>
      <c r="L6744" t="n">
        <v>0</v>
      </c>
      <c r="M6744" t="n">
        <v>0</v>
      </c>
      <c r="N6744" t="n">
        <v>0</v>
      </c>
      <c r="O6744" t="n">
        <v>0</v>
      </c>
      <c r="P6744" t="n">
        <v>0</v>
      </c>
      <c r="Q6744" t="n">
        <v>0</v>
      </c>
      <c r="R6744" s="2" t="inlineStr"/>
    </row>
    <row r="6745" ht="15" customHeight="1">
      <c r="A6745" t="inlineStr">
        <is>
          <t>A 48932-2025</t>
        </is>
      </c>
      <c r="B6745" s="1" t="n">
        <v>45937.52329861111</v>
      </c>
      <c r="C6745" s="1" t="n">
        <v>45962</v>
      </c>
      <c r="D6745" t="inlineStr">
        <is>
          <t>JÖNKÖPINGS LÄN</t>
        </is>
      </c>
      <c r="E6745" t="inlineStr">
        <is>
          <t>GISLAVED</t>
        </is>
      </c>
      <c r="G6745" t="n">
        <v>1.6</v>
      </c>
      <c r="H6745" t="n">
        <v>0</v>
      </c>
      <c r="I6745" t="n">
        <v>0</v>
      </c>
      <c r="J6745" t="n">
        <v>0</v>
      </c>
      <c r="K6745" t="n">
        <v>0</v>
      </c>
      <c r="L6745" t="n">
        <v>0</v>
      </c>
      <c r="M6745" t="n">
        <v>0</v>
      </c>
      <c r="N6745" t="n">
        <v>0</v>
      </c>
      <c r="O6745" t="n">
        <v>0</v>
      </c>
      <c r="P6745" t="n">
        <v>0</v>
      </c>
      <c r="Q6745" t="n">
        <v>0</v>
      </c>
      <c r="R6745" s="2" t="inlineStr"/>
    </row>
    <row r="6746" ht="15" customHeight="1">
      <c r="A6746" t="inlineStr">
        <is>
          <t>A 48935-2025</t>
        </is>
      </c>
      <c r="B6746" s="1" t="n">
        <v>45937.525</v>
      </c>
      <c r="C6746" s="1" t="n">
        <v>45962</v>
      </c>
      <c r="D6746" t="inlineStr">
        <is>
          <t>JÖNKÖPINGS LÄN</t>
        </is>
      </c>
      <c r="E6746" t="inlineStr">
        <is>
          <t>GISLAVED</t>
        </is>
      </c>
      <c r="G6746" t="n">
        <v>1.3</v>
      </c>
      <c r="H6746" t="n">
        <v>0</v>
      </c>
      <c r="I6746" t="n">
        <v>0</v>
      </c>
      <c r="J6746" t="n">
        <v>0</v>
      </c>
      <c r="K6746" t="n">
        <v>0</v>
      </c>
      <c r="L6746" t="n">
        <v>0</v>
      </c>
      <c r="M6746" t="n">
        <v>0</v>
      </c>
      <c r="N6746" t="n">
        <v>0</v>
      </c>
      <c r="O6746" t="n">
        <v>0</v>
      </c>
      <c r="P6746" t="n">
        <v>0</v>
      </c>
      <c r="Q6746" t="n">
        <v>0</v>
      </c>
      <c r="R6746" s="2" t="inlineStr"/>
    </row>
    <row r="6747" ht="15" customHeight="1">
      <c r="A6747" t="inlineStr">
        <is>
          <t>A 11142-2021</t>
        </is>
      </c>
      <c r="B6747" s="1" t="n">
        <v>44261</v>
      </c>
      <c r="C6747" s="1" t="n">
        <v>45962</v>
      </c>
      <c r="D6747" t="inlineStr">
        <is>
          <t>JÖNKÖPINGS LÄN</t>
        </is>
      </c>
      <c r="E6747" t="inlineStr">
        <is>
          <t>JÖNKÖPING</t>
        </is>
      </c>
      <c r="G6747" t="n">
        <v>1.7</v>
      </c>
      <c r="H6747" t="n">
        <v>0</v>
      </c>
      <c r="I6747" t="n">
        <v>0</v>
      </c>
      <c r="J6747" t="n">
        <v>0</v>
      </c>
      <c r="K6747" t="n">
        <v>0</v>
      </c>
      <c r="L6747" t="n">
        <v>0</v>
      </c>
      <c r="M6747" t="n">
        <v>0</v>
      </c>
      <c r="N6747" t="n">
        <v>0</v>
      </c>
      <c r="O6747" t="n">
        <v>0</v>
      </c>
      <c r="P6747" t="n">
        <v>0</v>
      </c>
      <c r="Q6747" t="n">
        <v>0</v>
      </c>
      <c r="R6747" s="2" t="inlineStr"/>
    </row>
    <row r="6748" ht="15" customHeight="1">
      <c r="A6748" t="inlineStr">
        <is>
          <t>A 49003-2025</t>
        </is>
      </c>
      <c r="B6748" s="1" t="n">
        <v>45932</v>
      </c>
      <c r="C6748" s="1" t="n">
        <v>45962</v>
      </c>
      <c r="D6748" t="inlineStr">
        <is>
          <t>JÖNKÖPINGS LÄN</t>
        </is>
      </c>
      <c r="E6748" t="inlineStr">
        <is>
          <t>TRANÅS</t>
        </is>
      </c>
      <c r="G6748" t="n">
        <v>1.9</v>
      </c>
      <c r="H6748" t="n">
        <v>0</v>
      </c>
      <c r="I6748" t="n">
        <v>0</v>
      </c>
      <c r="J6748" t="n">
        <v>0</v>
      </c>
      <c r="K6748" t="n">
        <v>0</v>
      </c>
      <c r="L6748" t="n">
        <v>0</v>
      </c>
      <c r="M6748" t="n">
        <v>0</v>
      </c>
      <c r="N6748" t="n">
        <v>0</v>
      </c>
      <c r="O6748" t="n">
        <v>0</v>
      </c>
      <c r="P6748" t="n">
        <v>0</v>
      </c>
      <c r="Q6748" t="n">
        <v>0</v>
      </c>
      <c r="R6748" s="2" t="inlineStr"/>
    </row>
    <row r="6749" ht="15" customHeight="1">
      <c r="A6749" t="inlineStr">
        <is>
          <t>A 9880-2024</t>
        </is>
      </c>
      <c r="B6749" s="1" t="n">
        <v>45363.45428240741</v>
      </c>
      <c r="C6749" s="1" t="n">
        <v>45962</v>
      </c>
      <c r="D6749" t="inlineStr">
        <is>
          <t>JÖNKÖPINGS LÄN</t>
        </is>
      </c>
      <c r="E6749" t="inlineStr">
        <is>
          <t>ANEBY</t>
        </is>
      </c>
      <c r="G6749" t="n">
        <v>1.3</v>
      </c>
      <c r="H6749" t="n">
        <v>0</v>
      </c>
      <c r="I6749" t="n">
        <v>0</v>
      </c>
      <c r="J6749" t="n">
        <v>0</v>
      </c>
      <c r="K6749" t="n">
        <v>0</v>
      </c>
      <c r="L6749" t="n">
        <v>0</v>
      </c>
      <c r="M6749" t="n">
        <v>0</v>
      </c>
      <c r="N6749" t="n">
        <v>0</v>
      </c>
      <c r="O6749" t="n">
        <v>0</v>
      </c>
      <c r="P6749" t="n">
        <v>0</v>
      </c>
      <c r="Q6749" t="n">
        <v>0</v>
      </c>
      <c r="R6749" s="2" t="inlineStr"/>
    </row>
    <row r="6750" ht="15" customHeight="1">
      <c r="A6750" t="inlineStr">
        <is>
          <t>A 9883-2024</t>
        </is>
      </c>
      <c r="B6750" s="1" t="n">
        <v>45363.45982638889</v>
      </c>
      <c r="C6750" s="1" t="n">
        <v>45962</v>
      </c>
      <c r="D6750" t="inlineStr">
        <is>
          <t>JÖNKÖPINGS LÄN</t>
        </is>
      </c>
      <c r="E6750" t="inlineStr">
        <is>
          <t>JÖNKÖPING</t>
        </is>
      </c>
      <c r="G6750" t="n">
        <v>0.7</v>
      </c>
      <c r="H6750" t="n">
        <v>0</v>
      </c>
      <c r="I6750" t="n">
        <v>0</v>
      </c>
      <c r="J6750" t="n">
        <v>0</v>
      </c>
      <c r="K6750" t="n">
        <v>0</v>
      </c>
      <c r="L6750" t="n">
        <v>0</v>
      </c>
      <c r="M6750" t="n">
        <v>0</v>
      </c>
      <c r="N6750" t="n">
        <v>0</v>
      </c>
      <c r="O6750" t="n">
        <v>0</v>
      </c>
      <c r="P6750" t="n">
        <v>0</v>
      </c>
      <c r="Q6750" t="n">
        <v>0</v>
      </c>
      <c r="R6750" s="2" t="inlineStr"/>
    </row>
    <row r="6751" ht="15" customHeight="1">
      <c r="A6751" t="inlineStr">
        <is>
          <t>A 64440-2023</t>
        </is>
      </c>
      <c r="B6751" s="1" t="n">
        <v>45280.68394675926</v>
      </c>
      <c r="C6751" s="1" t="n">
        <v>45962</v>
      </c>
      <c r="D6751" t="inlineStr">
        <is>
          <t>JÖNKÖPINGS LÄN</t>
        </is>
      </c>
      <c r="E6751" t="inlineStr">
        <is>
          <t>VAGGERYD</t>
        </is>
      </c>
      <c r="G6751" t="n">
        <v>2</v>
      </c>
      <c r="H6751" t="n">
        <v>0</v>
      </c>
      <c r="I6751" t="n">
        <v>0</v>
      </c>
      <c r="J6751" t="n">
        <v>0</v>
      </c>
      <c r="K6751" t="n">
        <v>0</v>
      </c>
      <c r="L6751" t="n">
        <v>0</v>
      </c>
      <c r="M6751" t="n">
        <v>0</v>
      </c>
      <c r="N6751" t="n">
        <v>0</v>
      </c>
      <c r="O6751" t="n">
        <v>0</v>
      </c>
      <c r="P6751" t="n">
        <v>0</v>
      </c>
      <c r="Q6751" t="n">
        <v>0</v>
      </c>
      <c r="R6751" s="2" t="inlineStr"/>
    </row>
    <row r="6752" ht="15" customHeight="1">
      <c r="A6752" t="inlineStr">
        <is>
          <t>A 18892-2025</t>
        </is>
      </c>
      <c r="B6752" s="1" t="n">
        <v>45764.44802083333</v>
      </c>
      <c r="C6752" s="1" t="n">
        <v>45962</v>
      </c>
      <c r="D6752" t="inlineStr">
        <is>
          <t>JÖNKÖPINGS LÄN</t>
        </is>
      </c>
      <c r="E6752" t="inlineStr">
        <is>
          <t>VÄRNAMO</t>
        </is>
      </c>
      <c r="G6752" t="n">
        <v>0.8</v>
      </c>
      <c r="H6752" t="n">
        <v>0</v>
      </c>
      <c r="I6752" t="n">
        <v>0</v>
      </c>
      <c r="J6752" t="n">
        <v>0</v>
      </c>
      <c r="K6752" t="n">
        <v>0</v>
      </c>
      <c r="L6752" t="n">
        <v>0</v>
      </c>
      <c r="M6752" t="n">
        <v>0</v>
      </c>
      <c r="N6752" t="n">
        <v>0</v>
      </c>
      <c r="O6752" t="n">
        <v>0</v>
      </c>
      <c r="P6752" t="n">
        <v>0</v>
      </c>
      <c r="Q6752" t="n">
        <v>0</v>
      </c>
      <c r="R6752" s="2" t="inlineStr"/>
    </row>
    <row r="6753" ht="15" customHeight="1">
      <c r="A6753" t="inlineStr">
        <is>
          <t>A 62011-2020</t>
        </is>
      </c>
      <c r="B6753" s="1" t="n">
        <v>44159</v>
      </c>
      <c r="C6753" s="1" t="n">
        <v>45962</v>
      </c>
      <c r="D6753" t="inlineStr">
        <is>
          <t>JÖNKÖPINGS LÄN</t>
        </is>
      </c>
      <c r="E6753" t="inlineStr">
        <is>
          <t>VAGGERYD</t>
        </is>
      </c>
      <c r="G6753" t="n">
        <v>0.6</v>
      </c>
      <c r="H6753" t="n">
        <v>0</v>
      </c>
      <c r="I6753" t="n">
        <v>0</v>
      </c>
      <c r="J6753" t="n">
        <v>0</v>
      </c>
      <c r="K6753" t="n">
        <v>0</v>
      </c>
      <c r="L6753" t="n">
        <v>0</v>
      </c>
      <c r="M6753" t="n">
        <v>0</v>
      </c>
      <c r="N6753" t="n">
        <v>0</v>
      </c>
      <c r="O6753" t="n">
        <v>0</v>
      </c>
      <c r="P6753" t="n">
        <v>0</v>
      </c>
      <c r="Q6753" t="n">
        <v>0</v>
      </c>
      <c r="R6753" s="2" t="inlineStr"/>
    </row>
    <row r="6754" ht="15" customHeight="1">
      <c r="A6754" t="inlineStr">
        <is>
          <t>A 46245-2025</t>
        </is>
      </c>
      <c r="B6754" s="1" t="n">
        <v>45925.32434027778</v>
      </c>
      <c r="C6754" s="1" t="n">
        <v>45962</v>
      </c>
      <c r="D6754" t="inlineStr">
        <is>
          <t>JÖNKÖPINGS LÄN</t>
        </is>
      </c>
      <c r="E6754" t="inlineStr">
        <is>
          <t>GNOSJÖ</t>
        </is>
      </c>
      <c r="G6754" t="n">
        <v>0.7</v>
      </c>
      <c r="H6754" t="n">
        <v>0</v>
      </c>
      <c r="I6754" t="n">
        <v>0</v>
      </c>
      <c r="J6754" t="n">
        <v>0</v>
      </c>
      <c r="K6754" t="n">
        <v>0</v>
      </c>
      <c r="L6754" t="n">
        <v>0</v>
      </c>
      <c r="M6754" t="n">
        <v>0</v>
      </c>
      <c r="N6754" t="n">
        <v>0</v>
      </c>
      <c r="O6754" t="n">
        <v>0</v>
      </c>
      <c r="P6754" t="n">
        <v>0</v>
      </c>
      <c r="Q6754" t="n">
        <v>0</v>
      </c>
      <c r="R6754" s="2" t="inlineStr"/>
    </row>
    <row r="6755" ht="15" customHeight="1">
      <c r="A6755" t="inlineStr">
        <is>
          <t>A 46261-2025</t>
        </is>
      </c>
      <c r="B6755" s="1" t="n">
        <v>45925.36075231482</v>
      </c>
      <c r="C6755" s="1" t="n">
        <v>45962</v>
      </c>
      <c r="D6755" t="inlineStr">
        <is>
          <t>JÖNKÖPINGS LÄN</t>
        </is>
      </c>
      <c r="E6755" t="inlineStr">
        <is>
          <t>VETLANDA</t>
        </is>
      </c>
      <c r="G6755" t="n">
        <v>0.6</v>
      </c>
      <c r="H6755" t="n">
        <v>0</v>
      </c>
      <c r="I6755" t="n">
        <v>0</v>
      </c>
      <c r="J6755" t="n">
        <v>0</v>
      </c>
      <c r="K6755" t="n">
        <v>0</v>
      </c>
      <c r="L6755" t="n">
        <v>0</v>
      </c>
      <c r="M6755" t="n">
        <v>0</v>
      </c>
      <c r="N6755" t="n">
        <v>0</v>
      </c>
      <c r="O6755" t="n">
        <v>0</v>
      </c>
      <c r="P6755" t="n">
        <v>0</v>
      </c>
      <c r="Q6755" t="n">
        <v>0</v>
      </c>
      <c r="R6755" s="2" t="inlineStr"/>
    </row>
    <row r="6756" ht="15" customHeight="1">
      <c r="A6756" t="inlineStr">
        <is>
          <t>A 50304-2024</t>
        </is>
      </c>
      <c r="B6756" s="1" t="n">
        <v>45600.63541666666</v>
      </c>
      <c r="C6756" s="1" t="n">
        <v>45962</v>
      </c>
      <c r="D6756" t="inlineStr">
        <is>
          <t>JÖNKÖPINGS LÄN</t>
        </is>
      </c>
      <c r="E6756" t="inlineStr">
        <is>
          <t>GNOSJÖ</t>
        </is>
      </c>
      <c r="G6756" t="n">
        <v>1.6</v>
      </c>
      <c r="H6756" t="n">
        <v>0</v>
      </c>
      <c r="I6756" t="n">
        <v>0</v>
      </c>
      <c r="J6756" t="n">
        <v>0</v>
      </c>
      <c r="K6756" t="n">
        <v>0</v>
      </c>
      <c r="L6756" t="n">
        <v>0</v>
      </c>
      <c r="M6756" t="n">
        <v>0</v>
      </c>
      <c r="N6756" t="n">
        <v>0</v>
      </c>
      <c r="O6756" t="n">
        <v>0</v>
      </c>
      <c r="P6756" t="n">
        <v>0</v>
      </c>
      <c r="Q6756" t="n">
        <v>0</v>
      </c>
      <c r="R6756" s="2" t="inlineStr"/>
    </row>
    <row r="6757" ht="15" customHeight="1">
      <c r="A6757" t="inlineStr">
        <is>
          <t>A 56051-2023</t>
        </is>
      </c>
      <c r="B6757" s="1" t="n">
        <v>45240</v>
      </c>
      <c r="C6757" s="1" t="n">
        <v>45962</v>
      </c>
      <c r="D6757" t="inlineStr">
        <is>
          <t>JÖNKÖPINGS LÄN</t>
        </is>
      </c>
      <c r="E6757" t="inlineStr">
        <is>
          <t>JÖNKÖPING</t>
        </is>
      </c>
      <c r="G6757" t="n">
        <v>1.3</v>
      </c>
      <c r="H6757" t="n">
        <v>0</v>
      </c>
      <c r="I6757" t="n">
        <v>0</v>
      </c>
      <c r="J6757" t="n">
        <v>0</v>
      </c>
      <c r="K6757" t="n">
        <v>0</v>
      </c>
      <c r="L6757" t="n">
        <v>0</v>
      </c>
      <c r="M6757" t="n">
        <v>0</v>
      </c>
      <c r="N6757" t="n">
        <v>0</v>
      </c>
      <c r="O6757" t="n">
        <v>0</v>
      </c>
      <c r="P6757" t="n">
        <v>0</v>
      </c>
      <c r="Q6757" t="n">
        <v>0</v>
      </c>
      <c r="R6757" s="2" t="inlineStr"/>
    </row>
    <row r="6758" ht="15" customHeight="1">
      <c r="A6758" t="inlineStr">
        <is>
          <t>A 11022-2024</t>
        </is>
      </c>
      <c r="B6758" s="1" t="n">
        <v>45370.63266203704</v>
      </c>
      <c r="C6758" s="1" t="n">
        <v>45962</v>
      </c>
      <c r="D6758" t="inlineStr">
        <is>
          <t>JÖNKÖPINGS LÄN</t>
        </is>
      </c>
      <c r="E6758" t="inlineStr">
        <is>
          <t>EKSJÖ</t>
        </is>
      </c>
      <c r="G6758" t="n">
        <v>0.8</v>
      </c>
      <c r="H6758" t="n">
        <v>0</v>
      </c>
      <c r="I6758" t="n">
        <v>0</v>
      </c>
      <c r="J6758" t="n">
        <v>0</v>
      </c>
      <c r="K6758" t="n">
        <v>0</v>
      </c>
      <c r="L6758" t="n">
        <v>0</v>
      </c>
      <c r="M6758" t="n">
        <v>0</v>
      </c>
      <c r="N6758" t="n">
        <v>0</v>
      </c>
      <c r="O6758" t="n">
        <v>0</v>
      </c>
      <c r="P6758" t="n">
        <v>0</v>
      </c>
      <c r="Q6758" t="n">
        <v>0</v>
      </c>
      <c r="R6758" s="2" t="inlineStr"/>
    </row>
    <row r="6759" ht="15" customHeight="1">
      <c r="A6759" t="inlineStr">
        <is>
          <t>A 11035-2024</t>
        </is>
      </c>
      <c r="B6759" s="1" t="n">
        <v>45370.65384259259</v>
      </c>
      <c r="C6759" s="1" t="n">
        <v>45962</v>
      </c>
      <c r="D6759" t="inlineStr">
        <is>
          <t>JÖNKÖPINGS LÄN</t>
        </is>
      </c>
      <c r="E6759" t="inlineStr">
        <is>
          <t>VAGGERYD</t>
        </is>
      </c>
      <c r="G6759" t="n">
        <v>1.8</v>
      </c>
      <c r="H6759" t="n">
        <v>0</v>
      </c>
      <c r="I6759" t="n">
        <v>0</v>
      </c>
      <c r="J6759" t="n">
        <v>0</v>
      </c>
      <c r="K6759" t="n">
        <v>0</v>
      </c>
      <c r="L6759" t="n">
        <v>0</v>
      </c>
      <c r="M6759" t="n">
        <v>0</v>
      </c>
      <c r="N6759" t="n">
        <v>0</v>
      </c>
      <c r="O6759" t="n">
        <v>0</v>
      </c>
      <c r="P6759" t="n">
        <v>0</v>
      </c>
      <c r="Q6759" t="n">
        <v>0</v>
      </c>
      <c r="R6759" s="2" t="inlineStr"/>
    </row>
    <row r="6760" ht="15" customHeight="1">
      <c r="A6760" t="inlineStr">
        <is>
          <t>A 40101-2025</t>
        </is>
      </c>
      <c r="B6760" s="1" t="n">
        <v>45894.48487268519</v>
      </c>
      <c r="C6760" s="1" t="n">
        <v>45962</v>
      </c>
      <c r="D6760" t="inlineStr">
        <is>
          <t>JÖNKÖPINGS LÄN</t>
        </is>
      </c>
      <c r="E6760" t="inlineStr">
        <is>
          <t>VÄRNAMO</t>
        </is>
      </c>
      <c r="G6760" t="n">
        <v>4.4</v>
      </c>
      <c r="H6760" t="n">
        <v>0</v>
      </c>
      <c r="I6760" t="n">
        <v>0</v>
      </c>
      <c r="J6760" t="n">
        <v>0</v>
      </c>
      <c r="K6760" t="n">
        <v>0</v>
      </c>
      <c r="L6760" t="n">
        <v>0</v>
      </c>
      <c r="M6760" t="n">
        <v>0</v>
      </c>
      <c r="N6760" t="n">
        <v>0</v>
      </c>
      <c r="O6760" t="n">
        <v>0</v>
      </c>
      <c r="P6760" t="n">
        <v>0</v>
      </c>
      <c r="Q6760" t="n">
        <v>0</v>
      </c>
      <c r="R6760" s="2" t="inlineStr"/>
    </row>
    <row r="6761" ht="15" customHeight="1">
      <c r="A6761" t="inlineStr">
        <is>
          <t>A 571-2025</t>
        </is>
      </c>
      <c r="B6761" s="1" t="n">
        <v>45664.5633912037</v>
      </c>
      <c r="C6761" s="1" t="n">
        <v>45962</v>
      </c>
      <c r="D6761" t="inlineStr">
        <is>
          <t>JÖNKÖPINGS LÄN</t>
        </is>
      </c>
      <c r="E6761" t="inlineStr">
        <is>
          <t>VÄRNAMO</t>
        </is>
      </c>
      <c r="G6761" t="n">
        <v>2.2</v>
      </c>
      <c r="H6761" t="n">
        <v>0</v>
      </c>
      <c r="I6761" t="n">
        <v>0</v>
      </c>
      <c r="J6761" t="n">
        <v>0</v>
      </c>
      <c r="K6761" t="n">
        <v>0</v>
      </c>
      <c r="L6761" t="n">
        <v>0</v>
      </c>
      <c r="M6761" t="n">
        <v>0</v>
      </c>
      <c r="N6761" t="n">
        <v>0</v>
      </c>
      <c r="O6761" t="n">
        <v>0</v>
      </c>
      <c r="P6761" t="n">
        <v>0</v>
      </c>
      <c r="Q6761" t="n">
        <v>0</v>
      </c>
      <c r="R6761" s="2" t="inlineStr"/>
    </row>
    <row r="6762" ht="15" customHeight="1">
      <c r="A6762" t="inlineStr">
        <is>
          <t>A 46235-2025</t>
        </is>
      </c>
      <c r="B6762" s="1" t="n">
        <v>45925.29628472222</v>
      </c>
      <c r="C6762" s="1" t="n">
        <v>45962</v>
      </c>
      <c r="D6762" t="inlineStr">
        <is>
          <t>JÖNKÖPINGS LÄN</t>
        </is>
      </c>
      <c r="E6762" t="inlineStr">
        <is>
          <t>GNOSJÖ</t>
        </is>
      </c>
      <c r="G6762" t="n">
        <v>4.3</v>
      </c>
      <c r="H6762" t="n">
        <v>0</v>
      </c>
      <c r="I6762" t="n">
        <v>0</v>
      </c>
      <c r="J6762" t="n">
        <v>0</v>
      </c>
      <c r="K6762" t="n">
        <v>0</v>
      </c>
      <c r="L6762" t="n">
        <v>0</v>
      </c>
      <c r="M6762" t="n">
        <v>0</v>
      </c>
      <c r="N6762" t="n">
        <v>0</v>
      </c>
      <c r="O6762" t="n">
        <v>0</v>
      </c>
      <c r="P6762" t="n">
        <v>0</v>
      </c>
      <c r="Q6762" t="n">
        <v>0</v>
      </c>
      <c r="R6762" s="2" t="inlineStr"/>
    </row>
    <row r="6763" ht="15" customHeight="1">
      <c r="A6763" t="inlineStr">
        <is>
          <t>A 29033-2023</t>
        </is>
      </c>
      <c r="B6763" s="1" t="n">
        <v>45104.73836805556</v>
      </c>
      <c r="C6763" s="1" t="n">
        <v>45962</v>
      </c>
      <c r="D6763" t="inlineStr">
        <is>
          <t>JÖNKÖPINGS LÄN</t>
        </is>
      </c>
      <c r="E6763" t="inlineStr">
        <is>
          <t>VETLANDA</t>
        </is>
      </c>
      <c r="G6763" t="n">
        <v>7.6</v>
      </c>
      <c r="H6763" t="n">
        <v>0</v>
      </c>
      <c r="I6763" t="n">
        <v>0</v>
      </c>
      <c r="J6763" t="n">
        <v>0</v>
      </c>
      <c r="K6763" t="n">
        <v>0</v>
      </c>
      <c r="L6763" t="n">
        <v>0</v>
      </c>
      <c r="M6763" t="n">
        <v>0</v>
      </c>
      <c r="N6763" t="n">
        <v>0</v>
      </c>
      <c r="O6763" t="n">
        <v>0</v>
      </c>
      <c r="P6763" t="n">
        <v>0</v>
      </c>
      <c r="Q6763" t="n">
        <v>0</v>
      </c>
      <c r="R6763" s="2" t="inlineStr"/>
    </row>
    <row r="6764" ht="15" customHeight="1">
      <c r="A6764" t="inlineStr">
        <is>
          <t>A 5629-2024</t>
        </is>
      </c>
      <c r="B6764" s="1" t="n">
        <v>45334.60681712963</v>
      </c>
      <c r="C6764" s="1" t="n">
        <v>45962</v>
      </c>
      <c r="D6764" t="inlineStr">
        <is>
          <t>JÖNKÖPINGS LÄN</t>
        </is>
      </c>
      <c r="E6764" t="inlineStr">
        <is>
          <t>EKSJÖ</t>
        </is>
      </c>
      <c r="F6764" t="inlineStr">
        <is>
          <t>Sveaskog</t>
        </is>
      </c>
      <c r="G6764" t="n">
        <v>1.6</v>
      </c>
      <c r="H6764" t="n">
        <v>0</v>
      </c>
      <c r="I6764" t="n">
        <v>0</v>
      </c>
      <c r="J6764" t="n">
        <v>0</v>
      </c>
      <c r="K6764" t="n">
        <v>0</v>
      </c>
      <c r="L6764" t="n">
        <v>0</v>
      </c>
      <c r="M6764" t="n">
        <v>0</v>
      </c>
      <c r="N6764" t="n">
        <v>0</v>
      </c>
      <c r="O6764" t="n">
        <v>0</v>
      </c>
      <c r="P6764" t="n">
        <v>0</v>
      </c>
      <c r="Q6764" t="n">
        <v>0</v>
      </c>
      <c r="R6764" s="2" t="inlineStr"/>
    </row>
    <row r="6765" ht="15" customHeight="1">
      <c r="A6765" t="inlineStr">
        <is>
          <t>A 5673-2024</t>
        </is>
      </c>
      <c r="B6765" s="1" t="n">
        <v>45334.66583333333</v>
      </c>
      <c r="C6765" s="1" t="n">
        <v>45962</v>
      </c>
      <c r="D6765" t="inlineStr">
        <is>
          <t>JÖNKÖPINGS LÄN</t>
        </is>
      </c>
      <c r="E6765" t="inlineStr">
        <is>
          <t>SÄVSJÖ</t>
        </is>
      </c>
      <c r="G6765" t="n">
        <v>0.7</v>
      </c>
      <c r="H6765" t="n">
        <v>0</v>
      </c>
      <c r="I6765" t="n">
        <v>0</v>
      </c>
      <c r="J6765" t="n">
        <v>0</v>
      </c>
      <c r="K6765" t="n">
        <v>0</v>
      </c>
      <c r="L6765" t="n">
        <v>0</v>
      </c>
      <c r="M6765" t="n">
        <v>0</v>
      </c>
      <c r="N6765" t="n">
        <v>0</v>
      </c>
      <c r="O6765" t="n">
        <v>0</v>
      </c>
      <c r="P6765" t="n">
        <v>0</v>
      </c>
      <c r="Q6765" t="n">
        <v>0</v>
      </c>
      <c r="R6765" s="2" t="inlineStr"/>
    </row>
    <row r="6766" ht="15" customHeight="1">
      <c r="A6766" t="inlineStr">
        <is>
          <t>A 46050-2025</t>
        </is>
      </c>
      <c r="B6766" s="1" t="n">
        <v>45924.45907407408</v>
      </c>
      <c r="C6766" s="1" t="n">
        <v>45962</v>
      </c>
      <c r="D6766" t="inlineStr">
        <is>
          <t>JÖNKÖPINGS LÄN</t>
        </is>
      </c>
      <c r="E6766" t="inlineStr">
        <is>
          <t>VÄRNAMO</t>
        </is>
      </c>
      <c r="G6766" t="n">
        <v>1.1</v>
      </c>
      <c r="H6766" t="n">
        <v>0</v>
      </c>
      <c r="I6766" t="n">
        <v>0</v>
      </c>
      <c r="J6766" t="n">
        <v>0</v>
      </c>
      <c r="K6766" t="n">
        <v>0</v>
      </c>
      <c r="L6766" t="n">
        <v>0</v>
      </c>
      <c r="M6766" t="n">
        <v>0</v>
      </c>
      <c r="N6766" t="n">
        <v>0</v>
      </c>
      <c r="O6766" t="n">
        <v>0</v>
      </c>
      <c r="P6766" t="n">
        <v>0</v>
      </c>
      <c r="Q6766" t="n">
        <v>0</v>
      </c>
      <c r="R6766" s="2" t="inlineStr"/>
    </row>
    <row r="6767" ht="15" customHeight="1">
      <c r="A6767" t="inlineStr">
        <is>
          <t>A 55955-2024</t>
        </is>
      </c>
      <c r="B6767" s="1" t="n">
        <v>45623.62873842593</v>
      </c>
      <c r="C6767" s="1" t="n">
        <v>45962</v>
      </c>
      <c r="D6767" t="inlineStr">
        <is>
          <t>JÖNKÖPINGS LÄN</t>
        </is>
      </c>
      <c r="E6767" t="inlineStr">
        <is>
          <t>VETLANDA</t>
        </is>
      </c>
      <c r="G6767" t="n">
        <v>1.6</v>
      </c>
      <c r="H6767" t="n">
        <v>0</v>
      </c>
      <c r="I6767" t="n">
        <v>0</v>
      </c>
      <c r="J6767" t="n">
        <v>0</v>
      </c>
      <c r="K6767" t="n">
        <v>0</v>
      </c>
      <c r="L6767" t="n">
        <v>0</v>
      </c>
      <c r="M6767" t="n">
        <v>0</v>
      </c>
      <c r="N6767" t="n">
        <v>0</v>
      </c>
      <c r="O6767" t="n">
        <v>0</v>
      </c>
      <c r="P6767" t="n">
        <v>0</v>
      </c>
      <c r="Q6767" t="n">
        <v>0</v>
      </c>
      <c r="R6767" s="2" t="inlineStr"/>
    </row>
    <row r="6768" ht="15" customHeight="1">
      <c r="A6768" t="inlineStr">
        <is>
          <t>A 46285-2025</t>
        </is>
      </c>
      <c r="B6768" s="1" t="n">
        <v>45925.3837037037</v>
      </c>
      <c r="C6768" s="1" t="n">
        <v>45962</v>
      </c>
      <c r="D6768" t="inlineStr">
        <is>
          <t>JÖNKÖPINGS LÄN</t>
        </is>
      </c>
      <c r="E6768" t="inlineStr">
        <is>
          <t>VETLANDA</t>
        </is>
      </c>
      <c r="G6768" t="n">
        <v>1.6</v>
      </c>
      <c r="H6768" t="n">
        <v>0</v>
      </c>
      <c r="I6768" t="n">
        <v>0</v>
      </c>
      <c r="J6768" t="n">
        <v>0</v>
      </c>
      <c r="K6768" t="n">
        <v>0</v>
      </c>
      <c r="L6768" t="n">
        <v>0</v>
      </c>
      <c r="M6768" t="n">
        <v>0</v>
      </c>
      <c r="N6768" t="n">
        <v>0</v>
      </c>
      <c r="O6768" t="n">
        <v>0</v>
      </c>
      <c r="P6768" t="n">
        <v>0</v>
      </c>
      <c r="Q6768" t="n">
        <v>0</v>
      </c>
      <c r="R6768" s="2" t="inlineStr"/>
    </row>
    <row r="6769" ht="15" customHeight="1">
      <c r="A6769" t="inlineStr">
        <is>
          <t>A 47800-2025</t>
        </is>
      </c>
      <c r="B6769" s="1" t="n">
        <v>45931</v>
      </c>
      <c r="C6769" s="1" t="n">
        <v>45962</v>
      </c>
      <c r="D6769" t="inlineStr">
        <is>
          <t>JÖNKÖPINGS LÄN</t>
        </is>
      </c>
      <c r="E6769" t="inlineStr">
        <is>
          <t>SÄVSJÖ</t>
        </is>
      </c>
      <c r="G6769" t="n">
        <v>1.8</v>
      </c>
      <c r="H6769" t="n">
        <v>0</v>
      </c>
      <c r="I6769" t="n">
        <v>0</v>
      </c>
      <c r="J6769" t="n">
        <v>0</v>
      </c>
      <c r="K6769" t="n">
        <v>0</v>
      </c>
      <c r="L6769" t="n">
        <v>0</v>
      </c>
      <c r="M6769" t="n">
        <v>0</v>
      </c>
      <c r="N6769" t="n">
        <v>0</v>
      </c>
      <c r="O6769" t="n">
        <v>0</v>
      </c>
      <c r="P6769" t="n">
        <v>0</v>
      </c>
      <c r="Q6769" t="n">
        <v>0</v>
      </c>
      <c r="R6769" s="2" t="inlineStr"/>
    </row>
    <row r="6770" ht="15" customHeight="1">
      <c r="A6770" t="inlineStr">
        <is>
          <t>A 38107-2025</t>
        </is>
      </c>
      <c r="B6770" s="1" t="n">
        <v>45882.49587962963</v>
      </c>
      <c r="C6770" s="1" t="n">
        <v>45962</v>
      </c>
      <c r="D6770" t="inlineStr">
        <is>
          <t>JÖNKÖPINGS LÄN</t>
        </is>
      </c>
      <c r="E6770" t="inlineStr">
        <is>
          <t>VAGGERYD</t>
        </is>
      </c>
      <c r="G6770" t="n">
        <v>0.8</v>
      </c>
      <c r="H6770" t="n">
        <v>0</v>
      </c>
      <c r="I6770" t="n">
        <v>0</v>
      </c>
      <c r="J6770" t="n">
        <v>0</v>
      </c>
      <c r="K6770" t="n">
        <v>0</v>
      </c>
      <c r="L6770" t="n">
        <v>0</v>
      </c>
      <c r="M6770" t="n">
        <v>0</v>
      </c>
      <c r="N6770" t="n">
        <v>0</v>
      </c>
      <c r="O6770" t="n">
        <v>0</v>
      </c>
      <c r="P6770" t="n">
        <v>0</v>
      </c>
      <c r="Q6770" t="n">
        <v>0</v>
      </c>
      <c r="R6770" s="2" t="inlineStr"/>
    </row>
    <row r="6771" ht="15" customHeight="1">
      <c r="A6771" t="inlineStr">
        <is>
          <t>A 38111-2025</t>
        </is>
      </c>
      <c r="B6771" s="1" t="n">
        <v>45882.51865740741</v>
      </c>
      <c r="C6771" s="1" t="n">
        <v>45962</v>
      </c>
      <c r="D6771" t="inlineStr">
        <is>
          <t>JÖNKÖPINGS LÄN</t>
        </is>
      </c>
      <c r="E6771" t="inlineStr">
        <is>
          <t>GISLAVED</t>
        </is>
      </c>
      <c r="G6771" t="n">
        <v>6.4</v>
      </c>
      <c r="H6771" t="n">
        <v>0</v>
      </c>
      <c r="I6771" t="n">
        <v>0</v>
      </c>
      <c r="J6771" t="n">
        <v>0</v>
      </c>
      <c r="K6771" t="n">
        <v>0</v>
      </c>
      <c r="L6771" t="n">
        <v>0</v>
      </c>
      <c r="M6771" t="n">
        <v>0</v>
      </c>
      <c r="N6771" t="n">
        <v>0</v>
      </c>
      <c r="O6771" t="n">
        <v>0</v>
      </c>
      <c r="P6771" t="n">
        <v>0</v>
      </c>
      <c r="Q6771" t="n">
        <v>0</v>
      </c>
      <c r="R6771" s="2" t="inlineStr"/>
    </row>
    <row r="6772" ht="15" customHeight="1">
      <c r="A6772" t="inlineStr">
        <is>
          <t>A 40257-2025</t>
        </is>
      </c>
      <c r="B6772" s="1" t="n">
        <v>45895</v>
      </c>
      <c r="C6772" s="1" t="n">
        <v>45962</v>
      </c>
      <c r="D6772" t="inlineStr">
        <is>
          <t>JÖNKÖPINGS LÄN</t>
        </is>
      </c>
      <c r="E6772" t="inlineStr">
        <is>
          <t>VETLANDA</t>
        </is>
      </c>
      <c r="G6772" t="n">
        <v>1.4</v>
      </c>
      <c r="H6772" t="n">
        <v>0</v>
      </c>
      <c r="I6772" t="n">
        <v>0</v>
      </c>
      <c r="J6772" t="n">
        <v>0</v>
      </c>
      <c r="K6772" t="n">
        <v>0</v>
      </c>
      <c r="L6772" t="n">
        <v>0</v>
      </c>
      <c r="M6772" t="n">
        <v>0</v>
      </c>
      <c r="N6772" t="n">
        <v>0</v>
      </c>
      <c r="O6772" t="n">
        <v>0</v>
      </c>
      <c r="P6772" t="n">
        <v>0</v>
      </c>
      <c r="Q6772" t="n">
        <v>0</v>
      </c>
      <c r="R6772" s="2" t="inlineStr"/>
    </row>
    <row r="6773" ht="15" customHeight="1">
      <c r="A6773" t="inlineStr">
        <is>
          <t>A 48894-2025</t>
        </is>
      </c>
      <c r="B6773" s="1" t="n">
        <v>45937</v>
      </c>
      <c r="C6773" s="1" t="n">
        <v>45962</v>
      </c>
      <c r="D6773" t="inlineStr">
        <is>
          <t>JÖNKÖPINGS LÄN</t>
        </is>
      </c>
      <c r="E6773" t="inlineStr">
        <is>
          <t>NÄSSJÖ</t>
        </is>
      </c>
      <c r="G6773" t="n">
        <v>1</v>
      </c>
      <c r="H6773" t="n">
        <v>0</v>
      </c>
      <c r="I6773" t="n">
        <v>0</v>
      </c>
      <c r="J6773" t="n">
        <v>0</v>
      </c>
      <c r="K6773" t="n">
        <v>0</v>
      </c>
      <c r="L6773" t="n">
        <v>0</v>
      </c>
      <c r="M6773" t="n">
        <v>0</v>
      </c>
      <c r="N6773" t="n">
        <v>0</v>
      </c>
      <c r="O6773" t="n">
        <v>0</v>
      </c>
      <c r="P6773" t="n">
        <v>0</v>
      </c>
      <c r="Q6773" t="n">
        <v>0</v>
      </c>
      <c r="R6773" s="2" t="inlineStr"/>
    </row>
    <row r="6774" ht="15" customHeight="1">
      <c r="A6774" t="inlineStr">
        <is>
          <t>A 38201-2025</t>
        </is>
      </c>
      <c r="B6774" s="1" t="n">
        <v>45882.67761574074</v>
      </c>
      <c r="C6774" s="1" t="n">
        <v>45962</v>
      </c>
      <c r="D6774" t="inlineStr">
        <is>
          <t>JÖNKÖPINGS LÄN</t>
        </is>
      </c>
      <c r="E6774" t="inlineStr">
        <is>
          <t>GISLAVED</t>
        </is>
      </c>
      <c r="G6774" t="n">
        <v>1.3</v>
      </c>
      <c r="H6774" t="n">
        <v>0</v>
      </c>
      <c r="I6774" t="n">
        <v>0</v>
      </c>
      <c r="J6774" t="n">
        <v>0</v>
      </c>
      <c r="K6774" t="n">
        <v>0</v>
      </c>
      <c r="L6774" t="n">
        <v>0</v>
      </c>
      <c r="M6774" t="n">
        <v>0</v>
      </c>
      <c r="N6774" t="n">
        <v>0</v>
      </c>
      <c r="O6774" t="n">
        <v>0</v>
      </c>
      <c r="P6774" t="n">
        <v>0</v>
      </c>
      <c r="Q6774" t="n">
        <v>0</v>
      </c>
      <c r="R6774" s="2" t="inlineStr"/>
    </row>
    <row r="6775" ht="15" customHeight="1">
      <c r="A6775" t="inlineStr">
        <is>
          <t>A 48931-2025</t>
        </is>
      </c>
      <c r="B6775" s="1" t="n">
        <v>45937.52125</v>
      </c>
      <c r="C6775" s="1" t="n">
        <v>45962</v>
      </c>
      <c r="D6775" t="inlineStr">
        <is>
          <t>JÖNKÖPINGS LÄN</t>
        </is>
      </c>
      <c r="E6775" t="inlineStr">
        <is>
          <t>GISLAVED</t>
        </is>
      </c>
      <c r="G6775" t="n">
        <v>1.4</v>
      </c>
      <c r="H6775" t="n">
        <v>0</v>
      </c>
      <c r="I6775" t="n">
        <v>0</v>
      </c>
      <c r="J6775" t="n">
        <v>0</v>
      </c>
      <c r="K6775" t="n">
        <v>0</v>
      </c>
      <c r="L6775" t="n">
        <v>0</v>
      </c>
      <c r="M6775" t="n">
        <v>0</v>
      </c>
      <c r="N6775" t="n">
        <v>0</v>
      </c>
      <c r="O6775" t="n">
        <v>0</v>
      </c>
      <c r="P6775" t="n">
        <v>0</v>
      </c>
      <c r="Q6775" t="n">
        <v>0</v>
      </c>
      <c r="R6775" s="2" t="inlineStr"/>
    </row>
    <row r="6776" ht="15" customHeight="1">
      <c r="A6776" t="inlineStr">
        <is>
          <t>A 38213-2025</t>
        </is>
      </c>
      <c r="B6776" s="1" t="n">
        <v>45882</v>
      </c>
      <c r="C6776" s="1" t="n">
        <v>45962</v>
      </c>
      <c r="D6776" t="inlineStr">
        <is>
          <t>JÖNKÖPINGS LÄN</t>
        </is>
      </c>
      <c r="E6776" t="inlineStr">
        <is>
          <t>VETLANDA</t>
        </is>
      </c>
      <c r="G6776" t="n">
        <v>2</v>
      </c>
      <c r="H6776" t="n">
        <v>0</v>
      </c>
      <c r="I6776" t="n">
        <v>0</v>
      </c>
      <c r="J6776" t="n">
        <v>0</v>
      </c>
      <c r="K6776" t="n">
        <v>0</v>
      </c>
      <c r="L6776" t="n">
        <v>0</v>
      </c>
      <c r="M6776" t="n">
        <v>0</v>
      </c>
      <c r="N6776" t="n">
        <v>0</v>
      </c>
      <c r="O6776" t="n">
        <v>0</v>
      </c>
      <c r="P6776" t="n">
        <v>0</v>
      </c>
      <c r="Q6776" t="n">
        <v>0</v>
      </c>
      <c r="R6776" s="2" t="inlineStr"/>
    </row>
    <row r="6777" ht="15" customHeight="1">
      <c r="A6777" t="inlineStr">
        <is>
          <t>A 10330-2025</t>
        </is>
      </c>
      <c r="B6777" s="1" t="n">
        <v>45720</v>
      </c>
      <c r="C6777" s="1" t="n">
        <v>45962</v>
      </c>
      <c r="D6777" t="inlineStr">
        <is>
          <t>JÖNKÖPINGS LÄN</t>
        </is>
      </c>
      <c r="E6777" t="inlineStr">
        <is>
          <t>HABO</t>
        </is>
      </c>
      <c r="G6777" t="n">
        <v>1.7</v>
      </c>
      <c r="H6777" t="n">
        <v>0</v>
      </c>
      <c r="I6777" t="n">
        <v>0</v>
      </c>
      <c r="J6777" t="n">
        <v>0</v>
      </c>
      <c r="K6777" t="n">
        <v>0</v>
      </c>
      <c r="L6777" t="n">
        <v>0</v>
      </c>
      <c r="M6777" t="n">
        <v>0</v>
      </c>
      <c r="N6777" t="n">
        <v>0</v>
      </c>
      <c r="O6777" t="n">
        <v>0</v>
      </c>
      <c r="P6777" t="n">
        <v>0</v>
      </c>
      <c r="Q6777" t="n">
        <v>0</v>
      </c>
      <c r="R6777" s="2" t="inlineStr"/>
    </row>
    <row r="6778" ht="15" customHeight="1">
      <c r="A6778" t="inlineStr">
        <is>
          <t>A 22529-2023</t>
        </is>
      </c>
      <c r="B6778" s="1" t="n">
        <v>45071</v>
      </c>
      <c r="C6778" s="1" t="n">
        <v>45962</v>
      </c>
      <c r="D6778" t="inlineStr">
        <is>
          <t>JÖNKÖPINGS LÄN</t>
        </is>
      </c>
      <c r="E6778" t="inlineStr">
        <is>
          <t>VETLANDA</t>
        </is>
      </c>
      <c r="G6778" t="n">
        <v>2.8</v>
      </c>
      <c r="H6778" t="n">
        <v>0</v>
      </c>
      <c r="I6778" t="n">
        <v>0</v>
      </c>
      <c r="J6778" t="n">
        <v>0</v>
      </c>
      <c r="K6778" t="n">
        <v>0</v>
      </c>
      <c r="L6778" t="n">
        <v>0</v>
      </c>
      <c r="M6778" t="n">
        <v>0</v>
      </c>
      <c r="N6778" t="n">
        <v>0</v>
      </c>
      <c r="O6778" t="n">
        <v>0</v>
      </c>
      <c r="P6778" t="n">
        <v>0</v>
      </c>
      <c r="Q6778" t="n">
        <v>0</v>
      </c>
      <c r="R6778" s="2" t="inlineStr"/>
    </row>
    <row r="6779" ht="15" customHeight="1">
      <c r="A6779" t="inlineStr">
        <is>
          <t>A 5587-2024</t>
        </is>
      </c>
      <c r="B6779" s="1" t="n">
        <v>45334.54140046296</v>
      </c>
      <c r="C6779" s="1" t="n">
        <v>45962</v>
      </c>
      <c r="D6779" t="inlineStr">
        <is>
          <t>JÖNKÖPINGS LÄN</t>
        </is>
      </c>
      <c r="E6779" t="inlineStr">
        <is>
          <t>EKSJÖ</t>
        </is>
      </c>
      <c r="F6779" t="inlineStr">
        <is>
          <t>Sveaskog</t>
        </is>
      </c>
      <c r="G6779" t="n">
        <v>1.1</v>
      </c>
      <c r="H6779" t="n">
        <v>0</v>
      </c>
      <c r="I6779" t="n">
        <v>0</v>
      </c>
      <c r="J6779" t="n">
        <v>0</v>
      </c>
      <c r="K6779" t="n">
        <v>0</v>
      </c>
      <c r="L6779" t="n">
        <v>0</v>
      </c>
      <c r="M6779" t="n">
        <v>0</v>
      </c>
      <c r="N6779" t="n">
        <v>0</v>
      </c>
      <c r="O6779" t="n">
        <v>0</v>
      </c>
      <c r="P6779" t="n">
        <v>0</v>
      </c>
      <c r="Q6779" t="n">
        <v>0</v>
      </c>
      <c r="R6779" s="2" t="inlineStr"/>
    </row>
    <row r="6780" ht="15" customHeight="1">
      <c r="A6780" t="inlineStr">
        <is>
          <t>A 5671-2024</t>
        </is>
      </c>
      <c r="B6780" s="1" t="n">
        <v>45334.66422453704</v>
      </c>
      <c r="C6780" s="1" t="n">
        <v>45962</v>
      </c>
      <c r="D6780" t="inlineStr">
        <is>
          <t>JÖNKÖPINGS LÄN</t>
        </is>
      </c>
      <c r="E6780" t="inlineStr">
        <is>
          <t>SÄVSJÖ</t>
        </is>
      </c>
      <c r="G6780" t="n">
        <v>0.7</v>
      </c>
      <c r="H6780" t="n">
        <v>0</v>
      </c>
      <c r="I6780" t="n">
        <v>0</v>
      </c>
      <c r="J6780" t="n">
        <v>0</v>
      </c>
      <c r="K6780" t="n">
        <v>0</v>
      </c>
      <c r="L6780" t="n">
        <v>0</v>
      </c>
      <c r="M6780" t="n">
        <v>0</v>
      </c>
      <c r="N6780" t="n">
        <v>0</v>
      </c>
      <c r="O6780" t="n">
        <v>0</v>
      </c>
      <c r="P6780" t="n">
        <v>0</v>
      </c>
      <c r="Q6780" t="n">
        <v>0</v>
      </c>
      <c r="R6780" s="2" t="inlineStr"/>
    </row>
    <row r="6781" ht="15" customHeight="1">
      <c r="A6781" t="inlineStr">
        <is>
          <t>A 5676-2024</t>
        </is>
      </c>
      <c r="B6781" s="1" t="n">
        <v>45334.66792824074</v>
      </c>
      <c r="C6781" s="1" t="n">
        <v>45962</v>
      </c>
      <c r="D6781" t="inlineStr">
        <is>
          <t>JÖNKÖPINGS LÄN</t>
        </is>
      </c>
      <c r="E6781" t="inlineStr">
        <is>
          <t>SÄVSJÖ</t>
        </is>
      </c>
      <c r="G6781" t="n">
        <v>1.3</v>
      </c>
      <c r="H6781" t="n">
        <v>0</v>
      </c>
      <c r="I6781" t="n">
        <v>0</v>
      </c>
      <c r="J6781" t="n">
        <v>0</v>
      </c>
      <c r="K6781" t="n">
        <v>0</v>
      </c>
      <c r="L6781" t="n">
        <v>0</v>
      </c>
      <c r="M6781" t="n">
        <v>0</v>
      </c>
      <c r="N6781" t="n">
        <v>0</v>
      </c>
      <c r="O6781" t="n">
        <v>0</v>
      </c>
      <c r="P6781" t="n">
        <v>0</v>
      </c>
      <c r="Q6781" t="n">
        <v>0</v>
      </c>
      <c r="R6781" s="2" t="inlineStr"/>
    </row>
    <row r="6782" ht="15" customHeight="1">
      <c r="A6782" t="inlineStr">
        <is>
          <t>A 38122-2025</t>
        </is>
      </c>
      <c r="B6782" s="1" t="n">
        <v>45882.55258101852</v>
      </c>
      <c r="C6782" s="1" t="n">
        <v>45962</v>
      </c>
      <c r="D6782" t="inlineStr">
        <is>
          <t>JÖNKÖPINGS LÄN</t>
        </is>
      </c>
      <c r="E6782" t="inlineStr">
        <is>
          <t>HABO</t>
        </is>
      </c>
      <c r="G6782" t="n">
        <v>0.8</v>
      </c>
      <c r="H6782" t="n">
        <v>0</v>
      </c>
      <c r="I6782" t="n">
        <v>0</v>
      </c>
      <c r="J6782" t="n">
        <v>0</v>
      </c>
      <c r="K6782" t="n">
        <v>0</v>
      </c>
      <c r="L6782" t="n">
        <v>0</v>
      </c>
      <c r="M6782" t="n">
        <v>0</v>
      </c>
      <c r="N6782" t="n">
        <v>0</v>
      </c>
      <c r="O6782" t="n">
        <v>0</v>
      </c>
      <c r="P6782" t="n">
        <v>0</v>
      </c>
      <c r="Q6782" t="n">
        <v>0</v>
      </c>
      <c r="R6782" s="2" t="inlineStr"/>
    </row>
    <row r="6783" ht="15" customHeight="1">
      <c r="A6783" t="inlineStr">
        <is>
          <t>A 40098-2025</t>
        </is>
      </c>
      <c r="B6783" s="1" t="n">
        <v>45894.48394675926</v>
      </c>
      <c r="C6783" s="1" t="n">
        <v>45962</v>
      </c>
      <c r="D6783" t="inlineStr">
        <is>
          <t>JÖNKÖPINGS LÄN</t>
        </is>
      </c>
      <c r="E6783" t="inlineStr">
        <is>
          <t>VETLANDA</t>
        </is>
      </c>
      <c r="G6783" t="n">
        <v>1</v>
      </c>
      <c r="H6783" t="n">
        <v>0</v>
      </c>
      <c r="I6783" t="n">
        <v>0</v>
      </c>
      <c r="J6783" t="n">
        <v>0</v>
      </c>
      <c r="K6783" t="n">
        <v>0</v>
      </c>
      <c r="L6783" t="n">
        <v>0</v>
      </c>
      <c r="M6783" t="n">
        <v>0</v>
      </c>
      <c r="N6783" t="n">
        <v>0</v>
      </c>
      <c r="O6783" t="n">
        <v>0</v>
      </c>
      <c r="P6783" t="n">
        <v>0</v>
      </c>
      <c r="Q6783" t="n">
        <v>0</v>
      </c>
      <c r="R6783" s="2" t="inlineStr"/>
    </row>
    <row r="6784" ht="15" customHeight="1">
      <c r="A6784" t="inlineStr">
        <is>
          <t>A 40114-2025</t>
        </is>
      </c>
      <c r="B6784" s="1" t="n">
        <v>45894.50856481482</v>
      </c>
      <c r="C6784" s="1" t="n">
        <v>45962</v>
      </c>
      <c r="D6784" t="inlineStr">
        <is>
          <t>JÖNKÖPINGS LÄN</t>
        </is>
      </c>
      <c r="E6784" t="inlineStr">
        <is>
          <t>VÄRNAMO</t>
        </is>
      </c>
      <c r="G6784" t="n">
        <v>2.7</v>
      </c>
      <c r="H6784" t="n">
        <v>0</v>
      </c>
      <c r="I6784" t="n">
        <v>0</v>
      </c>
      <c r="J6784" t="n">
        <v>0</v>
      </c>
      <c r="K6784" t="n">
        <v>0</v>
      </c>
      <c r="L6784" t="n">
        <v>0</v>
      </c>
      <c r="M6784" t="n">
        <v>0</v>
      </c>
      <c r="N6784" t="n">
        <v>0</v>
      </c>
      <c r="O6784" t="n">
        <v>0</v>
      </c>
      <c r="P6784" t="n">
        <v>0</v>
      </c>
      <c r="Q6784" t="n">
        <v>0</v>
      </c>
      <c r="R6784" s="2" t="inlineStr"/>
    </row>
    <row r="6785" ht="15" customHeight="1">
      <c r="A6785" t="inlineStr">
        <is>
          <t>A 38279-2025</t>
        </is>
      </c>
      <c r="B6785" s="1" t="n">
        <v>45882</v>
      </c>
      <c r="C6785" s="1" t="n">
        <v>45962</v>
      </c>
      <c r="D6785" t="inlineStr">
        <is>
          <t>JÖNKÖPINGS LÄN</t>
        </is>
      </c>
      <c r="E6785" t="inlineStr">
        <is>
          <t>VETLANDA</t>
        </is>
      </c>
      <c r="G6785" t="n">
        <v>1.2</v>
      </c>
      <c r="H6785" t="n">
        <v>0</v>
      </c>
      <c r="I6785" t="n">
        <v>0</v>
      </c>
      <c r="J6785" t="n">
        <v>0</v>
      </c>
      <c r="K6785" t="n">
        <v>0</v>
      </c>
      <c r="L6785" t="n">
        <v>0</v>
      </c>
      <c r="M6785" t="n">
        <v>0</v>
      </c>
      <c r="N6785" t="n">
        <v>0</v>
      </c>
      <c r="O6785" t="n">
        <v>0</v>
      </c>
      <c r="P6785" t="n">
        <v>0</v>
      </c>
      <c r="Q6785" t="n">
        <v>0</v>
      </c>
      <c r="R6785" s="2" t="inlineStr"/>
    </row>
    <row r="6786" ht="15" customHeight="1">
      <c r="A6786" t="inlineStr">
        <is>
          <t>A 1870-2021</t>
        </is>
      </c>
      <c r="B6786" s="1" t="n">
        <v>44210.48819444444</v>
      </c>
      <c r="C6786" s="1" t="n">
        <v>45962</v>
      </c>
      <c r="D6786" t="inlineStr">
        <is>
          <t>JÖNKÖPINGS LÄN</t>
        </is>
      </c>
      <c r="E6786" t="inlineStr">
        <is>
          <t>VÄRNAMO</t>
        </is>
      </c>
      <c r="G6786" t="n">
        <v>1.2</v>
      </c>
      <c r="H6786" t="n">
        <v>0</v>
      </c>
      <c r="I6786" t="n">
        <v>0</v>
      </c>
      <c r="J6786" t="n">
        <v>0</v>
      </c>
      <c r="K6786" t="n">
        <v>0</v>
      </c>
      <c r="L6786" t="n">
        <v>0</v>
      </c>
      <c r="M6786" t="n">
        <v>0</v>
      </c>
      <c r="N6786" t="n">
        <v>0</v>
      </c>
      <c r="O6786" t="n">
        <v>0</v>
      </c>
      <c r="P6786" t="n">
        <v>0</v>
      </c>
      <c r="Q6786" t="n">
        <v>0</v>
      </c>
      <c r="R6786" s="2" t="inlineStr"/>
    </row>
    <row r="6787" ht="15" customHeight="1">
      <c r="A6787" t="inlineStr">
        <is>
          <t>A 38269-2025</t>
        </is>
      </c>
      <c r="B6787" s="1" t="n">
        <v>45883.40668981482</v>
      </c>
      <c r="C6787" s="1" t="n">
        <v>45962</v>
      </c>
      <c r="D6787" t="inlineStr">
        <is>
          <t>JÖNKÖPINGS LÄN</t>
        </is>
      </c>
      <c r="E6787" t="inlineStr">
        <is>
          <t>VETLANDA</t>
        </is>
      </c>
      <c r="G6787" t="n">
        <v>2.5</v>
      </c>
      <c r="H6787" t="n">
        <v>0</v>
      </c>
      <c r="I6787" t="n">
        <v>0</v>
      </c>
      <c r="J6787" t="n">
        <v>0</v>
      </c>
      <c r="K6787" t="n">
        <v>0</v>
      </c>
      <c r="L6787" t="n">
        <v>0</v>
      </c>
      <c r="M6787" t="n">
        <v>0</v>
      </c>
      <c r="N6787" t="n">
        <v>0</v>
      </c>
      <c r="O6787" t="n">
        <v>0</v>
      </c>
      <c r="P6787" t="n">
        <v>0</v>
      </c>
      <c r="Q6787" t="n">
        <v>0</v>
      </c>
      <c r="R6787" s="2" t="inlineStr"/>
    </row>
    <row r="6788" ht="15" customHeight="1">
      <c r="A6788" t="inlineStr">
        <is>
          <t>A 38274-2025</t>
        </is>
      </c>
      <c r="B6788" s="1" t="n">
        <v>45882</v>
      </c>
      <c r="C6788" s="1" t="n">
        <v>45962</v>
      </c>
      <c r="D6788" t="inlineStr">
        <is>
          <t>JÖNKÖPINGS LÄN</t>
        </is>
      </c>
      <c r="E6788" t="inlineStr">
        <is>
          <t>VETLANDA</t>
        </is>
      </c>
      <c r="G6788" t="n">
        <v>0.6</v>
      </c>
      <c r="H6788" t="n">
        <v>0</v>
      </c>
      <c r="I6788" t="n">
        <v>0</v>
      </c>
      <c r="J6788" t="n">
        <v>0</v>
      </c>
      <c r="K6788" t="n">
        <v>0</v>
      </c>
      <c r="L6788" t="n">
        <v>0</v>
      </c>
      <c r="M6788" t="n">
        <v>0</v>
      </c>
      <c r="N6788" t="n">
        <v>0</v>
      </c>
      <c r="O6788" t="n">
        <v>0</v>
      </c>
      <c r="P6788" t="n">
        <v>0</v>
      </c>
      <c r="Q6788" t="n">
        <v>0</v>
      </c>
      <c r="R6788" s="2" t="inlineStr"/>
    </row>
    <row r="6789" ht="15" customHeight="1">
      <c r="A6789" t="inlineStr">
        <is>
          <t>A 17519-2025</t>
        </is>
      </c>
      <c r="B6789" s="1" t="n">
        <v>45757.57725694445</v>
      </c>
      <c r="C6789" s="1" t="n">
        <v>45962</v>
      </c>
      <c r="D6789" t="inlineStr">
        <is>
          <t>JÖNKÖPINGS LÄN</t>
        </is>
      </c>
      <c r="E6789" t="inlineStr">
        <is>
          <t>HABO</t>
        </is>
      </c>
      <c r="G6789" t="n">
        <v>0.6</v>
      </c>
      <c r="H6789" t="n">
        <v>0</v>
      </c>
      <c r="I6789" t="n">
        <v>0</v>
      </c>
      <c r="J6789" t="n">
        <v>0</v>
      </c>
      <c r="K6789" t="n">
        <v>0</v>
      </c>
      <c r="L6789" t="n">
        <v>0</v>
      </c>
      <c r="M6789" t="n">
        <v>0</v>
      </c>
      <c r="N6789" t="n">
        <v>0</v>
      </c>
      <c r="O6789" t="n">
        <v>0</v>
      </c>
      <c r="P6789" t="n">
        <v>0</v>
      </c>
      <c r="Q6789" t="n">
        <v>0</v>
      </c>
      <c r="R6789" s="2" t="inlineStr"/>
    </row>
    <row r="6790" ht="15" customHeight="1">
      <c r="A6790" t="inlineStr">
        <is>
          <t>A 17520-2025</t>
        </is>
      </c>
      <c r="B6790" s="1" t="n">
        <v>45757.57844907408</v>
      </c>
      <c r="C6790" s="1" t="n">
        <v>45962</v>
      </c>
      <c r="D6790" t="inlineStr">
        <is>
          <t>JÖNKÖPINGS LÄN</t>
        </is>
      </c>
      <c r="E6790" t="inlineStr">
        <is>
          <t>HABO</t>
        </is>
      </c>
      <c r="G6790" t="n">
        <v>1.7</v>
      </c>
      <c r="H6790" t="n">
        <v>0</v>
      </c>
      <c r="I6790" t="n">
        <v>0</v>
      </c>
      <c r="J6790" t="n">
        <v>0</v>
      </c>
      <c r="K6790" t="n">
        <v>0</v>
      </c>
      <c r="L6790" t="n">
        <v>0</v>
      </c>
      <c r="M6790" t="n">
        <v>0</v>
      </c>
      <c r="N6790" t="n">
        <v>0</v>
      </c>
      <c r="O6790" t="n">
        <v>0</v>
      </c>
      <c r="P6790" t="n">
        <v>0</v>
      </c>
      <c r="Q6790" t="n">
        <v>0</v>
      </c>
      <c r="R6790" s="2" t="inlineStr"/>
    </row>
    <row r="6791" ht="15" customHeight="1">
      <c r="A6791" t="inlineStr">
        <is>
          <t>A 46075-2025</t>
        </is>
      </c>
      <c r="B6791" s="1" t="n">
        <v>45924.50216435185</v>
      </c>
      <c r="C6791" s="1" t="n">
        <v>45962</v>
      </c>
      <c r="D6791" t="inlineStr">
        <is>
          <t>JÖNKÖPINGS LÄN</t>
        </is>
      </c>
      <c r="E6791" t="inlineStr">
        <is>
          <t>TRANÅS</t>
        </is>
      </c>
      <c r="G6791" t="n">
        <v>0.6</v>
      </c>
      <c r="H6791" t="n">
        <v>0</v>
      </c>
      <c r="I6791" t="n">
        <v>0</v>
      </c>
      <c r="J6791" t="n">
        <v>0</v>
      </c>
      <c r="K6791" t="n">
        <v>0</v>
      </c>
      <c r="L6791" t="n">
        <v>0</v>
      </c>
      <c r="M6791" t="n">
        <v>0</v>
      </c>
      <c r="N6791" t="n">
        <v>0</v>
      </c>
      <c r="O6791" t="n">
        <v>0</v>
      </c>
      <c r="P6791" t="n">
        <v>0</v>
      </c>
      <c r="Q6791" t="n">
        <v>0</v>
      </c>
      <c r="R6791" s="2" t="inlineStr"/>
    </row>
    <row r="6792" ht="15" customHeight="1">
      <c r="A6792" t="inlineStr">
        <is>
          <t>A 48762-2025</t>
        </is>
      </c>
      <c r="B6792" s="1" t="n">
        <v>45936.80734953703</v>
      </c>
      <c r="C6792" s="1" t="n">
        <v>45962</v>
      </c>
      <c r="D6792" t="inlineStr">
        <is>
          <t>JÖNKÖPINGS LÄN</t>
        </is>
      </c>
      <c r="E6792" t="inlineStr">
        <is>
          <t>GISLAVED</t>
        </is>
      </c>
      <c r="G6792" t="n">
        <v>3</v>
      </c>
      <c r="H6792" t="n">
        <v>0</v>
      </c>
      <c r="I6792" t="n">
        <v>0</v>
      </c>
      <c r="J6792" t="n">
        <v>0</v>
      </c>
      <c r="K6792" t="n">
        <v>0</v>
      </c>
      <c r="L6792" t="n">
        <v>0</v>
      </c>
      <c r="M6792" t="n">
        <v>0</v>
      </c>
      <c r="N6792" t="n">
        <v>0</v>
      </c>
      <c r="O6792" t="n">
        <v>0</v>
      </c>
      <c r="P6792" t="n">
        <v>0</v>
      </c>
      <c r="Q6792" t="n">
        <v>0</v>
      </c>
      <c r="R6792" s="2" t="inlineStr"/>
    </row>
    <row r="6793" ht="15" customHeight="1">
      <c r="A6793" t="inlineStr">
        <is>
          <t>A 48763-2025</t>
        </is>
      </c>
      <c r="B6793" s="1" t="n">
        <v>45936.80887731481</v>
      </c>
      <c r="C6793" s="1" t="n">
        <v>45962</v>
      </c>
      <c r="D6793" t="inlineStr">
        <is>
          <t>JÖNKÖPINGS LÄN</t>
        </is>
      </c>
      <c r="E6793" t="inlineStr">
        <is>
          <t>GISLAVED</t>
        </is>
      </c>
      <c r="G6793" t="n">
        <v>0.6</v>
      </c>
      <c r="H6793" t="n">
        <v>0</v>
      </c>
      <c r="I6793" t="n">
        <v>0</v>
      </c>
      <c r="J6793" t="n">
        <v>0</v>
      </c>
      <c r="K6793" t="n">
        <v>0</v>
      </c>
      <c r="L6793" t="n">
        <v>0</v>
      </c>
      <c r="M6793" t="n">
        <v>0</v>
      </c>
      <c r="N6793" t="n">
        <v>0</v>
      </c>
      <c r="O6793" t="n">
        <v>0</v>
      </c>
      <c r="P6793" t="n">
        <v>0</v>
      </c>
      <c r="Q6793" t="n">
        <v>0</v>
      </c>
      <c r="R6793" s="2" t="inlineStr"/>
    </row>
    <row r="6794" ht="15" customHeight="1">
      <c r="A6794" t="inlineStr">
        <is>
          <t>A 23712-2023</t>
        </is>
      </c>
      <c r="B6794" s="1" t="n">
        <v>45077.65021990741</v>
      </c>
      <c r="C6794" s="1" t="n">
        <v>45962</v>
      </c>
      <c r="D6794" t="inlineStr">
        <is>
          <t>JÖNKÖPINGS LÄN</t>
        </is>
      </c>
      <c r="E6794" t="inlineStr">
        <is>
          <t>ANEBY</t>
        </is>
      </c>
      <c r="G6794" t="n">
        <v>1.2</v>
      </c>
      <c r="H6794" t="n">
        <v>0</v>
      </c>
      <c r="I6794" t="n">
        <v>0</v>
      </c>
      <c r="J6794" t="n">
        <v>0</v>
      </c>
      <c r="K6794" t="n">
        <v>0</v>
      </c>
      <c r="L6794" t="n">
        <v>0</v>
      </c>
      <c r="M6794" t="n">
        <v>0</v>
      </c>
      <c r="N6794" t="n">
        <v>0</v>
      </c>
      <c r="O6794" t="n">
        <v>0</v>
      </c>
      <c r="P6794" t="n">
        <v>0</v>
      </c>
      <c r="Q6794" t="n">
        <v>0</v>
      </c>
      <c r="R6794" s="2" t="inlineStr"/>
    </row>
    <row r="6795" ht="15" customHeight="1">
      <c r="A6795" t="inlineStr">
        <is>
          <t>A 6634-2023</t>
        </is>
      </c>
      <c r="B6795" s="1" t="n">
        <v>44966.57471064815</v>
      </c>
      <c r="C6795" s="1" t="n">
        <v>45962</v>
      </c>
      <c r="D6795" t="inlineStr">
        <is>
          <t>JÖNKÖPINGS LÄN</t>
        </is>
      </c>
      <c r="E6795" t="inlineStr">
        <is>
          <t>JÖNKÖPING</t>
        </is>
      </c>
      <c r="F6795" t="inlineStr">
        <is>
          <t>Kyrkan</t>
        </is>
      </c>
      <c r="G6795" t="n">
        <v>2.9</v>
      </c>
      <c r="H6795" t="n">
        <v>0</v>
      </c>
      <c r="I6795" t="n">
        <v>0</v>
      </c>
      <c r="J6795" t="n">
        <v>0</v>
      </c>
      <c r="K6795" t="n">
        <v>0</v>
      </c>
      <c r="L6795" t="n">
        <v>0</v>
      </c>
      <c r="M6795" t="n">
        <v>0</v>
      </c>
      <c r="N6795" t="n">
        <v>0</v>
      </c>
      <c r="O6795" t="n">
        <v>0</v>
      </c>
      <c r="P6795" t="n">
        <v>0</v>
      </c>
      <c r="Q6795" t="n">
        <v>0</v>
      </c>
      <c r="R6795" s="2" t="inlineStr"/>
    </row>
    <row r="6796" ht="15" customHeight="1">
      <c r="A6796" t="inlineStr">
        <is>
          <t>A 40025-2025</t>
        </is>
      </c>
      <c r="B6796" s="1" t="n">
        <v>45894.36571759259</v>
      </c>
      <c r="C6796" s="1" t="n">
        <v>45962</v>
      </c>
      <c r="D6796" t="inlineStr">
        <is>
          <t>JÖNKÖPINGS LÄN</t>
        </is>
      </c>
      <c r="E6796" t="inlineStr">
        <is>
          <t>EKSJÖ</t>
        </is>
      </c>
      <c r="G6796" t="n">
        <v>3.4</v>
      </c>
      <c r="H6796" t="n">
        <v>0</v>
      </c>
      <c r="I6796" t="n">
        <v>0</v>
      </c>
      <c r="J6796" t="n">
        <v>0</v>
      </c>
      <c r="K6796" t="n">
        <v>0</v>
      </c>
      <c r="L6796" t="n">
        <v>0</v>
      </c>
      <c r="M6796" t="n">
        <v>0</v>
      </c>
      <c r="N6796" t="n">
        <v>0</v>
      </c>
      <c r="O6796" t="n">
        <v>0</v>
      </c>
      <c r="P6796" t="n">
        <v>0</v>
      </c>
      <c r="Q6796" t="n">
        <v>0</v>
      </c>
      <c r="R6796" s="2" t="inlineStr"/>
    </row>
    <row r="6797" ht="15" customHeight="1">
      <c r="A6797" t="inlineStr">
        <is>
          <t>A 6637-2023</t>
        </is>
      </c>
      <c r="B6797" s="1" t="n">
        <v>44966.5765625</v>
      </c>
      <c r="C6797" s="1" t="n">
        <v>45962</v>
      </c>
      <c r="D6797" t="inlineStr">
        <is>
          <t>JÖNKÖPINGS LÄN</t>
        </is>
      </c>
      <c r="E6797" t="inlineStr">
        <is>
          <t>VAGGERYD</t>
        </is>
      </c>
      <c r="F6797" t="inlineStr">
        <is>
          <t>Sveaskog</t>
        </is>
      </c>
      <c r="G6797" t="n">
        <v>1.4</v>
      </c>
      <c r="H6797" t="n">
        <v>0</v>
      </c>
      <c r="I6797" t="n">
        <v>0</v>
      </c>
      <c r="J6797" t="n">
        <v>0</v>
      </c>
      <c r="K6797" t="n">
        <v>0</v>
      </c>
      <c r="L6797" t="n">
        <v>0</v>
      </c>
      <c r="M6797" t="n">
        <v>0</v>
      </c>
      <c r="N6797" t="n">
        <v>0</v>
      </c>
      <c r="O6797" t="n">
        <v>0</v>
      </c>
      <c r="P6797" t="n">
        <v>0</v>
      </c>
      <c r="Q6797" t="n">
        <v>0</v>
      </c>
      <c r="R6797" s="2" t="inlineStr"/>
    </row>
    <row r="6798" ht="15" customHeight="1">
      <c r="A6798" t="inlineStr">
        <is>
          <t>A 6641-2023</t>
        </is>
      </c>
      <c r="B6798" s="1" t="n">
        <v>44966.57903935185</v>
      </c>
      <c r="C6798" s="1" t="n">
        <v>45962</v>
      </c>
      <c r="D6798" t="inlineStr">
        <is>
          <t>JÖNKÖPINGS LÄN</t>
        </is>
      </c>
      <c r="E6798" t="inlineStr">
        <is>
          <t>VAGGERYD</t>
        </is>
      </c>
      <c r="F6798" t="inlineStr">
        <is>
          <t>Sveaskog</t>
        </is>
      </c>
      <c r="G6798" t="n">
        <v>4.2</v>
      </c>
      <c r="H6798" t="n">
        <v>0</v>
      </c>
      <c r="I6798" t="n">
        <v>0</v>
      </c>
      <c r="J6798" t="n">
        <v>0</v>
      </c>
      <c r="K6798" t="n">
        <v>0</v>
      </c>
      <c r="L6798" t="n">
        <v>0</v>
      </c>
      <c r="M6798" t="n">
        <v>0</v>
      </c>
      <c r="N6798" t="n">
        <v>0</v>
      </c>
      <c r="O6798" t="n">
        <v>0</v>
      </c>
      <c r="P6798" t="n">
        <v>0</v>
      </c>
      <c r="Q6798" t="n">
        <v>0</v>
      </c>
      <c r="R6798" s="2" t="inlineStr"/>
    </row>
    <row r="6799" ht="15" customHeight="1">
      <c r="A6799" t="inlineStr">
        <is>
          <t>A 40031-2025</t>
        </is>
      </c>
      <c r="B6799" s="1" t="n">
        <v>45894.37439814815</v>
      </c>
      <c r="C6799" s="1" t="n">
        <v>45962</v>
      </c>
      <c r="D6799" t="inlineStr">
        <is>
          <t>JÖNKÖPINGS LÄN</t>
        </is>
      </c>
      <c r="E6799" t="inlineStr">
        <is>
          <t>VETLANDA</t>
        </is>
      </c>
      <c r="G6799" t="n">
        <v>0.7</v>
      </c>
      <c r="H6799" t="n">
        <v>0</v>
      </c>
      <c r="I6799" t="n">
        <v>0</v>
      </c>
      <c r="J6799" t="n">
        <v>0</v>
      </c>
      <c r="K6799" t="n">
        <v>0</v>
      </c>
      <c r="L6799" t="n">
        <v>0</v>
      </c>
      <c r="M6799" t="n">
        <v>0</v>
      </c>
      <c r="N6799" t="n">
        <v>0</v>
      </c>
      <c r="O6799" t="n">
        <v>0</v>
      </c>
      <c r="P6799" t="n">
        <v>0</v>
      </c>
      <c r="Q6799" t="n">
        <v>0</v>
      </c>
      <c r="R6799" s="2" t="inlineStr"/>
    </row>
    <row r="6800" ht="15" customHeight="1">
      <c r="A6800" t="inlineStr">
        <is>
          <t>A 38887-2022</t>
        </is>
      </c>
      <c r="B6800" s="1" t="n">
        <v>44816</v>
      </c>
      <c r="C6800" s="1" t="n">
        <v>45962</v>
      </c>
      <c r="D6800" t="inlineStr">
        <is>
          <t>JÖNKÖPINGS LÄN</t>
        </is>
      </c>
      <c r="E6800" t="inlineStr">
        <is>
          <t>VETLANDA</t>
        </is>
      </c>
      <c r="G6800" t="n">
        <v>1</v>
      </c>
      <c r="H6800" t="n">
        <v>0</v>
      </c>
      <c r="I6800" t="n">
        <v>0</v>
      </c>
      <c r="J6800" t="n">
        <v>0</v>
      </c>
      <c r="K6800" t="n">
        <v>0</v>
      </c>
      <c r="L6800" t="n">
        <v>0</v>
      </c>
      <c r="M6800" t="n">
        <v>0</v>
      </c>
      <c r="N6800" t="n">
        <v>0</v>
      </c>
      <c r="O6800" t="n">
        <v>0</v>
      </c>
      <c r="P6800" t="n">
        <v>0</v>
      </c>
      <c r="Q6800" t="n">
        <v>0</v>
      </c>
      <c r="R6800" s="2" t="inlineStr"/>
    </row>
    <row r="6801" ht="15" customHeight="1">
      <c r="A6801" t="inlineStr">
        <is>
          <t>A 40248-2025</t>
        </is>
      </c>
      <c r="B6801" s="1" t="n">
        <v>45895.29351851852</v>
      </c>
      <c r="C6801" s="1" t="n">
        <v>45962</v>
      </c>
      <c r="D6801" t="inlineStr">
        <is>
          <t>JÖNKÖPINGS LÄN</t>
        </is>
      </c>
      <c r="E6801" t="inlineStr">
        <is>
          <t>JÖNKÖPING</t>
        </is>
      </c>
      <c r="G6801" t="n">
        <v>2.7</v>
      </c>
      <c r="H6801" t="n">
        <v>0</v>
      </c>
      <c r="I6801" t="n">
        <v>0</v>
      </c>
      <c r="J6801" t="n">
        <v>0</v>
      </c>
      <c r="K6801" t="n">
        <v>0</v>
      </c>
      <c r="L6801" t="n">
        <v>0</v>
      </c>
      <c r="M6801" t="n">
        <v>0</v>
      </c>
      <c r="N6801" t="n">
        <v>0</v>
      </c>
      <c r="O6801" t="n">
        <v>0</v>
      </c>
      <c r="P6801" t="n">
        <v>0</v>
      </c>
      <c r="Q6801" t="n">
        <v>0</v>
      </c>
      <c r="R6801" s="2" t="inlineStr"/>
    </row>
    <row r="6802" ht="15" customHeight="1">
      <c r="A6802" t="inlineStr">
        <is>
          <t>A 30193-2022</t>
        </is>
      </c>
      <c r="B6802" s="1" t="n">
        <v>44757.63770833334</v>
      </c>
      <c r="C6802" s="1" t="n">
        <v>45962</v>
      </c>
      <c r="D6802" t="inlineStr">
        <is>
          <t>JÖNKÖPINGS LÄN</t>
        </is>
      </c>
      <c r="E6802" t="inlineStr">
        <is>
          <t>GISLAVED</t>
        </is>
      </c>
      <c r="G6802" t="n">
        <v>2.6</v>
      </c>
      <c r="H6802" t="n">
        <v>0</v>
      </c>
      <c r="I6802" t="n">
        <v>0</v>
      </c>
      <c r="J6802" t="n">
        <v>0</v>
      </c>
      <c r="K6802" t="n">
        <v>0</v>
      </c>
      <c r="L6802" t="n">
        <v>0</v>
      </c>
      <c r="M6802" t="n">
        <v>0</v>
      </c>
      <c r="N6802" t="n">
        <v>0</v>
      </c>
      <c r="O6802" t="n">
        <v>0</v>
      </c>
      <c r="P6802" t="n">
        <v>0</v>
      </c>
      <c r="Q6802" t="n">
        <v>0</v>
      </c>
      <c r="R6802" s="2" t="inlineStr"/>
    </row>
    <row r="6803" ht="15" customHeight="1">
      <c r="A6803" t="inlineStr">
        <is>
          <t>A 48560-2025</t>
        </is>
      </c>
      <c r="B6803" s="1" t="n">
        <v>45936.43357638889</v>
      </c>
      <c r="C6803" s="1" t="n">
        <v>45962</v>
      </c>
      <c r="D6803" t="inlineStr">
        <is>
          <t>JÖNKÖPINGS LÄN</t>
        </is>
      </c>
      <c r="E6803" t="inlineStr">
        <is>
          <t>ANEBY</t>
        </is>
      </c>
      <c r="G6803" t="n">
        <v>0.4</v>
      </c>
      <c r="H6803" t="n">
        <v>0</v>
      </c>
      <c r="I6803" t="n">
        <v>0</v>
      </c>
      <c r="J6803" t="n">
        <v>0</v>
      </c>
      <c r="K6803" t="n">
        <v>0</v>
      </c>
      <c r="L6803" t="n">
        <v>0</v>
      </c>
      <c r="M6803" t="n">
        <v>0</v>
      </c>
      <c r="N6803" t="n">
        <v>0</v>
      </c>
      <c r="O6803" t="n">
        <v>0</v>
      </c>
      <c r="P6803" t="n">
        <v>0</v>
      </c>
      <c r="Q6803" t="n">
        <v>0</v>
      </c>
      <c r="R6803" s="2" t="inlineStr"/>
    </row>
    <row r="6804" ht="15" customHeight="1">
      <c r="A6804" t="inlineStr">
        <is>
          <t>A 50165-2022</t>
        </is>
      </c>
      <c r="B6804" s="1" t="n">
        <v>44865.59502314815</v>
      </c>
      <c r="C6804" s="1" t="n">
        <v>45962</v>
      </c>
      <c r="D6804" t="inlineStr">
        <is>
          <t>JÖNKÖPINGS LÄN</t>
        </is>
      </c>
      <c r="E6804" t="inlineStr">
        <is>
          <t>EKSJÖ</t>
        </is>
      </c>
      <c r="F6804" t="inlineStr">
        <is>
          <t>Övriga Aktiebolag</t>
        </is>
      </c>
      <c r="G6804" t="n">
        <v>5.1</v>
      </c>
      <c r="H6804" t="n">
        <v>0</v>
      </c>
      <c r="I6804" t="n">
        <v>0</v>
      </c>
      <c r="J6804" t="n">
        <v>0</v>
      </c>
      <c r="K6804" t="n">
        <v>0</v>
      </c>
      <c r="L6804" t="n">
        <v>0</v>
      </c>
      <c r="M6804" t="n">
        <v>0</v>
      </c>
      <c r="N6804" t="n">
        <v>0</v>
      </c>
      <c r="O6804" t="n">
        <v>0</v>
      </c>
      <c r="P6804" t="n">
        <v>0</v>
      </c>
      <c r="Q6804" t="n">
        <v>0</v>
      </c>
      <c r="R6804" s="2" t="inlineStr"/>
    </row>
    <row r="6805" ht="15" customHeight="1">
      <c r="A6805" t="inlineStr">
        <is>
          <t>A 48728-2025</t>
        </is>
      </c>
      <c r="B6805" s="1" t="n">
        <v>45936.65857638889</v>
      </c>
      <c r="C6805" s="1" t="n">
        <v>45962</v>
      </c>
      <c r="D6805" t="inlineStr">
        <is>
          <t>JÖNKÖPINGS LÄN</t>
        </is>
      </c>
      <c r="E6805" t="inlineStr">
        <is>
          <t>ANEBY</t>
        </is>
      </c>
      <c r="G6805" t="n">
        <v>1.3</v>
      </c>
      <c r="H6805" t="n">
        <v>0</v>
      </c>
      <c r="I6805" t="n">
        <v>0</v>
      </c>
      <c r="J6805" t="n">
        <v>0</v>
      </c>
      <c r="K6805" t="n">
        <v>0</v>
      </c>
      <c r="L6805" t="n">
        <v>0</v>
      </c>
      <c r="M6805" t="n">
        <v>0</v>
      </c>
      <c r="N6805" t="n">
        <v>0</v>
      </c>
      <c r="O6805" t="n">
        <v>0</v>
      </c>
      <c r="P6805" t="n">
        <v>0</v>
      </c>
      <c r="Q6805" t="n">
        <v>0</v>
      </c>
      <c r="R6805" s="2" t="inlineStr"/>
    </row>
    <row r="6806" ht="15" customHeight="1">
      <c r="A6806" t="inlineStr">
        <is>
          <t>A 39945-2025</t>
        </is>
      </c>
      <c r="B6806" s="1" t="n">
        <v>45892.29917824074</v>
      </c>
      <c r="C6806" s="1" t="n">
        <v>45962</v>
      </c>
      <c r="D6806" t="inlineStr">
        <is>
          <t>JÖNKÖPINGS LÄN</t>
        </is>
      </c>
      <c r="E6806" t="inlineStr">
        <is>
          <t>NÄSSJÖ</t>
        </is>
      </c>
      <c r="G6806" t="n">
        <v>0.7</v>
      </c>
      <c r="H6806" t="n">
        <v>0</v>
      </c>
      <c r="I6806" t="n">
        <v>0</v>
      </c>
      <c r="J6806" t="n">
        <v>0</v>
      </c>
      <c r="K6806" t="n">
        <v>0</v>
      </c>
      <c r="L6806" t="n">
        <v>0</v>
      </c>
      <c r="M6806" t="n">
        <v>0</v>
      </c>
      <c r="N6806" t="n">
        <v>0</v>
      </c>
      <c r="O6806" t="n">
        <v>0</v>
      </c>
      <c r="P6806" t="n">
        <v>0</v>
      </c>
      <c r="Q6806" t="n">
        <v>0</v>
      </c>
      <c r="R6806" s="2" t="inlineStr"/>
    </row>
    <row r="6807" ht="15" customHeight="1">
      <c r="A6807" t="inlineStr">
        <is>
          <t>A 26498-2023</t>
        </is>
      </c>
      <c r="B6807" s="1" t="n">
        <v>45092.50385416667</v>
      </c>
      <c r="C6807" s="1" t="n">
        <v>45962</v>
      </c>
      <c r="D6807" t="inlineStr">
        <is>
          <t>JÖNKÖPINGS LÄN</t>
        </is>
      </c>
      <c r="E6807" t="inlineStr">
        <is>
          <t>ANEBY</t>
        </is>
      </c>
      <c r="G6807" t="n">
        <v>1.8</v>
      </c>
      <c r="H6807" t="n">
        <v>0</v>
      </c>
      <c r="I6807" t="n">
        <v>0</v>
      </c>
      <c r="J6807" t="n">
        <v>0</v>
      </c>
      <c r="K6807" t="n">
        <v>0</v>
      </c>
      <c r="L6807" t="n">
        <v>0</v>
      </c>
      <c r="M6807" t="n">
        <v>0</v>
      </c>
      <c r="N6807" t="n">
        <v>0</v>
      </c>
      <c r="O6807" t="n">
        <v>0</v>
      </c>
      <c r="P6807" t="n">
        <v>0</v>
      </c>
      <c r="Q6807" t="n">
        <v>0</v>
      </c>
      <c r="R6807" s="2" t="inlineStr"/>
    </row>
    <row r="6808" ht="15" customHeight="1">
      <c r="A6808" t="inlineStr">
        <is>
          <t>A 49605-2024</t>
        </is>
      </c>
      <c r="B6808" s="1" t="n">
        <v>45596.56410879629</v>
      </c>
      <c r="C6808" s="1" t="n">
        <v>45962</v>
      </c>
      <c r="D6808" t="inlineStr">
        <is>
          <t>JÖNKÖPINGS LÄN</t>
        </is>
      </c>
      <c r="E6808" t="inlineStr">
        <is>
          <t>VÄRNAMO</t>
        </is>
      </c>
      <c r="G6808" t="n">
        <v>0.6</v>
      </c>
      <c r="H6808" t="n">
        <v>0</v>
      </c>
      <c r="I6808" t="n">
        <v>0</v>
      </c>
      <c r="J6808" t="n">
        <v>0</v>
      </c>
      <c r="K6808" t="n">
        <v>0</v>
      </c>
      <c r="L6808" t="n">
        <v>0</v>
      </c>
      <c r="M6808" t="n">
        <v>0</v>
      </c>
      <c r="N6808" t="n">
        <v>0</v>
      </c>
      <c r="O6808" t="n">
        <v>0</v>
      </c>
      <c r="P6808" t="n">
        <v>0</v>
      </c>
      <c r="Q6808" t="n">
        <v>0</v>
      </c>
      <c r="R6808" s="2" t="inlineStr"/>
    </row>
    <row r="6809" ht="15" customHeight="1">
      <c r="A6809" t="inlineStr">
        <is>
          <t>A 26286-2024</t>
        </is>
      </c>
      <c r="B6809" s="1" t="n">
        <v>45468.70416666667</v>
      </c>
      <c r="C6809" s="1" t="n">
        <v>45962</v>
      </c>
      <c r="D6809" t="inlineStr">
        <is>
          <t>JÖNKÖPINGS LÄN</t>
        </is>
      </c>
      <c r="E6809" t="inlineStr">
        <is>
          <t>GISLAVED</t>
        </is>
      </c>
      <c r="G6809" t="n">
        <v>1.9</v>
      </c>
      <c r="H6809" t="n">
        <v>0</v>
      </c>
      <c r="I6809" t="n">
        <v>0</v>
      </c>
      <c r="J6809" t="n">
        <v>0</v>
      </c>
      <c r="K6809" t="n">
        <v>0</v>
      </c>
      <c r="L6809" t="n">
        <v>0</v>
      </c>
      <c r="M6809" t="n">
        <v>0</v>
      </c>
      <c r="N6809" t="n">
        <v>0</v>
      </c>
      <c r="O6809" t="n">
        <v>0</v>
      </c>
      <c r="P6809" t="n">
        <v>0</v>
      </c>
      <c r="Q6809" t="n">
        <v>0</v>
      </c>
      <c r="R6809" s="2" t="inlineStr"/>
    </row>
    <row r="6810" ht="15" customHeight="1">
      <c r="A6810" t="inlineStr">
        <is>
          <t>A 45408-2023</t>
        </is>
      </c>
      <c r="B6810" s="1" t="n">
        <v>45194</v>
      </c>
      <c r="C6810" s="1" t="n">
        <v>45962</v>
      </c>
      <c r="D6810" t="inlineStr">
        <is>
          <t>JÖNKÖPINGS LÄN</t>
        </is>
      </c>
      <c r="E6810" t="inlineStr">
        <is>
          <t>JÖNKÖPING</t>
        </is>
      </c>
      <c r="G6810" t="n">
        <v>0.5</v>
      </c>
      <c r="H6810" t="n">
        <v>0</v>
      </c>
      <c r="I6810" t="n">
        <v>0</v>
      </c>
      <c r="J6810" t="n">
        <v>0</v>
      </c>
      <c r="K6810" t="n">
        <v>0</v>
      </c>
      <c r="L6810" t="n">
        <v>0</v>
      </c>
      <c r="M6810" t="n">
        <v>0</v>
      </c>
      <c r="N6810" t="n">
        <v>0</v>
      </c>
      <c r="O6810" t="n">
        <v>0</v>
      </c>
      <c r="P6810" t="n">
        <v>0</v>
      </c>
      <c r="Q6810" t="n">
        <v>0</v>
      </c>
      <c r="R6810" s="2" t="inlineStr"/>
    </row>
    <row r="6811" ht="15" customHeight="1">
      <c r="A6811" t="inlineStr">
        <is>
          <t>A 45412-2023</t>
        </is>
      </c>
      <c r="B6811" s="1" t="n">
        <v>45194</v>
      </c>
      <c r="C6811" s="1" t="n">
        <v>45962</v>
      </c>
      <c r="D6811" t="inlineStr">
        <is>
          <t>JÖNKÖPINGS LÄN</t>
        </is>
      </c>
      <c r="E6811" t="inlineStr">
        <is>
          <t>JÖNKÖPING</t>
        </is>
      </c>
      <c r="G6811" t="n">
        <v>2.7</v>
      </c>
      <c r="H6811" t="n">
        <v>0</v>
      </c>
      <c r="I6811" t="n">
        <v>0</v>
      </c>
      <c r="J6811" t="n">
        <v>0</v>
      </c>
      <c r="K6811" t="n">
        <v>0</v>
      </c>
      <c r="L6811" t="n">
        <v>0</v>
      </c>
      <c r="M6811" t="n">
        <v>0</v>
      </c>
      <c r="N6811" t="n">
        <v>0</v>
      </c>
      <c r="O6811" t="n">
        <v>0</v>
      </c>
      <c r="P6811" t="n">
        <v>0</v>
      </c>
      <c r="Q6811" t="n">
        <v>0</v>
      </c>
      <c r="R6811" s="2" t="inlineStr"/>
    </row>
    <row r="6812" ht="15" customHeight="1">
      <c r="A6812" t="inlineStr">
        <is>
          <t>A 45444-2023</t>
        </is>
      </c>
      <c r="B6812" s="1" t="n">
        <v>45194</v>
      </c>
      <c r="C6812" s="1" t="n">
        <v>45962</v>
      </c>
      <c r="D6812" t="inlineStr">
        <is>
          <t>JÖNKÖPINGS LÄN</t>
        </is>
      </c>
      <c r="E6812" t="inlineStr">
        <is>
          <t>VÄRNAMO</t>
        </is>
      </c>
      <c r="F6812" t="inlineStr">
        <is>
          <t>Sveaskog</t>
        </is>
      </c>
      <c r="G6812" t="n">
        <v>1.4</v>
      </c>
      <c r="H6812" t="n">
        <v>0</v>
      </c>
      <c r="I6812" t="n">
        <v>0</v>
      </c>
      <c r="J6812" t="n">
        <v>0</v>
      </c>
      <c r="K6812" t="n">
        <v>0</v>
      </c>
      <c r="L6812" t="n">
        <v>0</v>
      </c>
      <c r="M6812" t="n">
        <v>0</v>
      </c>
      <c r="N6812" t="n">
        <v>0</v>
      </c>
      <c r="O6812" t="n">
        <v>0</v>
      </c>
      <c r="P6812" t="n">
        <v>0</v>
      </c>
      <c r="Q6812" t="n">
        <v>0</v>
      </c>
      <c r="R6812" s="2" t="inlineStr"/>
    </row>
    <row r="6813" ht="15" customHeight="1">
      <c r="A6813" t="inlineStr">
        <is>
          <t>A 9909-2025</t>
        </is>
      </c>
      <c r="B6813" s="1" t="n">
        <v>45717.37655092592</v>
      </c>
      <c r="C6813" s="1" t="n">
        <v>45962</v>
      </c>
      <c r="D6813" t="inlineStr">
        <is>
          <t>JÖNKÖPINGS LÄN</t>
        </is>
      </c>
      <c r="E6813" t="inlineStr">
        <is>
          <t>GISLAVED</t>
        </is>
      </c>
      <c r="G6813" t="n">
        <v>1.4</v>
      </c>
      <c r="H6813" t="n">
        <v>0</v>
      </c>
      <c r="I6813" t="n">
        <v>0</v>
      </c>
      <c r="J6813" t="n">
        <v>0</v>
      </c>
      <c r="K6813" t="n">
        <v>0</v>
      </c>
      <c r="L6813" t="n">
        <v>0</v>
      </c>
      <c r="M6813" t="n">
        <v>0</v>
      </c>
      <c r="N6813" t="n">
        <v>0</v>
      </c>
      <c r="O6813" t="n">
        <v>0</v>
      </c>
      <c r="P6813" t="n">
        <v>0</v>
      </c>
      <c r="Q6813" t="n">
        <v>0</v>
      </c>
      <c r="R6813" s="2" t="inlineStr"/>
    </row>
    <row r="6814" ht="15" customHeight="1">
      <c r="A6814" t="inlineStr">
        <is>
          <t>A 9911-2025</t>
        </is>
      </c>
      <c r="B6814" s="1" t="n">
        <v>45717.39528935185</v>
      </c>
      <c r="C6814" s="1" t="n">
        <v>45962</v>
      </c>
      <c r="D6814" t="inlineStr">
        <is>
          <t>JÖNKÖPINGS LÄN</t>
        </is>
      </c>
      <c r="E6814" t="inlineStr">
        <is>
          <t>GISLAVED</t>
        </is>
      </c>
      <c r="G6814" t="n">
        <v>1.6</v>
      </c>
      <c r="H6814" t="n">
        <v>0</v>
      </c>
      <c r="I6814" t="n">
        <v>0</v>
      </c>
      <c r="J6814" t="n">
        <v>0</v>
      </c>
      <c r="K6814" t="n">
        <v>0</v>
      </c>
      <c r="L6814" t="n">
        <v>0</v>
      </c>
      <c r="M6814" t="n">
        <v>0</v>
      </c>
      <c r="N6814" t="n">
        <v>0</v>
      </c>
      <c r="O6814" t="n">
        <v>0</v>
      </c>
      <c r="P6814" t="n">
        <v>0</v>
      </c>
      <c r="Q6814" t="n">
        <v>0</v>
      </c>
      <c r="R6814" s="2" t="inlineStr"/>
    </row>
    <row r="6815" ht="15" customHeight="1">
      <c r="A6815" t="inlineStr">
        <is>
          <t>A 48976-2024</t>
        </is>
      </c>
      <c r="B6815" s="1" t="n">
        <v>45594.46626157407</v>
      </c>
      <c r="C6815" s="1" t="n">
        <v>45962</v>
      </c>
      <c r="D6815" t="inlineStr">
        <is>
          <t>JÖNKÖPINGS LÄN</t>
        </is>
      </c>
      <c r="E6815" t="inlineStr">
        <is>
          <t>GISLAVED</t>
        </is>
      </c>
      <c r="G6815" t="n">
        <v>1.8</v>
      </c>
      <c r="H6815" t="n">
        <v>0</v>
      </c>
      <c r="I6815" t="n">
        <v>0</v>
      </c>
      <c r="J6815" t="n">
        <v>0</v>
      </c>
      <c r="K6815" t="n">
        <v>0</v>
      </c>
      <c r="L6815" t="n">
        <v>0</v>
      </c>
      <c r="M6815" t="n">
        <v>0</v>
      </c>
      <c r="N6815" t="n">
        <v>0</v>
      </c>
      <c r="O6815" t="n">
        <v>0</v>
      </c>
      <c r="P6815" t="n">
        <v>0</v>
      </c>
      <c r="Q6815" t="n">
        <v>0</v>
      </c>
      <c r="R6815" s="2" t="inlineStr"/>
    </row>
    <row r="6816" ht="15" customHeight="1">
      <c r="A6816" t="inlineStr">
        <is>
          <t>A 32931-2023</t>
        </is>
      </c>
      <c r="B6816" s="1" t="n">
        <v>45125.4228125</v>
      </c>
      <c r="C6816" s="1" t="n">
        <v>45962</v>
      </c>
      <c r="D6816" t="inlineStr">
        <is>
          <t>JÖNKÖPINGS LÄN</t>
        </is>
      </c>
      <c r="E6816" t="inlineStr">
        <is>
          <t>GISLAVED</t>
        </is>
      </c>
      <c r="G6816" t="n">
        <v>0.7</v>
      </c>
      <c r="H6816" t="n">
        <v>0</v>
      </c>
      <c r="I6816" t="n">
        <v>0</v>
      </c>
      <c r="J6816" t="n">
        <v>0</v>
      </c>
      <c r="K6816" t="n">
        <v>0</v>
      </c>
      <c r="L6816" t="n">
        <v>0</v>
      </c>
      <c r="M6816" t="n">
        <v>0</v>
      </c>
      <c r="N6816" t="n">
        <v>0</v>
      </c>
      <c r="O6816" t="n">
        <v>0</v>
      </c>
      <c r="P6816" t="n">
        <v>0</v>
      </c>
      <c r="Q6816" t="n">
        <v>0</v>
      </c>
      <c r="R6816" s="2" t="inlineStr"/>
    </row>
    <row r="6817" ht="15" customHeight="1">
      <c r="A6817" t="inlineStr">
        <is>
          <t>A 15325-2022</t>
        </is>
      </c>
      <c r="B6817" s="1" t="n">
        <v>44659</v>
      </c>
      <c r="C6817" s="1" t="n">
        <v>45962</v>
      </c>
      <c r="D6817" t="inlineStr">
        <is>
          <t>JÖNKÖPINGS LÄN</t>
        </is>
      </c>
      <c r="E6817" t="inlineStr">
        <is>
          <t>NÄSSJÖ</t>
        </is>
      </c>
      <c r="G6817" t="n">
        <v>1.2</v>
      </c>
      <c r="H6817" t="n">
        <v>0</v>
      </c>
      <c r="I6817" t="n">
        <v>0</v>
      </c>
      <c r="J6817" t="n">
        <v>0</v>
      </c>
      <c r="K6817" t="n">
        <v>0</v>
      </c>
      <c r="L6817" t="n">
        <v>0</v>
      </c>
      <c r="M6817" t="n">
        <v>0</v>
      </c>
      <c r="N6817" t="n">
        <v>0</v>
      </c>
      <c r="O6817" t="n">
        <v>0</v>
      </c>
      <c r="P6817" t="n">
        <v>0</v>
      </c>
      <c r="Q6817" t="n">
        <v>0</v>
      </c>
      <c r="R6817" s="2" t="inlineStr"/>
    </row>
    <row r="6818" ht="15" customHeight="1">
      <c r="A6818" t="inlineStr">
        <is>
          <t>A 30583-2023</t>
        </is>
      </c>
      <c r="B6818" s="1" t="n">
        <v>45112</v>
      </c>
      <c r="C6818" s="1" t="n">
        <v>45962</v>
      </c>
      <c r="D6818" t="inlineStr">
        <is>
          <t>JÖNKÖPINGS LÄN</t>
        </is>
      </c>
      <c r="E6818" t="inlineStr">
        <is>
          <t>JÖNKÖPING</t>
        </is>
      </c>
      <c r="G6818" t="n">
        <v>0.7</v>
      </c>
      <c r="H6818" t="n">
        <v>0</v>
      </c>
      <c r="I6818" t="n">
        <v>0</v>
      </c>
      <c r="J6818" t="n">
        <v>0</v>
      </c>
      <c r="K6818" t="n">
        <v>0</v>
      </c>
      <c r="L6818" t="n">
        <v>0</v>
      </c>
      <c r="M6818" t="n">
        <v>0</v>
      </c>
      <c r="N6818" t="n">
        <v>0</v>
      </c>
      <c r="O6818" t="n">
        <v>0</v>
      </c>
      <c r="P6818" t="n">
        <v>0</v>
      </c>
      <c r="Q6818" t="n">
        <v>0</v>
      </c>
      <c r="R6818" s="2" t="inlineStr"/>
    </row>
    <row r="6819" ht="15" customHeight="1">
      <c r="A6819" t="inlineStr">
        <is>
          <t>A 34686-2025</t>
        </is>
      </c>
      <c r="B6819" s="1" t="n">
        <v>45848</v>
      </c>
      <c r="C6819" s="1" t="n">
        <v>45962</v>
      </c>
      <c r="D6819" t="inlineStr">
        <is>
          <t>JÖNKÖPINGS LÄN</t>
        </is>
      </c>
      <c r="E6819" t="inlineStr">
        <is>
          <t>NÄSSJÖ</t>
        </is>
      </c>
      <c r="G6819" t="n">
        <v>0.8</v>
      </c>
      <c r="H6819" t="n">
        <v>0</v>
      </c>
      <c r="I6819" t="n">
        <v>0</v>
      </c>
      <c r="J6819" t="n">
        <v>0</v>
      </c>
      <c r="K6819" t="n">
        <v>0</v>
      </c>
      <c r="L6819" t="n">
        <v>0</v>
      </c>
      <c r="M6819" t="n">
        <v>0</v>
      </c>
      <c r="N6819" t="n">
        <v>0</v>
      </c>
      <c r="O6819" t="n">
        <v>0</v>
      </c>
      <c r="P6819" t="n">
        <v>0</v>
      </c>
      <c r="Q6819" t="n">
        <v>0</v>
      </c>
      <c r="R6819" s="2" t="inlineStr"/>
    </row>
    <row r="6820" ht="15" customHeight="1">
      <c r="A6820" t="inlineStr">
        <is>
          <t>A 59502-2020</t>
        </is>
      </c>
      <c r="B6820" s="1" t="n">
        <v>44148</v>
      </c>
      <c r="C6820" s="1" t="n">
        <v>45962</v>
      </c>
      <c r="D6820" t="inlineStr">
        <is>
          <t>JÖNKÖPINGS LÄN</t>
        </is>
      </c>
      <c r="E6820" t="inlineStr">
        <is>
          <t>JÖNKÖPING</t>
        </is>
      </c>
      <c r="G6820" t="n">
        <v>0.4</v>
      </c>
      <c r="H6820" t="n">
        <v>0</v>
      </c>
      <c r="I6820" t="n">
        <v>0</v>
      </c>
      <c r="J6820" t="n">
        <v>0</v>
      </c>
      <c r="K6820" t="n">
        <v>0</v>
      </c>
      <c r="L6820" t="n">
        <v>0</v>
      </c>
      <c r="M6820" t="n">
        <v>0</v>
      </c>
      <c r="N6820" t="n">
        <v>0</v>
      </c>
      <c r="O6820" t="n">
        <v>0</v>
      </c>
      <c r="P6820" t="n">
        <v>0</v>
      </c>
      <c r="Q6820" t="n">
        <v>0</v>
      </c>
      <c r="R6820" s="2" t="inlineStr"/>
    </row>
    <row r="6821" ht="15" customHeight="1">
      <c r="A6821" t="inlineStr">
        <is>
          <t>A 50242-2023</t>
        </is>
      </c>
      <c r="B6821" s="1" t="n">
        <v>45216.33821759259</v>
      </c>
      <c r="C6821" s="1" t="n">
        <v>45962</v>
      </c>
      <c r="D6821" t="inlineStr">
        <is>
          <t>JÖNKÖPINGS LÄN</t>
        </is>
      </c>
      <c r="E6821" t="inlineStr">
        <is>
          <t>VETLANDA</t>
        </is>
      </c>
      <c r="G6821" t="n">
        <v>1.6</v>
      </c>
      <c r="H6821" t="n">
        <v>0</v>
      </c>
      <c r="I6821" t="n">
        <v>0</v>
      </c>
      <c r="J6821" t="n">
        <v>0</v>
      </c>
      <c r="K6821" t="n">
        <v>0</v>
      </c>
      <c r="L6821" t="n">
        <v>0</v>
      </c>
      <c r="M6821" t="n">
        <v>0</v>
      </c>
      <c r="N6821" t="n">
        <v>0</v>
      </c>
      <c r="O6821" t="n">
        <v>0</v>
      </c>
      <c r="P6821" t="n">
        <v>0</v>
      </c>
      <c r="Q6821" t="n">
        <v>0</v>
      </c>
      <c r="R6821" s="2" t="inlineStr"/>
    </row>
    <row r="6822" ht="15" customHeight="1">
      <c r="A6822" t="inlineStr">
        <is>
          <t>A 43332-2024</t>
        </is>
      </c>
      <c r="B6822" s="1" t="n">
        <v>45568.48600694445</v>
      </c>
      <c r="C6822" s="1" t="n">
        <v>45962</v>
      </c>
      <c r="D6822" t="inlineStr">
        <is>
          <t>JÖNKÖPINGS LÄN</t>
        </is>
      </c>
      <c r="E6822" t="inlineStr">
        <is>
          <t>SÄVSJÖ</t>
        </is>
      </c>
      <c r="G6822" t="n">
        <v>1.6</v>
      </c>
      <c r="H6822" t="n">
        <v>0</v>
      </c>
      <c r="I6822" t="n">
        <v>0</v>
      </c>
      <c r="J6822" t="n">
        <v>0</v>
      </c>
      <c r="K6822" t="n">
        <v>0</v>
      </c>
      <c r="L6822" t="n">
        <v>0</v>
      </c>
      <c r="M6822" t="n">
        <v>0</v>
      </c>
      <c r="N6822" t="n">
        <v>0</v>
      </c>
      <c r="O6822" t="n">
        <v>0</v>
      </c>
      <c r="P6822" t="n">
        <v>0</v>
      </c>
      <c r="Q6822" t="n">
        <v>0</v>
      </c>
      <c r="R6822" s="2" t="inlineStr"/>
    </row>
    <row r="6823" ht="15" customHeight="1">
      <c r="A6823" t="inlineStr">
        <is>
          <t>A 25102-2022</t>
        </is>
      </c>
      <c r="B6823" s="1" t="n">
        <v>44729</v>
      </c>
      <c r="C6823" s="1" t="n">
        <v>45962</v>
      </c>
      <c r="D6823" t="inlineStr">
        <is>
          <t>JÖNKÖPINGS LÄN</t>
        </is>
      </c>
      <c r="E6823" t="inlineStr">
        <is>
          <t>VÄRNAMO</t>
        </is>
      </c>
      <c r="G6823" t="n">
        <v>1.2</v>
      </c>
      <c r="H6823" t="n">
        <v>0</v>
      </c>
      <c r="I6823" t="n">
        <v>0</v>
      </c>
      <c r="J6823" t="n">
        <v>0</v>
      </c>
      <c r="K6823" t="n">
        <v>0</v>
      </c>
      <c r="L6823" t="n">
        <v>0</v>
      </c>
      <c r="M6823" t="n">
        <v>0</v>
      </c>
      <c r="N6823" t="n">
        <v>0</v>
      </c>
      <c r="O6823" t="n">
        <v>0</v>
      </c>
      <c r="P6823" t="n">
        <v>0</v>
      </c>
      <c r="Q6823" t="n">
        <v>0</v>
      </c>
      <c r="R6823" s="2" t="inlineStr"/>
    </row>
    <row r="6824" ht="15" customHeight="1">
      <c r="A6824" t="inlineStr">
        <is>
          <t>A 49267-2025</t>
        </is>
      </c>
      <c r="B6824" s="1" t="n">
        <v>45938.50130787037</v>
      </c>
      <c r="C6824" s="1" t="n">
        <v>45962</v>
      </c>
      <c r="D6824" t="inlineStr">
        <is>
          <t>JÖNKÖPINGS LÄN</t>
        </is>
      </c>
      <c r="E6824" t="inlineStr">
        <is>
          <t>GISLAVED</t>
        </is>
      </c>
      <c r="G6824" t="n">
        <v>3.1</v>
      </c>
      <c r="H6824" t="n">
        <v>0</v>
      </c>
      <c r="I6824" t="n">
        <v>0</v>
      </c>
      <c r="J6824" t="n">
        <v>0</v>
      </c>
      <c r="K6824" t="n">
        <v>0</v>
      </c>
      <c r="L6824" t="n">
        <v>0</v>
      </c>
      <c r="M6824" t="n">
        <v>0</v>
      </c>
      <c r="N6824" t="n">
        <v>0</v>
      </c>
      <c r="O6824" t="n">
        <v>0</v>
      </c>
      <c r="P6824" t="n">
        <v>0</v>
      </c>
      <c r="Q6824" t="n">
        <v>0</v>
      </c>
      <c r="R6824" s="2" t="inlineStr"/>
    </row>
    <row r="6825" ht="15" customHeight="1">
      <c r="A6825" t="inlineStr">
        <is>
          <t>A 43786-2023</t>
        </is>
      </c>
      <c r="B6825" s="1" t="n">
        <v>45187.53253472222</v>
      </c>
      <c r="C6825" s="1" t="n">
        <v>45962</v>
      </c>
      <c r="D6825" t="inlineStr">
        <is>
          <t>JÖNKÖPINGS LÄN</t>
        </is>
      </c>
      <c r="E6825" t="inlineStr">
        <is>
          <t>GNOSJÖ</t>
        </is>
      </c>
      <c r="G6825" t="n">
        <v>0.6</v>
      </c>
      <c r="H6825" t="n">
        <v>0</v>
      </c>
      <c r="I6825" t="n">
        <v>0</v>
      </c>
      <c r="J6825" t="n">
        <v>0</v>
      </c>
      <c r="K6825" t="n">
        <v>0</v>
      </c>
      <c r="L6825" t="n">
        <v>0</v>
      </c>
      <c r="M6825" t="n">
        <v>0</v>
      </c>
      <c r="N6825" t="n">
        <v>0</v>
      </c>
      <c r="O6825" t="n">
        <v>0</v>
      </c>
      <c r="P6825" t="n">
        <v>0</v>
      </c>
      <c r="Q6825" t="n">
        <v>0</v>
      </c>
      <c r="R6825" s="2" t="inlineStr"/>
    </row>
    <row r="6826" ht="15" customHeight="1">
      <c r="A6826" t="inlineStr">
        <is>
          <t>A 43787-2023</t>
        </is>
      </c>
      <c r="B6826" s="1" t="n">
        <v>45187.53527777778</v>
      </c>
      <c r="C6826" s="1" t="n">
        <v>45962</v>
      </c>
      <c r="D6826" t="inlineStr">
        <is>
          <t>JÖNKÖPINGS LÄN</t>
        </is>
      </c>
      <c r="E6826" t="inlineStr">
        <is>
          <t>GNOSJÖ</t>
        </is>
      </c>
      <c r="G6826" t="n">
        <v>0.5</v>
      </c>
      <c r="H6826" t="n">
        <v>0</v>
      </c>
      <c r="I6826" t="n">
        <v>0</v>
      </c>
      <c r="J6826" t="n">
        <v>0</v>
      </c>
      <c r="K6826" t="n">
        <v>0</v>
      </c>
      <c r="L6826" t="n">
        <v>0</v>
      </c>
      <c r="M6826" t="n">
        <v>0</v>
      </c>
      <c r="N6826" t="n">
        <v>0</v>
      </c>
      <c r="O6826" t="n">
        <v>0</v>
      </c>
      <c r="P6826" t="n">
        <v>0</v>
      </c>
      <c r="Q6826" t="n">
        <v>0</v>
      </c>
      <c r="R6826" s="2" t="inlineStr"/>
    </row>
    <row r="6827" ht="15" customHeight="1">
      <c r="A6827" t="inlineStr">
        <is>
          <t>A 38794-2023</t>
        </is>
      </c>
      <c r="B6827" s="1" t="n">
        <v>45161</v>
      </c>
      <c r="C6827" s="1" t="n">
        <v>45962</v>
      </c>
      <c r="D6827" t="inlineStr">
        <is>
          <t>JÖNKÖPINGS LÄN</t>
        </is>
      </c>
      <c r="E6827" t="inlineStr">
        <is>
          <t>ANEBY</t>
        </is>
      </c>
      <c r="F6827" t="inlineStr">
        <is>
          <t>Övriga Aktiebolag</t>
        </is>
      </c>
      <c r="G6827" t="n">
        <v>2.9</v>
      </c>
      <c r="H6827" t="n">
        <v>0</v>
      </c>
      <c r="I6827" t="n">
        <v>0</v>
      </c>
      <c r="J6827" t="n">
        <v>0</v>
      </c>
      <c r="K6827" t="n">
        <v>0</v>
      </c>
      <c r="L6827" t="n">
        <v>0</v>
      </c>
      <c r="M6827" t="n">
        <v>0</v>
      </c>
      <c r="N6827" t="n">
        <v>0</v>
      </c>
      <c r="O6827" t="n">
        <v>0</v>
      </c>
      <c r="P6827" t="n">
        <v>0</v>
      </c>
      <c r="Q6827" t="n">
        <v>0</v>
      </c>
      <c r="R6827" s="2" t="inlineStr"/>
    </row>
    <row r="6828" ht="15" customHeight="1">
      <c r="A6828" t="inlineStr">
        <is>
          <t>A 40551-2025</t>
        </is>
      </c>
      <c r="B6828" s="1" t="n">
        <v>45896.44340277778</v>
      </c>
      <c r="C6828" s="1" t="n">
        <v>45962</v>
      </c>
      <c r="D6828" t="inlineStr">
        <is>
          <t>JÖNKÖPINGS LÄN</t>
        </is>
      </c>
      <c r="E6828" t="inlineStr">
        <is>
          <t>VÄRNAMO</t>
        </is>
      </c>
      <c r="G6828" t="n">
        <v>0.6</v>
      </c>
      <c r="H6828" t="n">
        <v>0</v>
      </c>
      <c r="I6828" t="n">
        <v>0</v>
      </c>
      <c r="J6828" t="n">
        <v>0</v>
      </c>
      <c r="K6828" t="n">
        <v>0</v>
      </c>
      <c r="L6828" t="n">
        <v>0</v>
      </c>
      <c r="M6828" t="n">
        <v>0</v>
      </c>
      <c r="N6828" t="n">
        <v>0</v>
      </c>
      <c r="O6828" t="n">
        <v>0</v>
      </c>
      <c r="P6828" t="n">
        <v>0</v>
      </c>
      <c r="Q6828" t="n">
        <v>0</v>
      </c>
      <c r="R6828" s="2" t="inlineStr"/>
    </row>
    <row r="6829" ht="15" customHeight="1">
      <c r="A6829" t="inlineStr">
        <is>
          <t>A 29878-2023</t>
        </is>
      </c>
      <c r="B6829" s="1" t="n">
        <v>45107</v>
      </c>
      <c r="C6829" s="1" t="n">
        <v>45962</v>
      </c>
      <c r="D6829" t="inlineStr">
        <is>
          <t>JÖNKÖPINGS LÄN</t>
        </is>
      </c>
      <c r="E6829" t="inlineStr">
        <is>
          <t>EKSJÖ</t>
        </is>
      </c>
      <c r="G6829" t="n">
        <v>3.8</v>
      </c>
      <c r="H6829" t="n">
        <v>0</v>
      </c>
      <c r="I6829" t="n">
        <v>0</v>
      </c>
      <c r="J6829" t="n">
        <v>0</v>
      </c>
      <c r="K6829" t="n">
        <v>0</v>
      </c>
      <c r="L6829" t="n">
        <v>0</v>
      </c>
      <c r="M6829" t="n">
        <v>0</v>
      </c>
      <c r="N6829" t="n">
        <v>0</v>
      </c>
      <c r="O6829" t="n">
        <v>0</v>
      </c>
      <c r="P6829" t="n">
        <v>0</v>
      </c>
      <c r="Q6829" t="n">
        <v>0</v>
      </c>
      <c r="R6829" s="2" t="inlineStr"/>
    </row>
    <row r="6830" ht="15" customHeight="1">
      <c r="A6830" t="inlineStr">
        <is>
          <t>A 29880-2023</t>
        </is>
      </c>
      <c r="B6830" s="1" t="n">
        <v>45107</v>
      </c>
      <c r="C6830" s="1" t="n">
        <v>45962</v>
      </c>
      <c r="D6830" t="inlineStr">
        <is>
          <t>JÖNKÖPINGS LÄN</t>
        </is>
      </c>
      <c r="E6830" t="inlineStr">
        <is>
          <t>JÖNKÖPING</t>
        </is>
      </c>
      <c r="G6830" t="n">
        <v>1.5</v>
      </c>
      <c r="H6830" t="n">
        <v>0</v>
      </c>
      <c r="I6830" t="n">
        <v>0</v>
      </c>
      <c r="J6830" t="n">
        <v>0</v>
      </c>
      <c r="K6830" t="n">
        <v>0</v>
      </c>
      <c r="L6830" t="n">
        <v>0</v>
      </c>
      <c r="M6830" t="n">
        <v>0</v>
      </c>
      <c r="N6830" t="n">
        <v>0</v>
      </c>
      <c r="O6830" t="n">
        <v>0</v>
      </c>
      <c r="P6830" t="n">
        <v>0</v>
      </c>
      <c r="Q6830" t="n">
        <v>0</v>
      </c>
      <c r="R6830" s="2" t="inlineStr"/>
    </row>
    <row r="6831" ht="15" customHeight="1">
      <c r="A6831" t="inlineStr">
        <is>
          <t>A 47806-2023</t>
        </is>
      </c>
      <c r="B6831" s="1" t="n">
        <v>45204.3241087963</v>
      </c>
      <c r="C6831" s="1" t="n">
        <v>45962</v>
      </c>
      <c r="D6831" t="inlineStr">
        <is>
          <t>JÖNKÖPINGS LÄN</t>
        </is>
      </c>
      <c r="E6831" t="inlineStr">
        <is>
          <t>EKSJÖ</t>
        </is>
      </c>
      <c r="G6831" t="n">
        <v>3.5</v>
      </c>
      <c r="H6831" t="n">
        <v>0</v>
      </c>
      <c r="I6831" t="n">
        <v>0</v>
      </c>
      <c r="J6831" t="n">
        <v>0</v>
      </c>
      <c r="K6831" t="n">
        <v>0</v>
      </c>
      <c r="L6831" t="n">
        <v>0</v>
      </c>
      <c r="M6831" t="n">
        <v>0</v>
      </c>
      <c r="N6831" t="n">
        <v>0</v>
      </c>
      <c r="O6831" t="n">
        <v>0</v>
      </c>
      <c r="P6831" t="n">
        <v>0</v>
      </c>
      <c r="Q6831" t="n">
        <v>0</v>
      </c>
      <c r="R6831" s="2" t="inlineStr"/>
    </row>
    <row r="6832" ht="15" customHeight="1">
      <c r="A6832" t="inlineStr">
        <is>
          <t>A 40863-2025</t>
        </is>
      </c>
      <c r="B6832" s="1" t="n">
        <v>45897.56592592593</v>
      </c>
      <c r="C6832" s="1" t="n">
        <v>45962</v>
      </c>
      <c r="D6832" t="inlineStr">
        <is>
          <t>JÖNKÖPINGS LÄN</t>
        </is>
      </c>
      <c r="E6832" t="inlineStr">
        <is>
          <t>GNOSJÖ</t>
        </is>
      </c>
      <c r="G6832" t="n">
        <v>1.3</v>
      </c>
      <c r="H6832" t="n">
        <v>0</v>
      </c>
      <c r="I6832" t="n">
        <v>0</v>
      </c>
      <c r="J6832" t="n">
        <v>0</v>
      </c>
      <c r="K6832" t="n">
        <v>0</v>
      </c>
      <c r="L6832" t="n">
        <v>0</v>
      </c>
      <c r="M6832" t="n">
        <v>0</v>
      </c>
      <c r="N6832" t="n">
        <v>0</v>
      </c>
      <c r="O6832" t="n">
        <v>0</v>
      </c>
      <c r="P6832" t="n">
        <v>0</v>
      </c>
      <c r="Q6832" t="n">
        <v>0</v>
      </c>
      <c r="R6832" s="2" t="inlineStr"/>
    </row>
    <row r="6833" ht="15" customHeight="1">
      <c r="A6833" t="inlineStr">
        <is>
          <t>A 40888-2025</t>
        </is>
      </c>
      <c r="B6833" s="1" t="n">
        <v>45897.60457175926</v>
      </c>
      <c r="C6833" s="1" t="n">
        <v>45962</v>
      </c>
      <c r="D6833" t="inlineStr">
        <is>
          <t>JÖNKÖPINGS LÄN</t>
        </is>
      </c>
      <c r="E6833" t="inlineStr">
        <is>
          <t>ANEBY</t>
        </is>
      </c>
      <c r="G6833" t="n">
        <v>1.2</v>
      </c>
      <c r="H6833" t="n">
        <v>0</v>
      </c>
      <c r="I6833" t="n">
        <v>0</v>
      </c>
      <c r="J6833" t="n">
        <v>0</v>
      </c>
      <c r="K6833" t="n">
        <v>0</v>
      </c>
      <c r="L6833" t="n">
        <v>0</v>
      </c>
      <c r="M6833" t="n">
        <v>0</v>
      </c>
      <c r="N6833" t="n">
        <v>0</v>
      </c>
      <c r="O6833" t="n">
        <v>0</v>
      </c>
      <c r="P6833" t="n">
        <v>0</v>
      </c>
      <c r="Q6833" t="n">
        <v>0</v>
      </c>
      <c r="R6833" s="2" t="inlineStr"/>
    </row>
    <row r="6834" ht="15" customHeight="1">
      <c r="A6834" t="inlineStr">
        <is>
          <t>A 45095-2024</t>
        </is>
      </c>
      <c r="B6834" s="1" t="n">
        <v>45575</v>
      </c>
      <c r="C6834" s="1" t="n">
        <v>45962</v>
      </c>
      <c r="D6834" t="inlineStr">
        <is>
          <t>JÖNKÖPINGS LÄN</t>
        </is>
      </c>
      <c r="E6834" t="inlineStr">
        <is>
          <t>VÄRNAMO</t>
        </is>
      </c>
      <c r="G6834" t="n">
        <v>0.7</v>
      </c>
      <c r="H6834" t="n">
        <v>0</v>
      </c>
      <c r="I6834" t="n">
        <v>0</v>
      </c>
      <c r="J6834" t="n">
        <v>0</v>
      </c>
      <c r="K6834" t="n">
        <v>0</v>
      </c>
      <c r="L6834" t="n">
        <v>0</v>
      </c>
      <c r="M6834" t="n">
        <v>0</v>
      </c>
      <c r="N6834" t="n">
        <v>0</v>
      </c>
      <c r="O6834" t="n">
        <v>0</v>
      </c>
      <c r="P6834" t="n">
        <v>0</v>
      </c>
      <c r="Q6834" t="n">
        <v>0</v>
      </c>
      <c r="R6834" s="2" t="inlineStr"/>
    </row>
    <row r="6835" ht="15" customHeight="1">
      <c r="A6835" t="inlineStr">
        <is>
          <t>A 9294-2025</t>
        </is>
      </c>
      <c r="B6835" s="1" t="n">
        <v>45714.66260416667</v>
      </c>
      <c r="C6835" s="1" t="n">
        <v>45962</v>
      </c>
      <c r="D6835" t="inlineStr">
        <is>
          <t>JÖNKÖPINGS LÄN</t>
        </is>
      </c>
      <c r="E6835" t="inlineStr">
        <is>
          <t>EKSJÖ</t>
        </is>
      </c>
      <c r="F6835" t="inlineStr">
        <is>
          <t>Sveaskog</t>
        </is>
      </c>
      <c r="G6835" t="n">
        <v>3.6</v>
      </c>
      <c r="H6835" t="n">
        <v>0</v>
      </c>
      <c r="I6835" t="n">
        <v>0</v>
      </c>
      <c r="J6835" t="n">
        <v>0</v>
      </c>
      <c r="K6835" t="n">
        <v>0</v>
      </c>
      <c r="L6835" t="n">
        <v>0</v>
      </c>
      <c r="M6835" t="n">
        <v>0</v>
      </c>
      <c r="N6835" t="n">
        <v>0</v>
      </c>
      <c r="O6835" t="n">
        <v>0</v>
      </c>
      <c r="P6835" t="n">
        <v>0</v>
      </c>
      <c r="Q6835" t="n">
        <v>0</v>
      </c>
      <c r="R6835" s="2" t="inlineStr"/>
    </row>
    <row r="6836" ht="15" customHeight="1">
      <c r="A6836" t="inlineStr">
        <is>
          <t>A 48348-2025</t>
        </is>
      </c>
      <c r="B6836" s="1" t="n">
        <v>45933.65431712963</v>
      </c>
      <c r="C6836" s="1" t="n">
        <v>45962</v>
      </c>
      <c r="D6836" t="inlineStr">
        <is>
          <t>JÖNKÖPINGS LÄN</t>
        </is>
      </c>
      <c r="E6836" t="inlineStr">
        <is>
          <t>HABO</t>
        </is>
      </c>
      <c r="G6836" t="n">
        <v>9.4</v>
      </c>
      <c r="H6836" t="n">
        <v>0</v>
      </c>
      <c r="I6836" t="n">
        <v>0</v>
      </c>
      <c r="J6836" t="n">
        <v>0</v>
      </c>
      <c r="K6836" t="n">
        <v>0</v>
      </c>
      <c r="L6836" t="n">
        <v>0</v>
      </c>
      <c r="M6836" t="n">
        <v>0</v>
      </c>
      <c r="N6836" t="n">
        <v>0</v>
      </c>
      <c r="O6836" t="n">
        <v>0</v>
      </c>
      <c r="P6836" t="n">
        <v>0</v>
      </c>
      <c r="Q6836" t="n">
        <v>0</v>
      </c>
      <c r="R6836" s="2" t="inlineStr"/>
    </row>
    <row r="6837" ht="15" customHeight="1">
      <c r="A6837" t="inlineStr">
        <is>
          <t>A 3296-2023</t>
        </is>
      </c>
      <c r="B6837" s="1" t="n">
        <v>44949.38756944444</v>
      </c>
      <c r="C6837" s="1" t="n">
        <v>45962</v>
      </c>
      <c r="D6837" t="inlineStr">
        <is>
          <t>JÖNKÖPINGS LÄN</t>
        </is>
      </c>
      <c r="E6837" t="inlineStr">
        <is>
          <t>VÄRNAMO</t>
        </is>
      </c>
      <c r="G6837" t="n">
        <v>3.6</v>
      </c>
      <c r="H6837" t="n">
        <v>0</v>
      </c>
      <c r="I6837" t="n">
        <v>0</v>
      </c>
      <c r="J6837" t="n">
        <v>0</v>
      </c>
      <c r="K6837" t="n">
        <v>0</v>
      </c>
      <c r="L6837" t="n">
        <v>0</v>
      </c>
      <c r="M6837" t="n">
        <v>0</v>
      </c>
      <c r="N6837" t="n">
        <v>0</v>
      </c>
      <c r="O6837" t="n">
        <v>0</v>
      </c>
      <c r="P6837" t="n">
        <v>0</v>
      </c>
      <c r="Q6837" t="n">
        <v>0</v>
      </c>
      <c r="R6837" s="2" t="inlineStr"/>
    </row>
    <row r="6838" ht="15" customHeight="1">
      <c r="A6838" t="inlineStr">
        <is>
          <t>A 1295-2024</t>
        </is>
      </c>
      <c r="B6838" s="1" t="n">
        <v>45303.34582175926</v>
      </c>
      <c r="C6838" s="1" t="n">
        <v>45962</v>
      </c>
      <c r="D6838" t="inlineStr">
        <is>
          <t>JÖNKÖPINGS LÄN</t>
        </is>
      </c>
      <c r="E6838" t="inlineStr">
        <is>
          <t>VETLANDA</t>
        </is>
      </c>
      <c r="G6838" t="n">
        <v>2.7</v>
      </c>
      <c r="H6838" t="n">
        <v>0</v>
      </c>
      <c r="I6838" t="n">
        <v>0</v>
      </c>
      <c r="J6838" t="n">
        <v>0</v>
      </c>
      <c r="K6838" t="n">
        <v>0</v>
      </c>
      <c r="L6838" t="n">
        <v>0</v>
      </c>
      <c r="M6838" t="n">
        <v>0</v>
      </c>
      <c r="N6838" t="n">
        <v>0</v>
      </c>
      <c r="O6838" t="n">
        <v>0</v>
      </c>
      <c r="P6838" t="n">
        <v>0</v>
      </c>
      <c r="Q6838" t="n">
        <v>0</v>
      </c>
      <c r="R6838" s="2" t="inlineStr"/>
    </row>
    <row r="6839" ht="15" customHeight="1">
      <c r="A6839" t="inlineStr">
        <is>
          <t>A 40851-2025</t>
        </is>
      </c>
      <c r="B6839" s="1" t="n">
        <v>45897.55211805556</v>
      </c>
      <c r="C6839" s="1" t="n">
        <v>45962</v>
      </c>
      <c r="D6839" t="inlineStr">
        <is>
          <t>JÖNKÖPINGS LÄN</t>
        </is>
      </c>
      <c r="E6839" t="inlineStr">
        <is>
          <t>GISLAVED</t>
        </is>
      </c>
      <c r="G6839" t="n">
        <v>0.9</v>
      </c>
      <c r="H6839" t="n">
        <v>0</v>
      </c>
      <c r="I6839" t="n">
        <v>0</v>
      </c>
      <c r="J6839" t="n">
        <v>0</v>
      </c>
      <c r="K6839" t="n">
        <v>0</v>
      </c>
      <c r="L6839" t="n">
        <v>0</v>
      </c>
      <c r="M6839" t="n">
        <v>0</v>
      </c>
      <c r="N6839" t="n">
        <v>0</v>
      </c>
      <c r="O6839" t="n">
        <v>0</v>
      </c>
      <c r="P6839" t="n">
        <v>0</v>
      </c>
      <c r="Q6839" t="n">
        <v>0</v>
      </c>
      <c r="R6839" s="2" t="inlineStr"/>
    </row>
    <row r="6840" ht="15" customHeight="1">
      <c r="A6840" t="inlineStr">
        <is>
          <t>A 49224-2025</t>
        </is>
      </c>
      <c r="B6840" s="1" t="n">
        <v>45938.46695601852</v>
      </c>
      <c r="C6840" s="1" t="n">
        <v>45962</v>
      </c>
      <c r="D6840" t="inlineStr">
        <is>
          <t>JÖNKÖPINGS LÄN</t>
        </is>
      </c>
      <c r="E6840" t="inlineStr">
        <is>
          <t>TRANÅS</t>
        </is>
      </c>
      <c r="G6840" t="n">
        <v>0.6</v>
      </c>
      <c r="H6840" t="n">
        <v>0</v>
      </c>
      <c r="I6840" t="n">
        <v>0</v>
      </c>
      <c r="J6840" t="n">
        <v>0</v>
      </c>
      <c r="K6840" t="n">
        <v>0</v>
      </c>
      <c r="L6840" t="n">
        <v>0</v>
      </c>
      <c r="M6840" t="n">
        <v>0</v>
      </c>
      <c r="N6840" t="n">
        <v>0</v>
      </c>
      <c r="O6840" t="n">
        <v>0</v>
      </c>
      <c r="P6840" t="n">
        <v>0</v>
      </c>
      <c r="Q6840" t="n">
        <v>0</v>
      </c>
      <c r="R6840" s="2" t="inlineStr"/>
    </row>
    <row r="6841" ht="15" customHeight="1">
      <c r="A6841" t="inlineStr">
        <is>
          <t>A 36998-2024</t>
        </is>
      </c>
      <c r="B6841" s="1" t="n">
        <v>45539</v>
      </c>
      <c r="C6841" s="1" t="n">
        <v>45962</v>
      </c>
      <c r="D6841" t="inlineStr">
        <is>
          <t>JÖNKÖPINGS LÄN</t>
        </is>
      </c>
      <c r="E6841" t="inlineStr">
        <is>
          <t>TRANÅS</t>
        </is>
      </c>
      <c r="G6841" t="n">
        <v>5.3</v>
      </c>
      <c r="H6841" t="n">
        <v>0</v>
      </c>
      <c r="I6841" t="n">
        <v>0</v>
      </c>
      <c r="J6841" t="n">
        <v>0</v>
      </c>
      <c r="K6841" t="n">
        <v>0</v>
      </c>
      <c r="L6841" t="n">
        <v>0</v>
      </c>
      <c r="M6841" t="n">
        <v>0</v>
      </c>
      <c r="N6841" t="n">
        <v>0</v>
      </c>
      <c r="O6841" t="n">
        <v>0</v>
      </c>
      <c r="P6841" t="n">
        <v>0</v>
      </c>
      <c r="Q6841" t="n">
        <v>0</v>
      </c>
      <c r="R6841" s="2" t="inlineStr"/>
    </row>
    <row r="6842" ht="15" customHeight="1">
      <c r="A6842" t="inlineStr">
        <is>
          <t>A 62573-2023</t>
        </is>
      </c>
      <c r="B6842" s="1" t="n">
        <v>45270.27535879629</v>
      </c>
      <c r="C6842" s="1" t="n">
        <v>45962</v>
      </c>
      <c r="D6842" t="inlineStr">
        <is>
          <t>JÖNKÖPINGS LÄN</t>
        </is>
      </c>
      <c r="E6842" t="inlineStr">
        <is>
          <t>VÄRNAMO</t>
        </is>
      </c>
      <c r="G6842" t="n">
        <v>0.5</v>
      </c>
      <c r="H6842" t="n">
        <v>0</v>
      </c>
      <c r="I6842" t="n">
        <v>0</v>
      </c>
      <c r="J6842" t="n">
        <v>0</v>
      </c>
      <c r="K6842" t="n">
        <v>0</v>
      </c>
      <c r="L6842" t="n">
        <v>0</v>
      </c>
      <c r="M6842" t="n">
        <v>0</v>
      </c>
      <c r="N6842" t="n">
        <v>0</v>
      </c>
      <c r="O6842" t="n">
        <v>0</v>
      </c>
      <c r="P6842" t="n">
        <v>0</v>
      </c>
      <c r="Q6842" t="n">
        <v>0</v>
      </c>
      <c r="R6842" s="2" t="inlineStr"/>
    </row>
    <row r="6843" ht="15" customHeight="1">
      <c r="A6843" t="inlineStr">
        <is>
          <t>A 49367-2025</t>
        </is>
      </c>
      <c r="B6843" s="1" t="n">
        <v>45938.62496527778</v>
      </c>
      <c r="C6843" s="1" t="n">
        <v>45962</v>
      </c>
      <c r="D6843" t="inlineStr">
        <is>
          <t>JÖNKÖPINGS LÄN</t>
        </is>
      </c>
      <c r="E6843" t="inlineStr">
        <is>
          <t>VÄRNAMO</t>
        </is>
      </c>
      <c r="G6843" t="n">
        <v>1.1</v>
      </c>
      <c r="H6843" t="n">
        <v>0</v>
      </c>
      <c r="I6843" t="n">
        <v>0</v>
      </c>
      <c r="J6843" t="n">
        <v>0</v>
      </c>
      <c r="K6843" t="n">
        <v>0</v>
      </c>
      <c r="L6843" t="n">
        <v>0</v>
      </c>
      <c r="M6843" t="n">
        <v>0</v>
      </c>
      <c r="N6843" t="n">
        <v>0</v>
      </c>
      <c r="O6843" t="n">
        <v>0</v>
      </c>
      <c r="P6843" t="n">
        <v>0</v>
      </c>
      <c r="Q6843" t="n">
        <v>0</v>
      </c>
      <c r="R6843" s="2" t="inlineStr"/>
    </row>
    <row r="6844" ht="15" customHeight="1">
      <c r="A6844" t="inlineStr">
        <is>
          <t>A 49343-2025</t>
        </is>
      </c>
      <c r="B6844" s="1" t="n">
        <v>45938.59599537037</v>
      </c>
      <c r="C6844" s="1" t="n">
        <v>45962</v>
      </c>
      <c r="D6844" t="inlineStr">
        <is>
          <t>JÖNKÖPINGS LÄN</t>
        </is>
      </c>
      <c r="E6844" t="inlineStr">
        <is>
          <t>GISLAVED</t>
        </is>
      </c>
      <c r="G6844" t="n">
        <v>1.3</v>
      </c>
      <c r="H6844" t="n">
        <v>0</v>
      </c>
      <c r="I6844" t="n">
        <v>0</v>
      </c>
      <c r="J6844" t="n">
        <v>0</v>
      </c>
      <c r="K6844" t="n">
        <v>0</v>
      </c>
      <c r="L6844" t="n">
        <v>0</v>
      </c>
      <c r="M6844" t="n">
        <v>0</v>
      </c>
      <c r="N6844" t="n">
        <v>0</v>
      </c>
      <c r="O6844" t="n">
        <v>0</v>
      </c>
      <c r="P6844" t="n">
        <v>0</v>
      </c>
      <c r="Q6844" t="n">
        <v>0</v>
      </c>
      <c r="R6844" s="2" t="inlineStr"/>
    </row>
    <row r="6845" ht="15" customHeight="1">
      <c r="A6845" t="inlineStr">
        <is>
          <t>A 15134-2023</t>
        </is>
      </c>
      <c r="B6845" s="1" t="n">
        <v>45015</v>
      </c>
      <c r="C6845" s="1" t="n">
        <v>45962</v>
      </c>
      <c r="D6845" t="inlineStr">
        <is>
          <t>JÖNKÖPINGS LÄN</t>
        </is>
      </c>
      <c r="E6845" t="inlineStr">
        <is>
          <t>JÖNKÖPING</t>
        </is>
      </c>
      <c r="G6845" t="n">
        <v>0.5</v>
      </c>
      <c r="H6845" t="n">
        <v>0</v>
      </c>
      <c r="I6845" t="n">
        <v>0</v>
      </c>
      <c r="J6845" t="n">
        <v>0</v>
      </c>
      <c r="K6845" t="n">
        <v>0</v>
      </c>
      <c r="L6845" t="n">
        <v>0</v>
      </c>
      <c r="M6845" t="n">
        <v>0</v>
      </c>
      <c r="N6845" t="n">
        <v>0</v>
      </c>
      <c r="O6845" t="n">
        <v>0</v>
      </c>
      <c r="P6845" t="n">
        <v>0</v>
      </c>
      <c r="Q6845" t="n">
        <v>0</v>
      </c>
      <c r="R6845" s="2" t="inlineStr"/>
    </row>
    <row r="6846" ht="15" customHeight="1">
      <c r="A6846" t="inlineStr">
        <is>
          <t>A 49601-2025</t>
        </is>
      </c>
      <c r="B6846" s="1" t="n">
        <v>45939.54582175926</v>
      </c>
      <c r="C6846" s="1" t="n">
        <v>45962</v>
      </c>
      <c r="D6846" t="inlineStr">
        <is>
          <t>JÖNKÖPINGS LÄN</t>
        </is>
      </c>
      <c r="E6846" t="inlineStr">
        <is>
          <t>GISLAVED</t>
        </is>
      </c>
      <c r="G6846" t="n">
        <v>0.9</v>
      </c>
      <c r="H6846" t="n">
        <v>0</v>
      </c>
      <c r="I6846" t="n">
        <v>0</v>
      </c>
      <c r="J6846" t="n">
        <v>0</v>
      </c>
      <c r="K6846" t="n">
        <v>0</v>
      </c>
      <c r="L6846" t="n">
        <v>0</v>
      </c>
      <c r="M6846" t="n">
        <v>0</v>
      </c>
      <c r="N6846" t="n">
        <v>0</v>
      </c>
      <c r="O6846" t="n">
        <v>0</v>
      </c>
      <c r="P6846" t="n">
        <v>0</v>
      </c>
      <c r="Q6846" t="n">
        <v>0</v>
      </c>
      <c r="R6846" s="2" t="inlineStr"/>
    </row>
    <row r="6847" ht="15" customHeight="1">
      <c r="A6847" t="inlineStr">
        <is>
          <t>A 59218-2022</t>
        </is>
      </c>
      <c r="B6847" s="1" t="n">
        <v>44904</v>
      </c>
      <c r="C6847" s="1" t="n">
        <v>45962</v>
      </c>
      <c r="D6847" t="inlineStr">
        <is>
          <t>JÖNKÖPINGS LÄN</t>
        </is>
      </c>
      <c r="E6847" t="inlineStr">
        <is>
          <t>JÖNKÖPING</t>
        </is>
      </c>
      <c r="G6847" t="n">
        <v>1.2</v>
      </c>
      <c r="H6847" t="n">
        <v>0</v>
      </c>
      <c r="I6847" t="n">
        <v>0</v>
      </c>
      <c r="J6847" t="n">
        <v>0</v>
      </c>
      <c r="K6847" t="n">
        <v>0</v>
      </c>
      <c r="L6847" t="n">
        <v>0</v>
      </c>
      <c r="M6847" t="n">
        <v>0</v>
      </c>
      <c r="N6847" t="n">
        <v>0</v>
      </c>
      <c r="O6847" t="n">
        <v>0</v>
      </c>
      <c r="P6847" t="n">
        <v>0</v>
      </c>
      <c r="Q6847" t="n">
        <v>0</v>
      </c>
      <c r="R6847" s="2" t="inlineStr"/>
    </row>
    <row r="6848" ht="15" customHeight="1">
      <c r="A6848" t="inlineStr">
        <is>
          <t>A 19356-2023</t>
        </is>
      </c>
      <c r="B6848" s="1" t="n">
        <v>45049</v>
      </c>
      <c r="C6848" s="1" t="n">
        <v>45962</v>
      </c>
      <c r="D6848" t="inlineStr">
        <is>
          <t>JÖNKÖPINGS LÄN</t>
        </is>
      </c>
      <c r="E6848" t="inlineStr">
        <is>
          <t>JÖNKÖPING</t>
        </is>
      </c>
      <c r="G6848" t="n">
        <v>1.8</v>
      </c>
      <c r="H6848" t="n">
        <v>0</v>
      </c>
      <c r="I6848" t="n">
        <v>0</v>
      </c>
      <c r="J6848" t="n">
        <v>0</v>
      </c>
      <c r="K6848" t="n">
        <v>0</v>
      </c>
      <c r="L6848" t="n">
        <v>0</v>
      </c>
      <c r="M6848" t="n">
        <v>0</v>
      </c>
      <c r="N6848" t="n">
        <v>0</v>
      </c>
      <c r="O6848" t="n">
        <v>0</v>
      </c>
      <c r="P6848" t="n">
        <v>0</v>
      </c>
      <c r="Q6848" t="n">
        <v>0</v>
      </c>
      <c r="R6848" s="2" t="inlineStr"/>
    </row>
    <row r="6849" ht="15" customHeight="1">
      <c r="A6849" t="inlineStr">
        <is>
          <t>A 62182-2023</t>
        </is>
      </c>
      <c r="B6849" s="1" t="n">
        <v>45267.44077546296</v>
      </c>
      <c r="C6849" s="1" t="n">
        <v>45962</v>
      </c>
      <c r="D6849" t="inlineStr">
        <is>
          <t>JÖNKÖPINGS LÄN</t>
        </is>
      </c>
      <c r="E6849" t="inlineStr">
        <is>
          <t>SÄVSJÖ</t>
        </is>
      </c>
      <c r="G6849" t="n">
        <v>1.5</v>
      </c>
      <c r="H6849" t="n">
        <v>0</v>
      </c>
      <c r="I6849" t="n">
        <v>0</v>
      </c>
      <c r="J6849" t="n">
        <v>0</v>
      </c>
      <c r="K6849" t="n">
        <v>0</v>
      </c>
      <c r="L6849" t="n">
        <v>0</v>
      </c>
      <c r="M6849" t="n">
        <v>0</v>
      </c>
      <c r="N6849" t="n">
        <v>0</v>
      </c>
      <c r="O6849" t="n">
        <v>0</v>
      </c>
      <c r="P6849" t="n">
        <v>0</v>
      </c>
      <c r="Q6849" t="n">
        <v>0</v>
      </c>
      <c r="R6849" s="2" t="inlineStr"/>
    </row>
    <row r="6850" ht="15" customHeight="1">
      <c r="A6850" t="inlineStr">
        <is>
          <t>A 57426-2022</t>
        </is>
      </c>
      <c r="B6850" s="1" t="n">
        <v>44896.51383101852</v>
      </c>
      <c r="C6850" s="1" t="n">
        <v>45962</v>
      </c>
      <c r="D6850" t="inlineStr">
        <is>
          <t>JÖNKÖPINGS LÄN</t>
        </is>
      </c>
      <c r="E6850" t="inlineStr">
        <is>
          <t>GISLAVED</t>
        </is>
      </c>
      <c r="G6850" t="n">
        <v>1.1</v>
      </c>
      <c r="H6850" t="n">
        <v>0</v>
      </c>
      <c r="I6850" t="n">
        <v>0</v>
      </c>
      <c r="J6850" t="n">
        <v>0</v>
      </c>
      <c r="K6850" t="n">
        <v>0</v>
      </c>
      <c r="L6850" t="n">
        <v>0</v>
      </c>
      <c r="M6850" t="n">
        <v>0</v>
      </c>
      <c r="N6850" t="n">
        <v>0</v>
      </c>
      <c r="O6850" t="n">
        <v>0</v>
      </c>
      <c r="P6850" t="n">
        <v>0</v>
      </c>
      <c r="Q6850" t="n">
        <v>0</v>
      </c>
      <c r="R6850" s="2" t="inlineStr"/>
    </row>
    <row r="6851" ht="15" customHeight="1">
      <c r="A6851" t="inlineStr">
        <is>
          <t>A 10375-2025</t>
        </is>
      </c>
      <c r="B6851" s="1" t="n">
        <v>45720</v>
      </c>
      <c r="C6851" s="1" t="n">
        <v>45962</v>
      </c>
      <c r="D6851" t="inlineStr">
        <is>
          <t>JÖNKÖPINGS LÄN</t>
        </is>
      </c>
      <c r="E6851" t="inlineStr">
        <is>
          <t>GISLAVED</t>
        </is>
      </c>
      <c r="G6851" t="n">
        <v>0.7</v>
      </c>
      <c r="H6851" t="n">
        <v>0</v>
      </c>
      <c r="I6851" t="n">
        <v>0</v>
      </c>
      <c r="J6851" t="n">
        <v>0</v>
      </c>
      <c r="K6851" t="n">
        <v>0</v>
      </c>
      <c r="L6851" t="n">
        <v>0</v>
      </c>
      <c r="M6851" t="n">
        <v>0</v>
      </c>
      <c r="N6851" t="n">
        <v>0</v>
      </c>
      <c r="O6851" t="n">
        <v>0</v>
      </c>
      <c r="P6851" t="n">
        <v>0</v>
      </c>
      <c r="Q6851" t="n">
        <v>0</v>
      </c>
      <c r="R6851" s="2" t="inlineStr"/>
    </row>
    <row r="6852" ht="15" customHeight="1">
      <c r="A6852" t="inlineStr">
        <is>
          <t>A 2616-2023</t>
        </is>
      </c>
      <c r="B6852" s="1" t="n">
        <v>44944.35530092593</v>
      </c>
      <c r="C6852" s="1" t="n">
        <v>45962</v>
      </c>
      <c r="D6852" t="inlineStr">
        <is>
          <t>JÖNKÖPINGS LÄN</t>
        </is>
      </c>
      <c r="E6852" t="inlineStr">
        <is>
          <t>SÄVSJÖ</t>
        </is>
      </c>
      <c r="G6852" t="n">
        <v>1.3</v>
      </c>
      <c r="H6852" t="n">
        <v>0</v>
      </c>
      <c r="I6852" t="n">
        <v>0</v>
      </c>
      <c r="J6852" t="n">
        <v>0</v>
      </c>
      <c r="K6852" t="n">
        <v>0</v>
      </c>
      <c r="L6852" t="n">
        <v>0</v>
      </c>
      <c r="M6852" t="n">
        <v>0</v>
      </c>
      <c r="N6852" t="n">
        <v>0</v>
      </c>
      <c r="O6852" t="n">
        <v>0</v>
      </c>
      <c r="P6852" t="n">
        <v>0</v>
      </c>
      <c r="Q6852" t="n">
        <v>0</v>
      </c>
      <c r="R6852" s="2" t="inlineStr"/>
    </row>
    <row r="6853" ht="15" customHeight="1">
      <c r="A6853" t="inlineStr">
        <is>
          <t>A 47804-2023</t>
        </is>
      </c>
      <c r="B6853" s="1" t="n">
        <v>45204.31833333334</v>
      </c>
      <c r="C6853" s="1" t="n">
        <v>45962</v>
      </c>
      <c r="D6853" t="inlineStr">
        <is>
          <t>JÖNKÖPINGS LÄN</t>
        </is>
      </c>
      <c r="E6853" t="inlineStr">
        <is>
          <t>EKSJÖ</t>
        </is>
      </c>
      <c r="G6853" t="n">
        <v>1</v>
      </c>
      <c r="H6853" t="n">
        <v>0</v>
      </c>
      <c r="I6853" t="n">
        <v>0</v>
      </c>
      <c r="J6853" t="n">
        <v>0</v>
      </c>
      <c r="K6853" t="n">
        <v>0</v>
      </c>
      <c r="L6853" t="n">
        <v>0</v>
      </c>
      <c r="M6853" t="n">
        <v>0</v>
      </c>
      <c r="N6853" t="n">
        <v>0</v>
      </c>
      <c r="O6853" t="n">
        <v>0</v>
      </c>
      <c r="P6853" t="n">
        <v>0</v>
      </c>
      <c r="Q6853" t="n">
        <v>0</v>
      </c>
      <c r="R6853" s="2" t="inlineStr"/>
    </row>
    <row r="6854" ht="15" customHeight="1">
      <c r="A6854" t="inlineStr">
        <is>
          <t>A 47836-2023</t>
        </is>
      </c>
      <c r="B6854" s="1" t="n">
        <v>45204.37240740741</v>
      </c>
      <c r="C6854" s="1" t="n">
        <v>45962</v>
      </c>
      <c r="D6854" t="inlineStr">
        <is>
          <t>JÖNKÖPINGS LÄN</t>
        </is>
      </c>
      <c r="E6854" t="inlineStr">
        <is>
          <t>HABO</t>
        </is>
      </c>
      <c r="G6854" t="n">
        <v>4.8</v>
      </c>
      <c r="H6854" t="n">
        <v>0</v>
      </c>
      <c r="I6854" t="n">
        <v>0</v>
      </c>
      <c r="J6854" t="n">
        <v>0</v>
      </c>
      <c r="K6854" t="n">
        <v>0</v>
      </c>
      <c r="L6854" t="n">
        <v>0</v>
      </c>
      <c r="M6854" t="n">
        <v>0</v>
      </c>
      <c r="N6854" t="n">
        <v>0</v>
      </c>
      <c r="O6854" t="n">
        <v>0</v>
      </c>
      <c r="P6854" t="n">
        <v>0</v>
      </c>
      <c r="Q6854" t="n">
        <v>0</v>
      </c>
      <c r="R6854" s="2" t="inlineStr"/>
    </row>
    <row r="6855" ht="15" customHeight="1">
      <c r="A6855" t="inlineStr">
        <is>
          <t>A 2525-2021</t>
        </is>
      </c>
      <c r="B6855" s="1" t="n">
        <v>44214</v>
      </c>
      <c r="C6855" s="1" t="n">
        <v>45962</v>
      </c>
      <c r="D6855" t="inlineStr">
        <is>
          <t>JÖNKÖPINGS LÄN</t>
        </is>
      </c>
      <c r="E6855" t="inlineStr">
        <is>
          <t>VETLANDA</t>
        </is>
      </c>
      <c r="G6855" t="n">
        <v>1.3</v>
      </c>
      <c r="H6855" t="n">
        <v>0</v>
      </c>
      <c r="I6855" t="n">
        <v>0</v>
      </c>
      <c r="J6855" t="n">
        <v>0</v>
      </c>
      <c r="K6855" t="n">
        <v>0</v>
      </c>
      <c r="L6855" t="n">
        <v>0</v>
      </c>
      <c r="M6855" t="n">
        <v>0</v>
      </c>
      <c r="N6855" t="n">
        <v>0</v>
      </c>
      <c r="O6855" t="n">
        <v>0</v>
      </c>
      <c r="P6855" t="n">
        <v>0</v>
      </c>
      <c r="Q6855" t="n">
        <v>0</v>
      </c>
      <c r="R6855" s="2" t="inlineStr"/>
    </row>
    <row r="6856" ht="15" customHeight="1">
      <c r="A6856" t="inlineStr">
        <is>
          <t>A 2537-2021</t>
        </is>
      </c>
      <c r="B6856" s="1" t="n">
        <v>44214</v>
      </c>
      <c r="C6856" s="1" t="n">
        <v>45962</v>
      </c>
      <c r="D6856" t="inlineStr">
        <is>
          <t>JÖNKÖPINGS LÄN</t>
        </is>
      </c>
      <c r="E6856" t="inlineStr">
        <is>
          <t>TRANÅS</t>
        </is>
      </c>
      <c r="F6856" t="inlineStr">
        <is>
          <t>Kommuner</t>
        </is>
      </c>
      <c r="G6856" t="n">
        <v>1.6</v>
      </c>
      <c r="H6856" t="n">
        <v>0</v>
      </c>
      <c r="I6856" t="n">
        <v>0</v>
      </c>
      <c r="J6856" t="n">
        <v>0</v>
      </c>
      <c r="K6856" t="n">
        <v>0</v>
      </c>
      <c r="L6856" t="n">
        <v>0</v>
      </c>
      <c r="M6856" t="n">
        <v>0</v>
      </c>
      <c r="N6856" t="n">
        <v>0</v>
      </c>
      <c r="O6856" t="n">
        <v>0</v>
      </c>
      <c r="P6856" t="n">
        <v>0</v>
      </c>
      <c r="Q6856" t="n">
        <v>0</v>
      </c>
      <c r="R6856" s="2" t="inlineStr"/>
    </row>
    <row r="6857" ht="15" customHeight="1">
      <c r="A6857" t="inlineStr">
        <is>
          <t>A 6458-2024</t>
        </is>
      </c>
      <c r="B6857" s="1" t="n">
        <v>45338</v>
      </c>
      <c r="C6857" s="1" t="n">
        <v>45962</v>
      </c>
      <c r="D6857" t="inlineStr">
        <is>
          <t>JÖNKÖPINGS LÄN</t>
        </is>
      </c>
      <c r="E6857" t="inlineStr">
        <is>
          <t>JÖNKÖPING</t>
        </is>
      </c>
      <c r="F6857" t="inlineStr">
        <is>
          <t>Kyrkan</t>
        </is>
      </c>
      <c r="G6857" t="n">
        <v>1.9</v>
      </c>
      <c r="H6857" t="n">
        <v>0</v>
      </c>
      <c r="I6857" t="n">
        <v>0</v>
      </c>
      <c r="J6857" t="n">
        <v>0</v>
      </c>
      <c r="K6857" t="n">
        <v>0</v>
      </c>
      <c r="L6857" t="n">
        <v>0</v>
      </c>
      <c r="M6857" t="n">
        <v>0</v>
      </c>
      <c r="N6857" t="n">
        <v>0</v>
      </c>
      <c r="O6857" t="n">
        <v>0</v>
      </c>
      <c r="P6857" t="n">
        <v>0</v>
      </c>
      <c r="Q6857" t="n">
        <v>0</v>
      </c>
      <c r="R6857" s="2" t="inlineStr"/>
    </row>
    <row r="6858" ht="15" customHeight="1">
      <c r="A6858" t="inlineStr">
        <is>
          <t>A 18978-2024</t>
        </is>
      </c>
      <c r="B6858" s="1" t="n">
        <v>45427.57880787037</v>
      </c>
      <c r="C6858" s="1" t="n">
        <v>45962</v>
      </c>
      <c r="D6858" t="inlineStr">
        <is>
          <t>JÖNKÖPINGS LÄN</t>
        </is>
      </c>
      <c r="E6858" t="inlineStr">
        <is>
          <t>SÄVSJÖ</t>
        </is>
      </c>
      <c r="G6858" t="n">
        <v>0.9</v>
      </c>
      <c r="H6858" t="n">
        <v>0</v>
      </c>
      <c r="I6858" t="n">
        <v>0</v>
      </c>
      <c r="J6858" t="n">
        <v>0</v>
      </c>
      <c r="K6858" t="n">
        <v>0</v>
      </c>
      <c r="L6858" t="n">
        <v>0</v>
      </c>
      <c r="M6858" t="n">
        <v>0</v>
      </c>
      <c r="N6858" t="n">
        <v>0</v>
      </c>
      <c r="O6858" t="n">
        <v>0</v>
      </c>
      <c r="P6858" t="n">
        <v>0</v>
      </c>
      <c r="Q6858" t="n">
        <v>0</v>
      </c>
      <c r="R6858" s="2" t="inlineStr"/>
    </row>
    <row r="6859" ht="15" customHeight="1">
      <c r="A6859" t="inlineStr">
        <is>
          <t>A 14159-2022</t>
        </is>
      </c>
      <c r="B6859" s="1" t="n">
        <v>44651.47270833333</v>
      </c>
      <c r="C6859" s="1" t="n">
        <v>45962</v>
      </c>
      <c r="D6859" t="inlineStr">
        <is>
          <t>JÖNKÖPINGS LÄN</t>
        </is>
      </c>
      <c r="E6859" t="inlineStr">
        <is>
          <t>SÄVSJÖ</t>
        </is>
      </c>
      <c r="G6859" t="n">
        <v>1.4</v>
      </c>
      <c r="H6859" t="n">
        <v>0</v>
      </c>
      <c r="I6859" t="n">
        <v>0</v>
      </c>
      <c r="J6859" t="n">
        <v>0</v>
      </c>
      <c r="K6859" t="n">
        <v>0</v>
      </c>
      <c r="L6859" t="n">
        <v>0</v>
      </c>
      <c r="M6859" t="n">
        <v>0</v>
      </c>
      <c r="N6859" t="n">
        <v>0</v>
      </c>
      <c r="O6859" t="n">
        <v>0</v>
      </c>
      <c r="P6859" t="n">
        <v>0</v>
      </c>
      <c r="Q6859" t="n">
        <v>0</v>
      </c>
      <c r="R6859" s="2" t="inlineStr"/>
    </row>
    <row r="6860" ht="15" customHeight="1">
      <c r="A6860" t="inlineStr">
        <is>
          <t>A 56272-2022</t>
        </is>
      </c>
      <c r="B6860" s="1" t="n">
        <v>44890</v>
      </c>
      <c r="C6860" s="1" t="n">
        <v>45962</v>
      </c>
      <c r="D6860" t="inlineStr">
        <is>
          <t>JÖNKÖPINGS LÄN</t>
        </is>
      </c>
      <c r="E6860" t="inlineStr">
        <is>
          <t>VÄRNAMO</t>
        </is>
      </c>
      <c r="G6860" t="n">
        <v>2.6</v>
      </c>
      <c r="H6860" t="n">
        <v>0</v>
      </c>
      <c r="I6860" t="n">
        <v>0</v>
      </c>
      <c r="J6860" t="n">
        <v>0</v>
      </c>
      <c r="K6860" t="n">
        <v>0</v>
      </c>
      <c r="L6860" t="n">
        <v>0</v>
      </c>
      <c r="M6860" t="n">
        <v>0</v>
      </c>
      <c r="N6860" t="n">
        <v>0</v>
      </c>
      <c r="O6860" t="n">
        <v>0</v>
      </c>
      <c r="P6860" t="n">
        <v>0</v>
      </c>
      <c r="Q6860" t="n">
        <v>0</v>
      </c>
      <c r="R6860" s="2" t="inlineStr"/>
    </row>
    <row r="6861" ht="15" customHeight="1">
      <c r="A6861" t="inlineStr">
        <is>
          <t>A 33494-2025</t>
        </is>
      </c>
      <c r="B6861" s="1" t="n">
        <v>45841.50859953704</v>
      </c>
      <c r="C6861" s="1" t="n">
        <v>45962</v>
      </c>
      <c r="D6861" t="inlineStr">
        <is>
          <t>JÖNKÖPINGS LÄN</t>
        </is>
      </c>
      <c r="E6861" t="inlineStr">
        <is>
          <t>TRANÅS</t>
        </is>
      </c>
      <c r="G6861" t="n">
        <v>0.7</v>
      </c>
      <c r="H6861" t="n">
        <v>0</v>
      </c>
      <c r="I6861" t="n">
        <v>0</v>
      </c>
      <c r="J6861" t="n">
        <v>0</v>
      </c>
      <c r="K6861" t="n">
        <v>0</v>
      </c>
      <c r="L6861" t="n">
        <v>0</v>
      </c>
      <c r="M6861" t="n">
        <v>0</v>
      </c>
      <c r="N6861" t="n">
        <v>0</v>
      </c>
      <c r="O6861" t="n">
        <v>0</v>
      </c>
      <c r="P6861" t="n">
        <v>0</v>
      </c>
      <c r="Q6861" t="n">
        <v>0</v>
      </c>
      <c r="R6861" s="2" t="inlineStr"/>
    </row>
    <row r="6862" ht="15" customHeight="1">
      <c r="A6862" t="inlineStr">
        <is>
          <t>A 60739-2020</t>
        </is>
      </c>
      <c r="B6862" s="1" t="n">
        <v>44153</v>
      </c>
      <c r="C6862" s="1" t="n">
        <v>45962</v>
      </c>
      <c r="D6862" t="inlineStr">
        <is>
          <t>JÖNKÖPINGS LÄN</t>
        </is>
      </c>
      <c r="E6862" t="inlineStr">
        <is>
          <t>VÄRNAMO</t>
        </is>
      </c>
      <c r="G6862" t="n">
        <v>3.5</v>
      </c>
      <c r="H6862" t="n">
        <v>0</v>
      </c>
      <c r="I6862" t="n">
        <v>0</v>
      </c>
      <c r="J6862" t="n">
        <v>0</v>
      </c>
      <c r="K6862" t="n">
        <v>0</v>
      </c>
      <c r="L6862" t="n">
        <v>0</v>
      </c>
      <c r="M6862" t="n">
        <v>0</v>
      </c>
      <c r="N6862" t="n">
        <v>0</v>
      </c>
      <c r="O6862" t="n">
        <v>0</v>
      </c>
      <c r="P6862" t="n">
        <v>0</v>
      </c>
      <c r="Q6862" t="n">
        <v>0</v>
      </c>
      <c r="R6862" s="2" t="inlineStr"/>
    </row>
    <row r="6863" ht="15" customHeight="1">
      <c r="A6863" t="inlineStr">
        <is>
          <t>A 60778-2020</t>
        </is>
      </c>
      <c r="B6863" s="1" t="n">
        <v>44145</v>
      </c>
      <c r="C6863" s="1" t="n">
        <v>45962</v>
      </c>
      <c r="D6863" t="inlineStr">
        <is>
          <t>JÖNKÖPINGS LÄN</t>
        </is>
      </c>
      <c r="E6863" t="inlineStr">
        <is>
          <t>VÄRNAMO</t>
        </is>
      </c>
      <c r="G6863" t="n">
        <v>5.2</v>
      </c>
      <c r="H6863" t="n">
        <v>0</v>
      </c>
      <c r="I6863" t="n">
        <v>0</v>
      </c>
      <c r="J6863" t="n">
        <v>0</v>
      </c>
      <c r="K6863" t="n">
        <v>0</v>
      </c>
      <c r="L6863" t="n">
        <v>0</v>
      </c>
      <c r="M6863" t="n">
        <v>0</v>
      </c>
      <c r="N6863" t="n">
        <v>0</v>
      </c>
      <c r="O6863" t="n">
        <v>0</v>
      </c>
      <c r="P6863" t="n">
        <v>0</v>
      </c>
      <c r="Q6863" t="n">
        <v>0</v>
      </c>
      <c r="R6863" s="2" t="inlineStr"/>
    </row>
    <row r="6864" ht="15" customHeight="1">
      <c r="A6864" t="inlineStr">
        <is>
          <t>A 45419-2025</t>
        </is>
      </c>
      <c r="B6864" s="1" t="n">
        <v>45922.44916666667</v>
      </c>
      <c r="C6864" s="1" t="n">
        <v>45962</v>
      </c>
      <c r="D6864" t="inlineStr">
        <is>
          <t>JÖNKÖPINGS LÄN</t>
        </is>
      </c>
      <c r="E6864" t="inlineStr">
        <is>
          <t>VETLANDA</t>
        </is>
      </c>
      <c r="G6864" t="n">
        <v>1.7</v>
      </c>
      <c r="H6864" t="n">
        <v>0</v>
      </c>
      <c r="I6864" t="n">
        <v>0</v>
      </c>
      <c r="J6864" t="n">
        <v>0</v>
      </c>
      <c r="K6864" t="n">
        <v>0</v>
      </c>
      <c r="L6864" t="n">
        <v>0</v>
      </c>
      <c r="M6864" t="n">
        <v>0</v>
      </c>
      <c r="N6864" t="n">
        <v>0</v>
      </c>
      <c r="O6864" t="n">
        <v>0</v>
      </c>
      <c r="P6864" t="n">
        <v>0</v>
      </c>
      <c r="Q6864" t="n">
        <v>0</v>
      </c>
      <c r="R6864" s="2" t="inlineStr"/>
    </row>
    <row r="6865" ht="15" customHeight="1">
      <c r="A6865" t="inlineStr">
        <is>
          <t>A 45466-2025</t>
        </is>
      </c>
      <c r="B6865" s="1" t="n">
        <v>45922.49980324074</v>
      </c>
      <c r="C6865" s="1" t="n">
        <v>45962</v>
      </c>
      <c r="D6865" t="inlineStr">
        <is>
          <t>JÖNKÖPINGS LÄN</t>
        </is>
      </c>
      <c r="E6865" t="inlineStr">
        <is>
          <t>VÄRNAMO</t>
        </is>
      </c>
      <c r="F6865" t="inlineStr">
        <is>
          <t>Övriga Aktiebolag</t>
        </is>
      </c>
      <c r="G6865" t="n">
        <v>4.6</v>
      </c>
      <c r="H6865" t="n">
        <v>0</v>
      </c>
      <c r="I6865" t="n">
        <v>0</v>
      </c>
      <c r="J6865" t="n">
        <v>0</v>
      </c>
      <c r="K6865" t="n">
        <v>0</v>
      </c>
      <c r="L6865" t="n">
        <v>0</v>
      </c>
      <c r="M6865" t="n">
        <v>0</v>
      </c>
      <c r="N6865" t="n">
        <v>0</v>
      </c>
      <c r="O6865" t="n">
        <v>0</v>
      </c>
      <c r="P6865" t="n">
        <v>0</v>
      </c>
      <c r="Q6865" t="n">
        <v>0</v>
      </c>
      <c r="R6865" s="2" t="inlineStr"/>
    </row>
    <row r="6866" ht="15" customHeight="1">
      <c r="A6866" t="inlineStr">
        <is>
          <t>A 46073-2025</t>
        </is>
      </c>
      <c r="B6866" s="1" t="n">
        <v>45924</v>
      </c>
      <c r="C6866" s="1" t="n">
        <v>45962</v>
      </c>
      <c r="D6866" t="inlineStr">
        <is>
          <t>JÖNKÖPINGS LÄN</t>
        </is>
      </c>
      <c r="E6866" t="inlineStr">
        <is>
          <t>JÖNKÖPING</t>
        </is>
      </c>
      <c r="G6866" t="n">
        <v>3.1</v>
      </c>
      <c r="H6866" t="n">
        <v>0</v>
      </c>
      <c r="I6866" t="n">
        <v>0</v>
      </c>
      <c r="J6866" t="n">
        <v>0</v>
      </c>
      <c r="K6866" t="n">
        <v>0</v>
      </c>
      <c r="L6866" t="n">
        <v>0</v>
      </c>
      <c r="M6866" t="n">
        <v>0</v>
      </c>
      <c r="N6866" t="n">
        <v>0</v>
      </c>
      <c r="O6866" t="n">
        <v>0</v>
      </c>
      <c r="P6866" t="n">
        <v>0</v>
      </c>
      <c r="Q6866" t="n">
        <v>0</v>
      </c>
      <c r="R6866" s="2" t="inlineStr"/>
    </row>
    <row r="6867" ht="15" customHeight="1">
      <c r="A6867" t="inlineStr">
        <is>
          <t>A 53100-2023</t>
        </is>
      </c>
      <c r="B6867" s="1" t="n">
        <v>45228.3557175926</v>
      </c>
      <c r="C6867" s="1" t="n">
        <v>45962</v>
      </c>
      <c r="D6867" t="inlineStr">
        <is>
          <t>JÖNKÖPINGS LÄN</t>
        </is>
      </c>
      <c r="E6867" t="inlineStr">
        <is>
          <t>SÄVSJÖ</t>
        </is>
      </c>
      <c r="G6867" t="n">
        <v>1.5</v>
      </c>
      <c r="H6867" t="n">
        <v>0</v>
      </c>
      <c r="I6867" t="n">
        <v>0</v>
      </c>
      <c r="J6867" t="n">
        <v>0</v>
      </c>
      <c r="K6867" t="n">
        <v>0</v>
      </c>
      <c r="L6867" t="n">
        <v>0</v>
      </c>
      <c r="M6867" t="n">
        <v>0</v>
      </c>
      <c r="N6867" t="n">
        <v>0</v>
      </c>
      <c r="O6867" t="n">
        <v>0</v>
      </c>
      <c r="P6867" t="n">
        <v>0</v>
      </c>
      <c r="Q6867" t="n">
        <v>0</v>
      </c>
      <c r="R6867" s="2" t="inlineStr"/>
    </row>
    <row r="6868" ht="15" customHeight="1">
      <c r="A6868" t="inlineStr">
        <is>
          <t>A 16306-2023</t>
        </is>
      </c>
      <c r="B6868" s="1" t="n">
        <v>45028</v>
      </c>
      <c r="C6868" s="1" t="n">
        <v>45962</v>
      </c>
      <c r="D6868" t="inlineStr">
        <is>
          <t>JÖNKÖPINGS LÄN</t>
        </is>
      </c>
      <c r="E6868" t="inlineStr">
        <is>
          <t>ANEBY</t>
        </is>
      </c>
      <c r="G6868" t="n">
        <v>1.1</v>
      </c>
      <c r="H6868" t="n">
        <v>0</v>
      </c>
      <c r="I6868" t="n">
        <v>0</v>
      </c>
      <c r="J6868" t="n">
        <v>0</v>
      </c>
      <c r="K6868" t="n">
        <v>0</v>
      </c>
      <c r="L6868" t="n">
        <v>0</v>
      </c>
      <c r="M6868" t="n">
        <v>0</v>
      </c>
      <c r="N6868" t="n">
        <v>0</v>
      </c>
      <c r="O6868" t="n">
        <v>0</v>
      </c>
      <c r="P6868" t="n">
        <v>0</v>
      </c>
      <c r="Q6868" t="n">
        <v>0</v>
      </c>
      <c r="R6868" s="2" t="inlineStr"/>
    </row>
    <row r="6869" ht="15" customHeight="1">
      <c r="A6869" t="inlineStr">
        <is>
          <t>A 29166-2023</t>
        </is>
      </c>
      <c r="B6869" s="1" t="n">
        <v>45105.49415509259</v>
      </c>
      <c r="C6869" s="1" t="n">
        <v>45962</v>
      </c>
      <c r="D6869" t="inlineStr">
        <is>
          <t>JÖNKÖPINGS LÄN</t>
        </is>
      </c>
      <c r="E6869" t="inlineStr">
        <is>
          <t>VÄRNAMO</t>
        </is>
      </c>
      <c r="G6869" t="n">
        <v>0.3</v>
      </c>
      <c r="H6869" t="n">
        <v>0</v>
      </c>
      <c r="I6869" t="n">
        <v>0</v>
      </c>
      <c r="J6869" t="n">
        <v>0</v>
      </c>
      <c r="K6869" t="n">
        <v>0</v>
      </c>
      <c r="L6869" t="n">
        <v>0</v>
      </c>
      <c r="M6869" t="n">
        <v>0</v>
      </c>
      <c r="N6869" t="n">
        <v>0</v>
      </c>
      <c r="O6869" t="n">
        <v>0</v>
      </c>
      <c r="P6869" t="n">
        <v>0</v>
      </c>
      <c r="Q6869" t="n">
        <v>0</v>
      </c>
      <c r="R6869" s="2" t="inlineStr"/>
    </row>
    <row r="6870" ht="15" customHeight="1">
      <c r="A6870" t="inlineStr">
        <is>
          <t>A 49448-2024</t>
        </is>
      </c>
      <c r="B6870" s="1" t="n">
        <v>45595.96385416666</v>
      </c>
      <c r="C6870" s="1" t="n">
        <v>45962</v>
      </c>
      <c r="D6870" t="inlineStr">
        <is>
          <t>JÖNKÖPINGS LÄN</t>
        </is>
      </c>
      <c r="E6870" t="inlineStr">
        <is>
          <t>HABO</t>
        </is>
      </c>
      <c r="G6870" t="n">
        <v>2</v>
      </c>
      <c r="H6870" t="n">
        <v>0</v>
      </c>
      <c r="I6870" t="n">
        <v>0</v>
      </c>
      <c r="J6870" t="n">
        <v>0</v>
      </c>
      <c r="K6870" t="n">
        <v>0</v>
      </c>
      <c r="L6870" t="n">
        <v>0</v>
      </c>
      <c r="M6870" t="n">
        <v>0</v>
      </c>
      <c r="N6870" t="n">
        <v>0</v>
      </c>
      <c r="O6870" t="n">
        <v>0</v>
      </c>
      <c r="P6870" t="n">
        <v>0</v>
      </c>
      <c r="Q6870" t="n">
        <v>0</v>
      </c>
      <c r="R6870" s="2" t="inlineStr"/>
    </row>
    <row r="6871" ht="15" customHeight="1">
      <c r="A6871" t="inlineStr">
        <is>
          <t>A 49456-2024</t>
        </is>
      </c>
      <c r="B6871" s="1" t="n">
        <v>45596.27725694444</v>
      </c>
      <c r="C6871" s="1" t="n">
        <v>45962</v>
      </c>
      <c r="D6871" t="inlineStr">
        <is>
          <t>JÖNKÖPINGS LÄN</t>
        </is>
      </c>
      <c r="E6871" t="inlineStr">
        <is>
          <t>GISLAVED</t>
        </is>
      </c>
      <c r="G6871" t="n">
        <v>1.1</v>
      </c>
      <c r="H6871" t="n">
        <v>0</v>
      </c>
      <c r="I6871" t="n">
        <v>0</v>
      </c>
      <c r="J6871" t="n">
        <v>0</v>
      </c>
      <c r="K6871" t="n">
        <v>0</v>
      </c>
      <c r="L6871" t="n">
        <v>0</v>
      </c>
      <c r="M6871" t="n">
        <v>0</v>
      </c>
      <c r="N6871" t="n">
        <v>0</v>
      </c>
      <c r="O6871" t="n">
        <v>0</v>
      </c>
      <c r="P6871" t="n">
        <v>0</v>
      </c>
      <c r="Q6871" t="n">
        <v>0</v>
      </c>
      <c r="R6871" s="2" t="inlineStr"/>
    </row>
    <row r="6872" ht="15" customHeight="1">
      <c r="A6872" t="inlineStr">
        <is>
          <t>A 2501-2025</t>
        </is>
      </c>
      <c r="B6872" s="1" t="n">
        <v>45674.55912037037</v>
      </c>
      <c r="C6872" s="1" t="n">
        <v>45962</v>
      </c>
      <c r="D6872" t="inlineStr">
        <is>
          <t>JÖNKÖPINGS LÄN</t>
        </is>
      </c>
      <c r="E6872" t="inlineStr">
        <is>
          <t>VÄRNAMO</t>
        </is>
      </c>
      <c r="G6872" t="n">
        <v>0.7</v>
      </c>
      <c r="H6872" t="n">
        <v>0</v>
      </c>
      <c r="I6872" t="n">
        <v>0</v>
      </c>
      <c r="J6872" t="n">
        <v>0</v>
      </c>
      <c r="K6872" t="n">
        <v>0</v>
      </c>
      <c r="L6872" t="n">
        <v>0</v>
      </c>
      <c r="M6872" t="n">
        <v>0</v>
      </c>
      <c r="N6872" t="n">
        <v>0</v>
      </c>
      <c r="O6872" t="n">
        <v>0</v>
      </c>
      <c r="P6872" t="n">
        <v>0</v>
      </c>
      <c r="Q6872" t="n">
        <v>0</v>
      </c>
      <c r="R6872" s="2" t="inlineStr"/>
    </row>
    <row r="6873" ht="15" customHeight="1">
      <c r="A6873" t="inlineStr">
        <is>
          <t>A 2977-2025</t>
        </is>
      </c>
      <c r="B6873" s="1" t="n">
        <v>45678.47584490741</v>
      </c>
      <c r="C6873" s="1" t="n">
        <v>45962</v>
      </c>
      <c r="D6873" t="inlineStr">
        <is>
          <t>JÖNKÖPINGS LÄN</t>
        </is>
      </c>
      <c r="E6873" t="inlineStr">
        <is>
          <t>VETLANDA</t>
        </is>
      </c>
      <c r="G6873" t="n">
        <v>0.5</v>
      </c>
      <c r="H6873" t="n">
        <v>0</v>
      </c>
      <c r="I6873" t="n">
        <v>0</v>
      </c>
      <c r="J6873" t="n">
        <v>0</v>
      </c>
      <c r="K6873" t="n">
        <v>0</v>
      </c>
      <c r="L6873" t="n">
        <v>0</v>
      </c>
      <c r="M6873" t="n">
        <v>0</v>
      </c>
      <c r="N6873" t="n">
        <v>0</v>
      </c>
      <c r="O6873" t="n">
        <v>0</v>
      </c>
      <c r="P6873" t="n">
        <v>0</v>
      </c>
      <c r="Q6873" t="n">
        <v>0</v>
      </c>
      <c r="R6873" s="2" t="inlineStr"/>
    </row>
    <row r="6874" ht="15" customHeight="1">
      <c r="A6874" t="inlineStr">
        <is>
          <t>A 8183-2023</t>
        </is>
      </c>
      <c r="B6874" s="1" t="n">
        <v>44974.49688657407</v>
      </c>
      <c r="C6874" s="1" t="n">
        <v>45962</v>
      </c>
      <c r="D6874" t="inlineStr">
        <is>
          <t>JÖNKÖPINGS LÄN</t>
        </is>
      </c>
      <c r="E6874" t="inlineStr">
        <is>
          <t>EKSJÖ</t>
        </is>
      </c>
      <c r="F6874" t="inlineStr">
        <is>
          <t>Sveaskog</t>
        </is>
      </c>
      <c r="G6874" t="n">
        <v>2</v>
      </c>
      <c r="H6874" t="n">
        <v>0</v>
      </c>
      <c r="I6874" t="n">
        <v>0</v>
      </c>
      <c r="J6874" t="n">
        <v>0</v>
      </c>
      <c r="K6874" t="n">
        <v>0</v>
      </c>
      <c r="L6874" t="n">
        <v>0</v>
      </c>
      <c r="M6874" t="n">
        <v>0</v>
      </c>
      <c r="N6874" t="n">
        <v>0</v>
      </c>
      <c r="O6874" t="n">
        <v>0</v>
      </c>
      <c r="P6874" t="n">
        <v>0</v>
      </c>
      <c r="Q6874" t="n">
        <v>0</v>
      </c>
      <c r="R6874" s="2" t="inlineStr"/>
    </row>
    <row r="6875" ht="15" customHeight="1">
      <c r="A6875" t="inlineStr">
        <is>
          <t>A 42983-2023</t>
        </is>
      </c>
      <c r="B6875" s="1" t="n">
        <v>45177</v>
      </c>
      <c r="C6875" s="1" t="n">
        <v>45962</v>
      </c>
      <c r="D6875" t="inlineStr">
        <is>
          <t>JÖNKÖPINGS LÄN</t>
        </is>
      </c>
      <c r="E6875" t="inlineStr">
        <is>
          <t>GISLAVED</t>
        </is>
      </c>
      <c r="G6875" t="n">
        <v>0.6</v>
      </c>
      <c r="H6875" t="n">
        <v>0</v>
      </c>
      <c r="I6875" t="n">
        <v>0</v>
      </c>
      <c r="J6875" t="n">
        <v>0</v>
      </c>
      <c r="K6875" t="n">
        <v>0</v>
      </c>
      <c r="L6875" t="n">
        <v>0</v>
      </c>
      <c r="M6875" t="n">
        <v>0</v>
      </c>
      <c r="N6875" t="n">
        <v>0</v>
      </c>
      <c r="O6875" t="n">
        <v>0</v>
      </c>
      <c r="P6875" t="n">
        <v>0</v>
      </c>
      <c r="Q6875" t="n">
        <v>0</v>
      </c>
      <c r="R6875" s="2" t="inlineStr"/>
    </row>
    <row r="6876" ht="15" customHeight="1">
      <c r="A6876" t="inlineStr">
        <is>
          <t>A 42990-2023</t>
        </is>
      </c>
      <c r="B6876" s="1" t="n">
        <v>45182.62420138889</v>
      </c>
      <c r="C6876" s="1" t="n">
        <v>45962</v>
      </c>
      <c r="D6876" t="inlineStr">
        <is>
          <t>JÖNKÖPINGS LÄN</t>
        </is>
      </c>
      <c r="E6876" t="inlineStr">
        <is>
          <t>VETLANDA</t>
        </is>
      </c>
      <c r="G6876" t="n">
        <v>2.2</v>
      </c>
      <c r="H6876" t="n">
        <v>0</v>
      </c>
      <c r="I6876" t="n">
        <v>0</v>
      </c>
      <c r="J6876" t="n">
        <v>0</v>
      </c>
      <c r="K6876" t="n">
        <v>0</v>
      </c>
      <c r="L6876" t="n">
        <v>0</v>
      </c>
      <c r="M6876" t="n">
        <v>0</v>
      </c>
      <c r="N6876" t="n">
        <v>0</v>
      </c>
      <c r="O6876" t="n">
        <v>0</v>
      </c>
      <c r="P6876" t="n">
        <v>0</v>
      </c>
      <c r="Q6876" t="n">
        <v>0</v>
      </c>
      <c r="R6876" s="2" t="inlineStr"/>
    </row>
    <row r="6877" ht="15" customHeight="1">
      <c r="A6877" t="inlineStr">
        <is>
          <t>A 14211-2023</t>
        </is>
      </c>
      <c r="B6877" s="1" t="n">
        <v>45009</v>
      </c>
      <c r="C6877" s="1" t="n">
        <v>45962</v>
      </c>
      <c r="D6877" t="inlineStr">
        <is>
          <t>JÖNKÖPINGS LÄN</t>
        </is>
      </c>
      <c r="E6877" t="inlineStr">
        <is>
          <t>VÄRNAMO</t>
        </is>
      </c>
      <c r="G6877" t="n">
        <v>4.1</v>
      </c>
      <c r="H6877" t="n">
        <v>0</v>
      </c>
      <c r="I6877" t="n">
        <v>0</v>
      </c>
      <c r="J6877" t="n">
        <v>0</v>
      </c>
      <c r="K6877" t="n">
        <v>0</v>
      </c>
      <c r="L6877" t="n">
        <v>0</v>
      </c>
      <c r="M6877" t="n">
        <v>0</v>
      </c>
      <c r="N6877" t="n">
        <v>0</v>
      </c>
      <c r="O6877" t="n">
        <v>0</v>
      </c>
      <c r="P6877" t="n">
        <v>0</v>
      </c>
      <c r="Q6877" t="n">
        <v>0</v>
      </c>
      <c r="R6877" s="2" t="inlineStr"/>
    </row>
    <row r="6878" ht="15" customHeight="1">
      <c r="A6878" t="inlineStr">
        <is>
          <t>A 2759-2021</t>
        </is>
      </c>
      <c r="B6878" s="1" t="n">
        <v>44215</v>
      </c>
      <c r="C6878" s="1" t="n">
        <v>45962</v>
      </c>
      <c r="D6878" t="inlineStr">
        <is>
          <t>JÖNKÖPINGS LÄN</t>
        </is>
      </c>
      <c r="E6878" t="inlineStr">
        <is>
          <t>NÄSSJÖ</t>
        </is>
      </c>
      <c r="G6878" t="n">
        <v>5</v>
      </c>
      <c r="H6878" t="n">
        <v>0</v>
      </c>
      <c r="I6878" t="n">
        <v>0</v>
      </c>
      <c r="J6878" t="n">
        <v>0</v>
      </c>
      <c r="K6878" t="n">
        <v>0</v>
      </c>
      <c r="L6878" t="n">
        <v>0</v>
      </c>
      <c r="M6878" t="n">
        <v>0</v>
      </c>
      <c r="N6878" t="n">
        <v>0</v>
      </c>
      <c r="O6878" t="n">
        <v>0</v>
      </c>
      <c r="P6878" t="n">
        <v>0</v>
      </c>
      <c r="Q6878" t="n">
        <v>0</v>
      </c>
      <c r="R6878" s="2" t="inlineStr"/>
    </row>
    <row r="6879" ht="15" customHeight="1">
      <c r="A6879" t="inlineStr">
        <is>
          <t>A 49508-2025</t>
        </is>
      </c>
      <c r="B6879" s="1" t="n">
        <v>45939.37894675926</v>
      </c>
      <c r="C6879" s="1" t="n">
        <v>45962</v>
      </c>
      <c r="D6879" t="inlineStr">
        <is>
          <t>JÖNKÖPINGS LÄN</t>
        </is>
      </c>
      <c r="E6879" t="inlineStr">
        <is>
          <t>GISLAVED</t>
        </is>
      </c>
      <c r="G6879" t="n">
        <v>1.7</v>
      </c>
      <c r="H6879" t="n">
        <v>0</v>
      </c>
      <c r="I6879" t="n">
        <v>0</v>
      </c>
      <c r="J6879" t="n">
        <v>0</v>
      </c>
      <c r="K6879" t="n">
        <v>0</v>
      </c>
      <c r="L6879" t="n">
        <v>0</v>
      </c>
      <c r="M6879" t="n">
        <v>0</v>
      </c>
      <c r="N6879" t="n">
        <v>0</v>
      </c>
      <c r="O6879" t="n">
        <v>0</v>
      </c>
      <c r="P6879" t="n">
        <v>0</v>
      </c>
      <c r="Q6879" t="n">
        <v>0</v>
      </c>
      <c r="R6879" s="2" t="inlineStr"/>
    </row>
    <row r="6880" ht="15" customHeight="1">
      <c r="A6880" t="inlineStr">
        <is>
          <t>A 3775-2024</t>
        </is>
      </c>
      <c r="B6880" s="1" t="n">
        <v>45321</v>
      </c>
      <c r="C6880" s="1" t="n">
        <v>45962</v>
      </c>
      <c r="D6880" t="inlineStr">
        <is>
          <t>JÖNKÖPINGS LÄN</t>
        </is>
      </c>
      <c r="E6880" t="inlineStr">
        <is>
          <t>MULLSJÖ</t>
        </is>
      </c>
      <c r="G6880" t="n">
        <v>2.3</v>
      </c>
      <c r="H6880" t="n">
        <v>0</v>
      </c>
      <c r="I6880" t="n">
        <v>0</v>
      </c>
      <c r="J6880" t="n">
        <v>0</v>
      </c>
      <c r="K6880" t="n">
        <v>0</v>
      </c>
      <c r="L6880" t="n">
        <v>0</v>
      </c>
      <c r="M6880" t="n">
        <v>0</v>
      </c>
      <c r="N6880" t="n">
        <v>0</v>
      </c>
      <c r="O6880" t="n">
        <v>0</v>
      </c>
      <c r="P6880" t="n">
        <v>0</v>
      </c>
      <c r="Q6880" t="n">
        <v>0</v>
      </c>
      <c r="R6880" s="2" t="inlineStr"/>
    </row>
    <row r="6881" ht="15" customHeight="1">
      <c r="A6881" t="inlineStr">
        <is>
          <t>A 60820-2021</t>
        </is>
      </c>
      <c r="B6881" s="1" t="n">
        <v>44495</v>
      </c>
      <c r="C6881" s="1" t="n">
        <v>45962</v>
      </c>
      <c r="D6881" t="inlineStr">
        <is>
          <t>JÖNKÖPINGS LÄN</t>
        </is>
      </c>
      <c r="E6881" t="inlineStr">
        <is>
          <t>VETLANDA</t>
        </is>
      </c>
      <c r="G6881" t="n">
        <v>2</v>
      </c>
      <c r="H6881" t="n">
        <v>0</v>
      </c>
      <c r="I6881" t="n">
        <v>0</v>
      </c>
      <c r="J6881" t="n">
        <v>0</v>
      </c>
      <c r="K6881" t="n">
        <v>0</v>
      </c>
      <c r="L6881" t="n">
        <v>0</v>
      </c>
      <c r="M6881" t="n">
        <v>0</v>
      </c>
      <c r="N6881" t="n">
        <v>0</v>
      </c>
      <c r="O6881" t="n">
        <v>0</v>
      </c>
      <c r="P6881" t="n">
        <v>0</v>
      </c>
      <c r="Q6881" t="n">
        <v>0</v>
      </c>
      <c r="R6881" s="2" t="inlineStr"/>
    </row>
    <row r="6882" ht="15" customHeight="1">
      <c r="A6882" t="inlineStr">
        <is>
          <t>A 33485-2025</t>
        </is>
      </c>
      <c r="B6882" s="1" t="n">
        <v>45841.50381944444</v>
      </c>
      <c r="C6882" s="1" t="n">
        <v>45962</v>
      </c>
      <c r="D6882" t="inlineStr">
        <is>
          <t>JÖNKÖPINGS LÄN</t>
        </is>
      </c>
      <c r="E6882" t="inlineStr">
        <is>
          <t>TRANÅS</t>
        </is>
      </c>
      <c r="G6882" t="n">
        <v>1.3</v>
      </c>
      <c r="H6882" t="n">
        <v>0</v>
      </c>
      <c r="I6882" t="n">
        <v>0</v>
      </c>
      <c r="J6882" t="n">
        <v>0</v>
      </c>
      <c r="K6882" t="n">
        <v>0</v>
      </c>
      <c r="L6882" t="n">
        <v>0</v>
      </c>
      <c r="M6882" t="n">
        <v>0</v>
      </c>
      <c r="N6882" t="n">
        <v>0</v>
      </c>
      <c r="O6882" t="n">
        <v>0</v>
      </c>
      <c r="P6882" t="n">
        <v>0</v>
      </c>
      <c r="Q6882" t="n">
        <v>0</v>
      </c>
      <c r="R6882" s="2" t="inlineStr"/>
    </row>
    <row r="6883" ht="15" customHeight="1">
      <c r="A6883" t="inlineStr">
        <is>
          <t>A 33497-2025</t>
        </is>
      </c>
      <c r="B6883" s="1" t="n">
        <v>45841.50966435186</v>
      </c>
      <c r="C6883" s="1" t="n">
        <v>45962</v>
      </c>
      <c r="D6883" t="inlineStr">
        <is>
          <t>JÖNKÖPINGS LÄN</t>
        </is>
      </c>
      <c r="E6883" t="inlineStr">
        <is>
          <t>TRANÅS</t>
        </is>
      </c>
      <c r="G6883" t="n">
        <v>1.9</v>
      </c>
      <c r="H6883" t="n">
        <v>0</v>
      </c>
      <c r="I6883" t="n">
        <v>0</v>
      </c>
      <c r="J6883" t="n">
        <v>0</v>
      </c>
      <c r="K6883" t="n">
        <v>0</v>
      </c>
      <c r="L6883" t="n">
        <v>0</v>
      </c>
      <c r="M6883" t="n">
        <v>0</v>
      </c>
      <c r="N6883" t="n">
        <v>0</v>
      </c>
      <c r="O6883" t="n">
        <v>0</v>
      </c>
      <c r="P6883" t="n">
        <v>0</v>
      </c>
      <c r="Q6883" t="n">
        <v>0</v>
      </c>
      <c r="R6883" s="2" t="inlineStr"/>
    </row>
    <row r="6884" ht="15" customHeight="1">
      <c r="A6884" t="inlineStr">
        <is>
          <t>A 61915-2023</t>
        </is>
      </c>
      <c r="B6884" s="1" t="n">
        <v>45266.47918981482</v>
      </c>
      <c r="C6884" s="1" t="n">
        <v>45962</v>
      </c>
      <c r="D6884" t="inlineStr">
        <is>
          <t>JÖNKÖPINGS LÄN</t>
        </is>
      </c>
      <c r="E6884" t="inlineStr">
        <is>
          <t>VAGGERYD</t>
        </is>
      </c>
      <c r="G6884" t="n">
        <v>4.6</v>
      </c>
      <c r="H6884" t="n">
        <v>0</v>
      </c>
      <c r="I6884" t="n">
        <v>0</v>
      </c>
      <c r="J6884" t="n">
        <v>0</v>
      </c>
      <c r="K6884" t="n">
        <v>0</v>
      </c>
      <c r="L6884" t="n">
        <v>0</v>
      </c>
      <c r="M6884" t="n">
        <v>0</v>
      </c>
      <c r="N6884" t="n">
        <v>0</v>
      </c>
      <c r="O6884" t="n">
        <v>0</v>
      </c>
      <c r="P6884" t="n">
        <v>0</v>
      </c>
      <c r="Q6884" t="n">
        <v>0</v>
      </c>
      <c r="R6884" s="2" t="inlineStr"/>
    </row>
    <row r="6885" ht="15" customHeight="1">
      <c r="A6885" t="inlineStr">
        <is>
          <t>A 43100-2022</t>
        </is>
      </c>
      <c r="B6885" s="1" t="n">
        <v>44833</v>
      </c>
      <c r="C6885" s="1" t="n">
        <v>45962</v>
      </c>
      <c r="D6885" t="inlineStr">
        <is>
          <t>JÖNKÖPINGS LÄN</t>
        </is>
      </c>
      <c r="E6885" t="inlineStr">
        <is>
          <t>VETLANDA</t>
        </is>
      </c>
      <c r="G6885" t="n">
        <v>1</v>
      </c>
      <c r="H6885" t="n">
        <v>0</v>
      </c>
      <c r="I6885" t="n">
        <v>0</v>
      </c>
      <c r="J6885" t="n">
        <v>0</v>
      </c>
      <c r="K6885" t="n">
        <v>0</v>
      </c>
      <c r="L6885" t="n">
        <v>0</v>
      </c>
      <c r="M6885" t="n">
        <v>0</v>
      </c>
      <c r="N6885" t="n">
        <v>0</v>
      </c>
      <c r="O6885" t="n">
        <v>0</v>
      </c>
      <c r="P6885" t="n">
        <v>0</v>
      </c>
      <c r="Q6885" t="n">
        <v>0</v>
      </c>
      <c r="R6885" s="2" t="inlineStr"/>
    </row>
    <row r="6886" ht="15" customHeight="1">
      <c r="A6886" t="inlineStr">
        <is>
          <t>A 49230-2025</t>
        </is>
      </c>
      <c r="B6886" s="1" t="n">
        <v>45938.4725925926</v>
      </c>
      <c r="C6886" s="1" t="n">
        <v>45962</v>
      </c>
      <c r="D6886" t="inlineStr">
        <is>
          <t>JÖNKÖPINGS LÄN</t>
        </is>
      </c>
      <c r="E6886" t="inlineStr">
        <is>
          <t>VAGGERYD</t>
        </is>
      </c>
      <c r="G6886" t="n">
        <v>1.2</v>
      </c>
      <c r="H6886" t="n">
        <v>0</v>
      </c>
      <c r="I6886" t="n">
        <v>0</v>
      </c>
      <c r="J6886" t="n">
        <v>0</v>
      </c>
      <c r="K6886" t="n">
        <v>0</v>
      </c>
      <c r="L6886" t="n">
        <v>0</v>
      </c>
      <c r="M6886" t="n">
        <v>0</v>
      </c>
      <c r="N6886" t="n">
        <v>0</v>
      </c>
      <c r="O6886" t="n">
        <v>0</v>
      </c>
      <c r="P6886" t="n">
        <v>0</v>
      </c>
      <c r="Q6886" t="n">
        <v>0</v>
      </c>
      <c r="R6886" s="2" t="inlineStr"/>
    </row>
    <row r="6887" ht="15" customHeight="1">
      <c r="A6887" t="inlineStr">
        <is>
          <t>A 49523-2025</t>
        </is>
      </c>
      <c r="B6887" s="1" t="n">
        <v>45939.39905092592</v>
      </c>
      <c r="C6887" s="1" t="n">
        <v>45962</v>
      </c>
      <c r="D6887" t="inlineStr">
        <is>
          <t>JÖNKÖPINGS LÄN</t>
        </is>
      </c>
      <c r="E6887" t="inlineStr">
        <is>
          <t>GISLAVED</t>
        </is>
      </c>
      <c r="G6887" t="n">
        <v>0.5</v>
      </c>
      <c r="H6887" t="n">
        <v>0</v>
      </c>
      <c r="I6887" t="n">
        <v>0</v>
      </c>
      <c r="J6887" t="n">
        <v>0</v>
      </c>
      <c r="K6887" t="n">
        <v>0</v>
      </c>
      <c r="L6887" t="n">
        <v>0</v>
      </c>
      <c r="M6887" t="n">
        <v>0</v>
      </c>
      <c r="N6887" t="n">
        <v>0</v>
      </c>
      <c r="O6887" t="n">
        <v>0</v>
      </c>
      <c r="P6887" t="n">
        <v>0</v>
      </c>
      <c r="Q6887" t="n">
        <v>0</v>
      </c>
      <c r="R6887" s="2" t="inlineStr"/>
    </row>
    <row r="6888" ht="15" customHeight="1">
      <c r="A6888" t="inlineStr">
        <is>
          <t>A 13850-2024</t>
        </is>
      </c>
      <c r="B6888" s="1" t="n">
        <v>45390</v>
      </c>
      <c r="C6888" s="1" t="n">
        <v>45962</v>
      </c>
      <c r="D6888" t="inlineStr">
        <is>
          <t>JÖNKÖPINGS LÄN</t>
        </is>
      </c>
      <c r="E6888" t="inlineStr">
        <is>
          <t>HABO</t>
        </is>
      </c>
      <c r="G6888" t="n">
        <v>4.6</v>
      </c>
      <c r="H6888" t="n">
        <v>0</v>
      </c>
      <c r="I6888" t="n">
        <v>0</v>
      </c>
      <c r="J6888" t="n">
        <v>0</v>
      </c>
      <c r="K6888" t="n">
        <v>0</v>
      </c>
      <c r="L6888" t="n">
        <v>0</v>
      </c>
      <c r="M6888" t="n">
        <v>0</v>
      </c>
      <c r="N6888" t="n">
        <v>0</v>
      </c>
      <c r="O6888" t="n">
        <v>0</v>
      </c>
      <c r="P6888" t="n">
        <v>0</v>
      </c>
      <c r="Q6888" t="n">
        <v>0</v>
      </c>
      <c r="R6888" s="2" t="inlineStr"/>
    </row>
    <row r="6889" ht="15" customHeight="1">
      <c r="A6889" t="inlineStr">
        <is>
          <t>A 58346-2022</t>
        </is>
      </c>
      <c r="B6889" s="1" t="n">
        <v>44893</v>
      </c>
      <c r="C6889" s="1" t="n">
        <v>45962</v>
      </c>
      <c r="D6889" t="inlineStr">
        <is>
          <t>JÖNKÖPINGS LÄN</t>
        </is>
      </c>
      <c r="E6889" t="inlineStr">
        <is>
          <t>JÖNKÖPING</t>
        </is>
      </c>
      <c r="F6889" t="inlineStr">
        <is>
          <t>Övriga statliga verk och myndigheter</t>
        </is>
      </c>
      <c r="G6889" t="n">
        <v>1.9</v>
      </c>
      <c r="H6889" t="n">
        <v>0</v>
      </c>
      <c r="I6889" t="n">
        <v>0</v>
      </c>
      <c r="J6889" t="n">
        <v>0</v>
      </c>
      <c r="K6889" t="n">
        <v>0</v>
      </c>
      <c r="L6889" t="n">
        <v>0</v>
      </c>
      <c r="M6889" t="n">
        <v>0</v>
      </c>
      <c r="N6889" t="n">
        <v>0</v>
      </c>
      <c r="O6889" t="n">
        <v>0</v>
      </c>
      <c r="P6889" t="n">
        <v>0</v>
      </c>
      <c r="Q6889" t="n">
        <v>0</v>
      </c>
      <c r="R6889" s="2" t="inlineStr"/>
    </row>
    <row r="6890" ht="15" customHeight="1">
      <c r="A6890" t="inlineStr">
        <is>
          <t>A 52648-2023</t>
        </is>
      </c>
      <c r="B6890" s="1" t="n">
        <v>45219</v>
      </c>
      <c r="C6890" s="1" t="n">
        <v>45962</v>
      </c>
      <c r="D6890" t="inlineStr">
        <is>
          <t>JÖNKÖPINGS LÄN</t>
        </is>
      </c>
      <c r="E6890" t="inlineStr">
        <is>
          <t>VETLANDA</t>
        </is>
      </c>
      <c r="G6890" t="n">
        <v>1.4</v>
      </c>
      <c r="H6890" t="n">
        <v>0</v>
      </c>
      <c r="I6890" t="n">
        <v>0</v>
      </c>
      <c r="J6890" t="n">
        <v>0</v>
      </c>
      <c r="K6890" t="n">
        <v>0</v>
      </c>
      <c r="L6890" t="n">
        <v>0</v>
      </c>
      <c r="M6890" t="n">
        <v>0</v>
      </c>
      <c r="N6890" t="n">
        <v>0</v>
      </c>
      <c r="O6890" t="n">
        <v>0</v>
      </c>
      <c r="P6890" t="n">
        <v>0</v>
      </c>
      <c r="Q6890" t="n">
        <v>0</v>
      </c>
      <c r="R6890" s="2" t="inlineStr"/>
    </row>
    <row r="6891" ht="15" customHeight="1">
      <c r="A6891" t="inlineStr">
        <is>
          <t>A 13860-2024</t>
        </is>
      </c>
      <c r="B6891" s="1" t="n">
        <v>45390</v>
      </c>
      <c r="C6891" s="1" t="n">
        <v>45962</v>
      </c>
      <c r="D6891" t="inlineStr">
        <is>
          <t>JÖNKÖPINGS LÄN</t>
        </is>
      </c>
      <c r="E6891" t="inlineStr">
        <is>
          <t>VAGGERYD</t>
        </is>
      </c>
      <c r="G6891" t="n">
        <v>1.1</v>
      </c>
      <c r="H6891" t="n">
        <v>0</v>
      </c>
      <c r="I6891" t="n">
        <v>0</v>
      </c>
      <c r="J6891" t="n">
        <v>0</v>
      </c>
      <c r="K6891" t="n">
        <v>0</v>
      </c>
      <c r="L6891" t="n">
        <v>0</v>
      </c>
      <c r="M6891" t="n">
        <v>0</v>
      </c>
      <c r="N6891" t="n">
        <v>0</v>
      </c>
      <c r="O6891" t="n">
        <v>0</v>
      </c>
      <c r="P6891" t="n">
        <v>0</v>
      </c>
      <c r="Q6891" t="n">
        <v>0</v>
      </c>
      <c r="R6891" s="2" t="inlineStr"/>
    </row>
    <row r="6892" ht="15" customHeight="1">
      <c r="A6892" t="inlineStr">
        <is>
          <t>A 4740-2025</t>
        </is>
      </c>
      <c r="B6892" s="1" t="n">
        <v>45688</v>
      </c>
      <c r="C6892" s="1" t="n">
        <v>45962</v>
      </c>
      <c r="D6892" t="inlineStr">
        <is>
          <t>JÖNKÖPINGS LÄN</t>
        </is>
      </c>
      <c r="E6892" t="inlineStr">
        <is>
          <t>VÄRNAMO</t>
        </is>
      </c>
      <c r="G6892" t="n">
        <v>1.7</v>
      </c>
      <c r="H6892" t="n">
        <v>0</v>
      </c>
      <c r="I6892" t="n">
        <v>0</v>
      </c>
      <c r="J6892" t="n">
        <v>0</v>
      </c>
      <c r="K6892" t="n">
        <v>0</v>
      </c>
      <c r="L6892" t="n">
        <v>0</v>
      </c>
      <c r="M6892" t="n">
        <v>0</v>
      </c>
      <c r="N6892" t="n">
        <v>0</v>
      </c>
      <c r="O6892" t="n">
        <v>0</v>
      </c>
      <c r="P6892" t="n">
        <v>0</v>
      </c>
      <c r="Q6892" t="n">
        <v>0</v>
      </c>
      <c r="R6892" s="2" t="inlineStr"/>
    </row>
    <row r="6893" ht="15" customHeight="1">
      <c r="A6893" t="inlineStr">
        <is>
          <t>A 40226-2024</t>
        </is>
      </c>
      <c r="B6893" s="1" t="n">
        <v>45554.5991087963</v>
      </c>
      <c r="C6893" s="1" t="n">
        <v>45962</v>
      </c>
      <c r="D6893" t="inlineStr">
        <is>
          <t>JÖNKÖPINGS LÄN</t>
        </is>
      </c>
      <c r="E6893" t="inlineStr">
        <is>
          <t>VÄRNAMO</t>
        </is>
      </c>
      <c r="G6893" t="n">
        <v>1.1</v>
      </c>
      <c r="H6893" t="n">
        <v>0</v>
      </c>
      <c r="I6893" t="n">
        <v>0</v>
      </c>
      <c r="J6893" t="n">
        <v>0</v>
      </c>
      <c r="K6893" t="n">
        <v>0</v>
      </c>
      <c r="L6893" t="n">
        <v>0</v>
      </c>
      <c r="M6893" t="n">
        <v>0</v>
      </c>
      <c r="N6893" t="n">
        <v>0</v>
      </c>
      <c r="O6893" t="n">
        <v>0</v>
      </c>
      <c r="P6893" t="n">
        <v>0</v>
      </c>
      <c r="Q6893" t="n">
        <v>0</v>
      </c>
      <c r="R6893" s="2" t="inlineStr"/>
    </row>
    <row r="6894" ht="15" customHeight="1">
      <c r="A6894" t="inlineStr">
        <is>
          <t>A 16637-2023</t>
        </is>
      </c>
      <c r="B6894" s="1" t="n">
        <v>45030.45988425926</v>
      </c>
      <c r="C6894" s="1" t="n">
        <v>45962</v>
      </c>
      <c r="D6894" t="inlineStr">
        <is>
          <t>JÖNKÖPINGS LÄN</t>
        </is>
      </c>
      <c r="E6894" t="inlineStr">
        <is>
          <t>VETLANDA</t>
        </is>
      </c>
      <c r="G6894" t="n">
        <v>2.1</v>
      </c>
      <c r="H6894" t="n">
        <v>0</v>
      </c>
      <c r="I6894" t="n">
        <v>0</v>
      </c>
      <c r="J6894" t="n">
        <v>0</v>
      </c>
      <c r="K6894" t="n">
        <v>0</v>
      </c>
      <c r="L6894" t="n">
        <v>0</v>
      </c>
      <c r="M6894" t="n">
        <v>0</v>
      </c>
      <c r="N6894" t="n">
        <v>0</v>
      </c>
      <c r="O6894" t="n">
        <v>0</v>
      </c>
      <c r="P6894" t="n">
        <v>0</v>
      </c>
      <c r="Q6894" t="n">
        <v>0</v>
      </c>
      <c r="R6894" s="2" t="inlineStr"/>
    </row>
    <row r="6895" ht="15" customHeight="1">
      <c r="A6895" t="inlineStr">
        <is>
          <t>A 60067-2023</t>
        </is>
      </c>
      <c r="B6895" s="1" t="n">
        <v>45258.38972222222</v>
      </c>
      <c r="C6895" s="1" t="n">
        <v>45962</v>
      </c>
      <c r="D6895" t="inlineStr">
        <is>
          <t>JÖNKÖPINGS LÄN</t>
        </is>
      </c>
      <c r="E6895" t="inlineStr">
        <is>
          <t>VAGGERYD</t>
        </is>
      </c>
      <c r="G6895" t="n">
        <v>0.7</v>
      </c>
      <c r="H6895" t="n">
        <v>0</v>
      </c>
      <c r="I6895" t="n">
        <v>0</v>
      </c>
      <c r="J6895" t="n">
        <v>0</v>
      </c>
      <c r="K6895" t="n">
        <v>0</v>
      </c>
      <c r="L6895" t="n">
        <v>0</v>
      </c>
      <c r="M6895" t="n">
        <v>0</v>
      </c>
      <c r="N6895" t="n">
        <v>0</v>
      </c>
      <c r="O6895" t="n">
        <v>0</v>
      </c>
      <c r="P6895" t="n">
        <v>0</v>
      </c>
      <c r="Q6895" t="n">
        <v>0</v>
      </c>
      <c r="R6895" s="2" t="inlineStr"/>
    </row>
    <row r="6896" ht="15" customHeight="1">
      <c r="A6896" t="inlineStr">
        <is>
          <t>A 42830-2023</t>
        </is>
      </c>
      <c r="B6896" s="1" t="n">
        <v>45182</v>
      </c>
      <c r="C6896" s="1" t="n">
        <v>45962</v>
      </c>
      <c r="D6896" t="inlineStr">
        <is>
          <t>JÖNKÖPINGS LÄN</t>
        </is>
      </c>
      <c r="E6896" t="inlineStr">
        <is>
          <t>VAGGERYD</t>
        </is>
      </c>
      <c r="G6896" t="n">
        <v>1.3</v>
      </c>
      <c r="H6896" t="n">
        <v>0</v>
      </c>
      <c r="I6896" t="n">
        <v>0</v>
      </c>
      <c r="J6896" t="n">
        <v>0</v>
      </c>
      <c r="K6896" t="n">
        <v>0</v>
      </c>
      <c r="L6896" t="n">
        <v>0</v>
      </c>
      <c r="M6896" t="n">
        <v>0</v>
      </c>
      <c r="N6896" t="n">
        <v>0</v>
      </c>
      <c r="O6896" t="n">
        <v>0</v>
      </c>
      <c r="P6896" t="n">
        <v>0</v>
      </c>
      <c r="Q6896" t="n">
        <v>0</v>
      </c>
      <c r="R6896" s="2" t="inlineStr"/>
    </row>
    <row r="6897" ht="15" customHeight="1">
      <c r="A6897" t="inlineStr">
        <is>
          <t>A 52608-2024</t>
        </is>
      </c>
      <c r="B6897" s="1" t="n">
        <v>45609</v>
      </c>
      <c r="C6897" s="1" t="n">
        <v>45962</v>
      </c>
      <c r="D6897" t="inlineStr">
        <is>
          <t>JÖNKÖPINGS LÄN</t>
        </is>
      </c>
      <c r="E6897" t="inlineStr">
        <is>
          <t>VAGGERYD</t>
        </is>
      </c>
      <c r="G6897" t="n">
        <v>0.7</v>
      </c>
      <c r="H6897" t="n">
        <v>0</v>
      </c>
      <c r="I6897" t="n">
        <v>0</v>
      </c>
      <c r="J6897" t="n">
        <v>0</v>
      </c>
      <c r="K6897" t="n">
        <v>0</v>
      </c>
      <c r="L6897" t="n">
        <v>0</v>
      </c>
      <c r="M6897" t="n">
        <v>0</v>
      </c>
      <c r="N6897" t="n">
        <v>0</v>
      </c>
      <c r="O6897" t="n">
        <v>0</v>
      </c>
      <c r="P6897" t="n">
        <v>0</v>
      </c>
      <c r="Q6897" t="n">
        <v>0</v>
      </c>
      <c r="R6897" s="2" t="inlineStr"/>
    </row>
    <row r="6898" ht="15" customHeight="1">
      <c r="A6898" t="inlineStr">
        <is>
          <t>A 46254-2024</t>
        </is>
      </c>
      <c r="B6898" s="1" t="n">
        <v>45581.59896990741</v>
      </c>
      <c r="C6898" s="1" t="n">
        <v>45962</v>
      </c>
      <c r="D6898" t="inlineStr">
        <is>
          <t>JÖNKÖPINGS LÄN</t>
        </is>
      </c>
      <c r="E6898" t="inlineStr">
        <is>
          <t>GNOSJÖ</t>
        </is>
      </c>
      <c r="G6898" t="n">
        <v>1.3</v>
      </c>
      <c r="H6898" t="n">
        <v>0</v>
      </c>
      <c r="I6898" t="n">
        <v>0</v>
      </c>
      <c r="J6898" t="n">
        <v>0</v>
      </c>
      <c r="K6898" t="n">
        <v>0</v>
      </c>
      <c r="L6898" t="n">
        <v>0</v>
      </c>
      <c r="M6898" t="n">
        <v>0</v>
      </c>
      <c r="N6898" t="n">
        <v>0</v>
      </c>
      <c r="O6898" t="n">
        <v>0</v>
      </c>
      <c r="P6898" t="n">
        <v>0</v>
      </c>
      <c r="Q6898" t="n">
        <v>0</v>
      </c>
      <c r="R6898" s="2" t="inlineStr"/>
    </row>
    <row r="6899" ht="15" customHeight="1">
      <c r="A6899" t="inlineStr">
        <is>
          <t>A 10540-2025</t>
        </is>
      </c>
      <c r="B6899" s="1" t="n">
        <v>45721.47923611111</v>
      </c>
      <c r="C6899" s="1" t="n">
        <v>45962</v>
      </c>
      <c r="D6899" t="inlineStr">
        <is>
          <t>JÖNKÖPINGS LÄN</t>
        </is>
      </c>
      <c r="E6899" t="inlineStr">
        <is>
          <t>VÄRNAMO</t>
        </is>
      </c>
      <c r="G6899" t="n">
        <v>0.1</v>
      </c>
      <c r="H6899" t="n">
        <v>0</v>
      </c>
      <c r="I6899" t="n">
        <v>0</v>
      </c>
      <c r="J6899" t="n">
        <v>0</v>
      </c>
      <c r="K6899" t="n">
        <v>0</v>
      </c>
      <c r="L6899" t="n">
        <v>0</v>
      </c>
      <c r="M6899" t="n">
        <v>0</v>
      </c>
      <c r="N6899" t="n">
        <v>0</v>
      </c>
      <c r="O6899" t="n">
        <v>0</v>
      </c>
      <c r="P6899" t="n">
        <v>0</v>
      </c>
      <c r="Q6899" t="n">
        <v>0</v>
      </c>
      <c r="R6899" s="2" t="inlineStr"/>
    </row>
    <row r="6900" ht="15" customHeight="1">
      <c r="A6900" t="inlineStr">
        <is>
          <t>A 6914-2023</t>
        </is>
      </c>
      <c r="B6900" s="1" t="n">
        <v>44964</v>
      </c>
      <c r="C6900" s="1" t="n">
        <v>45962</v>
      </c>
      <c r="D6900" t="inlineStr">
        <is>
          <t>JÖNKÖPINGS LÄN</t>
        </is>
      </c>
      <c r="E6900" t="inlineStr">
        <is>
          <t>SÄVSJÖ</t>
        </is>
      </c>
      <c r="G6900" t="n">
        <v>0.9</v>
      </c>
      <c r="H6900" t="n">
        <v>0</v>
      </c>
      <c r="I6900" t="n">
        <v>0</v>
      </c>
      <c r="J6900" t="n">
        <v>0</v>
      </c>
      <c r="K6900" t="n">
        <v>0</v>
      </c>
      <c r="L6900" t="n">
        <v>0</v>
      </c>
      <c r="M6900" t="n">
        <v>0</v>
      </c>
      <c r="N6900" t="n">
        <v>0</v>
      </c>
      <c r="O6900" t="n">
        <v>0</v>
      </c>
      <c r="P6900" t="n">
        <v>0</v>
      </c>
      <c r="Q6900" t="n">
        <v>0</v>
      </c>
      <c r="R6900" s="2" t="inlineStr"/>
    </row>
    <row r="6901" ht="15" customHeight="1">
      <c r="A6901" t="inlineStr">
        <is>
          <t>A 49231-2025</t>
        </is>
      </c>
      <c r="B6901" s="1" t="n">
        <v>45938.47315972222</v>
      </c>
      <c r="C6901" s="1" t="n">
        <v>45962</v>
      </c>
      <c r="D6901" t="inlineStr">
        <is>
          <t>JÖNKÖPINGS LÄN</t>
        </is>
      </c>
      <c r="E6901" t="inlineStr">
        <is>
          <t>TRANÅS</t>
        </is>
      </c>
      <c r="G6901" t="n">
        <v>1.4</v>
      </c>
      <c r="H6901" t="n">
        <v>0</v>
      </c>
      <c r="I6901" t="n">
        <v>0</v>
      </c>
      <c r="J6901" t="n">
        <v>0</v>
      </c>
      <c r="K6901" t="n">
        <v>0</v>
      </c>
      <c r="L6901" t="n">
        <v>0</v>
      </c>
      <c r="M6901" t="n">
        <v>0</v>
      </c>
      <c r="N6901" t="n">
        <v>0</v>
      </c>
      <c r="O6901" t="n">
        <v>0</v>
      </c>
      <c r="P6901" t="n">
        <v>0</v>
      </c>
      <c r="Q6901" t="n">
        <v>0</v>
      </c>
      <c r="R6901" s="2" t="inlineStr"/>
    </row>
    <row r="6902" ht="15" customHeight="1">
      <c r="A6902" t="inlineStr">
        <is>
          <t>A 61421-2023</t>
        </is>
      </c>
      <c r="B6902" s="1" t="n">
        <v>45264.68284722222</v>
      </c>
      <c r="C6902" s="1" t="n">
        <v>45962</v>
      </c>
      <c r="D6902" t="inlineStr">
        <is>
          <t>JÖNKÖPINGS LÄN</t>
        </is>
      </c>
      <c r="E6902" t="inlineStr">
        <is>
          <t>VAGGERYD</t>
        </is>
      </c>
      <c r="G6902" t="n">
        <v>1.8</v>
      </c>
      <c r="H6902" t="n">
        <v>0</v>
      </c>
      <c r="I6902" t="n">
        <v>0</v>
      </c>
      <c r="J6902" t="n">
        <v>0</v>
      </c>
      <c r="K6902" t="n">
        <v>0</v>
      </c>
      <c r="L6902" t="n">
        <v>0</v>
      </c>
      <c r="M6902" t="n">
        <v>0</v>
      </c>
      <c r="N6902" t="n">
        <v>0</v>
      </c>
      <c r="O6902" t="n">
        <v>0</v>
      </c>
      <c r="P6902" t="n">
        <v>0</v>
      </c>
      <c r="Q6902" t="n">
        <v>0</v>
      </c>
      <c r="R6902" s="2" t="inlineStr"/>
    </row>
    <row r="6903" ht="15" customHeight="1">
      <c r="A6903" t="inlineStr">
        <is>
          <t>A 37829-2024</t>
        </is>
      </c>
      <c r="B6903" s="1" t="n">
        <v>45544.34594907407</v>
      </c>
      <c r="C6903" s="1" t="n">
        <v>45962</v>
      </c>
      <c r="D6903" t="inlineStr">
        <is>
          <t>JÖNKÖPINGS LÄN</t>
        </is>
      </c>
      <c r="E6903" t="inlineStr">
        <is>
          <t>VETLANDA</t>
        </is>
      </c>
      <c r="G6903" t="n">
        <v>1.6</v>
      </c>
      <c r="H6903" t="n">
        <v>0</v>
      </c>
      <c r="I6903" t="n">
        <v>0</v>
      </c>
      <c r="J6903" t="n">
        <v>0</v>
      </c>
      <c r="K6903" t="n">
        <v>0</v>
      </c>
      <c r="L6903" t="n">
        <v>0</v>
      </c>
      <c r="M6903" t="n">
        <v>0</v>
      </c>
      <c r="N6903" t="n">
        <v>0</v>
      </c>
      <c r="O6903" t="n">
        <v>0</v>
      </c>
      <c r="P6903" t="n">
        <v>0</v>
      </c>
      <c r="Q6903" t="n">
        <v>0</v>
      </c>
      <c r="R6903" s="2" t="inlineStr"/>
    </row>
    <row r="6904" ht="15" customHeight="1">
      <c r="A6904" t="inlineStr">
        <is>
          <t>A 61451-2023</t>
        </is>
      </c>
      <c r="B6904" s="1" t="n">
        <v>45264.82974537037</v>
      </c>
      <c r="C6904" s="1" t="n">
        <v>45962</v>
      </c>
      <c r="D6904" t="inlineStr">
        <is>
          <t>JÖNKÖPINGS LÄN</t>
        </is>
      </c>
      <c r="E6904" t="inlineStr">
        <is>
          <t>NÄSSJÖ</t>
        </is>
      </c>
      <c r="G6904" t="n">
        <v>0.7</v>
      </c>
      <c r="H6904" t="n">
        <v>0</v>
      </c>
      <c r="I6904" t="n">
        <v>0</v>
      </c>
      <c r="J6904" t="n">
        <v>0</v>
      </c>
      <c r="K6904" t="n">
        <v>0</v>
      </c>
      <c r="L6904" t="n">
        <v>0</v>
      </c>
      <c r="M6904" t="n">
        <v>0</v>
      </c>
      <c r="N6904" t="n">
        <v>0</v>
      </c>
      <c r="O6904" t="n">
        <v>0</v>
      </c>
      <c r="P6904" t="n">
        <v>0</v>
      </c>
      <c r="Q6904" t="n">
        <v>0</v>
      </c>
      <c r="R6904" s="2" t="inlineStr"/>
    </row>
    <row r="6905" ht="15" customHeight="1">
      <c r="A6905" t="inlineStr">
        <is>
          <t>A 49292-2023</t>
        </is>
      </c>
      <c r="B6905" s="1" t="n">
        <v>45210.78241898148</v>
      </c>
      <c r="C6905" s="1" t="n">
        <v>45962</v>
      </c>
      <c r="D6905" t="inlineStr">
        <is>
          <t>JÖNKÖPINGS LÄN</t>
        </is>
      </c>
      <c r="E6905" t="inlineStr">
        <is>
          <t>SÄVSJÖ</t>
        </is>
      </c>
      <c r="G6905" t="n">
        <v>0.9</v>
      </c>
      <c r="H6905" t="n">
        <v>0</v>
      </c>
      <c r="I6905" t="n">
        <v>0</v>
      </c>
      <c r="J6905" t="n">
        <v>0</v>
      </c>
      <c r="K6905" t="n">
        <v>0</v>
      </c>
      <c r="L6905" t="n">
        <v>0</v>
      </c>
      <c r="M6905" t="n">
        <v>0</v>
      </c>
      <c r="N6905" t="n">
        <v>0</v>
      </c>
      <c r="O6905" t="n">
        <v>0</v>
      </c>
      <c r="P6905" t="n">
        <v>0</v>
      </c>
      <c r="Q6905" t="n">
        <v>0</v>
      </c>
      <c r="R6905" s="2" t="inlineStr"/>
    </row>
    <row r="6906" ht="15" customHeight="1">
      <c r="A6906" t="inlineStr">
        <is>
          <t>A 49360-2023</t>
        </is>
      </c>
      <c r="B6906" s="1" t="n">
        <v>45211</v>
      </c>
      <c r="C6906" s="1" t="n">
        <v>45962</v>
      </c>
      <c r="D6906" t="inlineStr">
        <is>
          <t>JÖNKÖPINGS LÄN</t>
        </is>
      </c>
      <c r="E6906" t="inlineStr">
        <is>
          <t>VETLANDA</t>
        </is>
      </c>
      <c r="G6906" t="n">
        <v>3.3</v>
      </c>
      <c r="H6906" t="n">
        <v>0</v>
      </c>
      <c r="I6906" t="n">
        <v>0</v>
      </c>
      <c r="J6906" t="n">
        <v>0</v>
      </c>
      <c r="K6906" t="n">
        <v>0</v>
      </c>
      <c r="L6906" t="n">
        <v>0</v>
      </c>
      <c r="M6906" t="n">
        <v>0</v>
      </c>
      <c r="N6906" t="n">
        <v>0</v>
      </c>
      <c r="O6906" t="n">
        <v>0</v>
      </c>
      <c r="P6906" t="n">
        <v>0</v>
      </c>
      <c r="Q6906" t="n">
        <v>0</v>
      </c>
      <c r="R6906" s="2" t="inlineStr"/>
    </row>
    <row r="6907" ht="15" customHeight="1">
      <c r="A6907" t="inlineStr">
        <is>
          <t>A 41397-2024</t>
        </is>
      </c>
      <c r="B6907" s="1" t="n">
        <v>45560</v>
      </c>
      <c r="C6907" s="1" t="n">
        <v>45962</v>
      </c>
      <c r="D6907" t="inlineStr">
        <is>
          <t>JÖNKÖPINGS LÄN</t>
        </is>
      </c>
      <c r="E6907" t="inlineStr">
        <is>
          <t>EKSJÖ</t>
        </is>
      </c>
      <c r="G6907" t="n">
        <v>2.8</v>
      </c>
      <c r="H6907" t="n">
        <v>0</v>
      </c>
      <c r="I6907" t="n">
        <v>0</v>
      </c>
      <c r="J6907" t="n">
        <v>0</v>
      </c>
      <c r="K6907" t="n">
        <v>0</v>
      </c>
      <c r="L6907" t="n">
        <v>0</v>
      </c>
      <c r="M6907" t="n">
        <v>0</v>
      </c>
      <c r="N6907" t="n">
        <v>0</v>
      </c>
      <c r="O6907" t="n">
        <v>0</v>
      </c>
      <c r="P6907" t="n">
        <v>0</v>
      </c>
      <c r="Q6907" t="n">
        <v>0</v>
      </c>
      <c r="R6907" s="2" t="inlineStr"/>
    </row>
    <row r="6908" ht="15" customHeight="1">
      <c r="A6908" t="inlineStr">
        <is>
          <t>A 44230-2023</t>
        </is>
      </c>
      <c r="B6908" s="1" t="n">
        <v>45188.56572916666</v>
      </c>
      <c r="C6908" s="1" t="n">
        <v>45962</v>
      </c>
      <c r="D6908" t="inlineStr">
        <is>
          <t>JÖNKÖPINGS LÄN</t>
        </is>
      </c>
      <c r="E6908" t="inlineStr">
        <is>
          <t>VÄRNAMO</t>
        </is>
      </c>
      <c r="G6908" t="n">
        <v>9</v>
      </c>
      <c r="H6908" t="n">
        <v>0</v>
      </c>
      <c r="I6908" t="n">
        <v>0</v>
      </c>
      <c r="J6908" t="n">
        <v>0</v>
      </c>
      <c r="K6908" t="n">
        <v>0</v>
      </c>
      <c r="L6908" t="n">
        <v>0</v>
      </c>
      <c r="M6908" t="n">
        <v>0</v>
      </c>
      <c r="N6908" t="n">
        <v>0</v>
      </c>
      <c r="O6908" t="n">
        <v>0</v>
      </c>
      <c r="P6908" t="n">
        <v>0</v>
      </c>
      <c r="Q6908" t="n">
        <v>0</v>
      </c>
      <c r="R6908" s="2" t="inlineStr"/>
    </row>
    <row r="6909" ht="15" customHeight="1">
      <c r="A6909" t="inlineStr">
        <is>
          <t>A 40677-2025</t>
        </is>
      </c>
      <c r="B6909" s="1" t="n">
        <v>45896.79884259259</v>
      </c>
      <c r="C6909" s="1" t="n">
        <v>45962</v>
      </c>
      <c r="D6909" t="inlineStr">
        <is>
          <t>JÖNKÖPINGS LÄN</t>
        </is>
      </c>
      <c r="E6909" t="inlineStr">
        <is>
          <t>HABO</t>
        </is>
      </c>
      <c r="G6909" t="n">
        <v>1.7</v>
      </c>
      <c r="H6909" t="n">
        <v>0</v>
      </c>
      <c r="I6909" t="n">
        <v>0</v>
      </c>
      <c r="J6909" t="n">
        <v>0</v>
      </c>
      <c r="K6909" t="n">
        <v>0</v>
      </c>
      <c r="L6909" t="n">
        <v>0</v>
      </c>
      <c r="M6909" t="n">
        <v>0</v>
      </c>
      <c r="N6909" t="n">
        <v>0</v>
      </c>
      <c r="O6909" t="n">
        <v>0</v>
      </c>
      <c r="P6909" t="n">
        <v>0</v>
      </c>
      <c r="Q6909" t="n">
        <v>0</v>
      </c>
      <c r="R6909" s="2" t="inlineStr"/>
    </row>
    <row r="6910" ht="15" customHeight="1">
      <c r="A6910" t="inlineStr">
        <is>
          <t>A 45367-2024</t>
        </is>
      </c>
      <c r="B6910" s="1" t="n">
        <v>45576</v>
      </c>
      <c r="C6910" s="1" t="n">
        <v>45962</v>
      </c>
      <c r="D6910" t="inlineStr">
        <is>
          <t>JÖNKÖPINGS LÄN</t>
        </is>
      </c>
      <c r="E6910" t="inlineStr">
        <is>
          <t>EKSJÖ</t>
        </is>
      </c>
      <c r="G6910" t="n">
        <v>0.6</v>
      </c>
      <c r="H6910" t="n">
        <v>0</v>
      </c>
      <c r="I6910" t="n">
        <v>0</v>
      </c>
      <c r="J6910" t="n">
        <v>0</v>
      </c>
      <c r="K6910" t="n">
        <v>0</v>
      </c>
      <c r="L6910" t="n">
        <v>0</v>
      </c>
      <c r="M6910" t="n">
        <v>0</v>
      </c>
      <c r="N6910" t="n">
        <v>0</v>
      </c>
      <c r="O6910" t="n">
        <v>0</v>
      </c>
      <c r="P6910" t="n">
        <v>0</v>
      </c>
      <c r="Q6910" t="n">
        <v>0</v>
      </c>
      <c r="R6910" s="2" t="inlineStr"/>
    </row>
    <row r="6911" ht="15" customHeight="1">
      <c r="A6911" t="inlineStr">
        <is>
          <t>A 40725-2025</t>
        </is>
      </c>
      <c r="B6911" s="1" t="n">
        <v>45897.34652777778</v>
      </c>
      <c r="C6911" s="1" t="n">
        <v>45962</v>
      </c>
      <c r="D6911" t="inlineStr">
        <is>
          <t>JÖNKÖPINGS LÄN</t>
        </is>
      </c>
      <c r="E6911" t="inlineStr">
        <is>
          <t>HABO</t>
        </is>
      </c>
      <c r="G6911" t="n">
        <v>3.1</v>
      </c>
      <c r="H6911" t="n">
        <v>0</v>
      </c>
      <c r="I6911" t="n">
        <v>0</v>
      </c>
      <c r="J6911" t="n">
        <v>0</v>
      </c>
      <c r="K6911" t="n">
        <v>0</v>
      </c>
      <c r="L6911" t="n">
        <v>0</v>
      </c>
      <c r="M6911" t="n">
        <v>0</v>
      </c>
      <c r="N6911" t="n">
        <v>0</v>
      </c>
      <c r="O6911" t="n">
        <v>0</v>
      </c>
      <c r="P6911" t="n">
        <v>0</v>
      </c>
      <c r="Q6911" t="n">
        <v>0</v>
      </c>
      <c r="R6911" s="2" t="inlineStr"/>
    </row>
    <row r="6912" ht="15" customHeight="1">
      <c r="A6912" t="inlineStr">
        <is>
          <t>A 40763-2025</t>
        </is>
      </c>
      <c r="B6912" s="1" t="n">
        <v>45897.39640046296</v>
      </c>
      <c r="C6912" s="1" t="n">
        <v>45962</v>
      </c>
      <c r="D6912" t="inlineStr">
        <is>
          <t>JÖNKÖPINGS LÄN</t>
        </is>
      </c>
      <c r="E6912" t="inlineStr">
        <is>
          <t>VAGGERYD</t>
        </is>
      </c>
      <c r="F6912" t="inlineStr">
        <is>
          <t>Sveaskog</t>
        </is>
      </c>
      <c r="G6912" t="n">
        <v>1</v>
      </c>
      <c r="H6912" t="n">
        <v>0</v>
      </c>
      <c r="I6912" t="n">
        <v>0</v>
      </c>
      <c r="J6912" t="n">
        <v>0</v>
      </c>
      <c r="K6912" t="n">
        <v>0</v>
      </c>
      <c r="L6912" t="n">
        <v>0</v>
      </c>
      <c r="M6912" t="n">
        <v>0</v>
      </c>
      <c r="N6912" t="n">
        <v>0</v>
      </c>
      <c r="O6912" t="n">
        <v>0</v>
      </c>
      <c r="P6912" t="n">
        <v>0</v>
      </c>
      <c r="Q6912" t="n">
        <v>0</v>
      </c>
      <c r="R6912" s="2" t="inlineStr"/>
    </row>
    <row r="6913" ht="15" customHeight="1">
      <c r="A6913" t="inlineStr">
        <is>
          <t>A 40552-2025</t>
        </is>
      </c>
      <c r="B6913" s="1" t="n">
        <v>45896.4434837963</v>
      </c>
      <c r="C6913" s="1" t="n">
        <v>45962</v>
      </c>
      <c r="D6913" t="inlineStr">
        <is>
          <t>JÖNKÖPINGS LÄN</t>
        </is>
      </c>
      <c r="E6913" t="inlineStr">
        <is>
          <t>GNOSJÖ</t>
        </is>
      </c>
      <c r="G6913" t="n">
        <v>1.7</v>
      </c>
      <c r="H6913" t="n">
        <v>0</v>
      </c>
      <c r="I6913" t="n">
        <v>0</v>
      </c>
      <c r="J6913" t="n">
        <v>0</v>
      </c>
      <c r="K6913" t="n">
        <v>0</v>
      </c>
      <c r="L6913" t="n">
        <v>0</v>
      </c>
      <c r="M6913" t="n">
        <v>0</v>
      </c>
      <c r="N6913" t="n">
        <v>0</v>
      </c>
      <c r="O6913" t="n">
        <v>0</v>
      </c>
      <c r="P6913" t="n">
        <v>0</v>
      </c>
      <c r="Q6913" t="n">
        <v>0</v>
      </c>
      <c r="R6913" s="2" t="inlineStr"/>
    </row>
    <row r="6914" ht="15" customHeight="1">
      <c r="A6914" t="inlineStr">
        <is>
          <t>A 6726-2025</t>
        </is>
      </c>
      <c r="B6914" s="1" t="n">
        <v>45700.58738425926</v>
      </c>
      <c r="C6914" s="1" t="n">
        <v>45962</v>
      </c>
      <c r="D6914" t="inlineStr">
        <is>
          <t>JÖNKÖPINGS LÄN</t>
        </is>
      </c>
      <c r="E6914" t="inlineStr">
        <is>
          <t>NÄSSJÖ</t>
        </is>
      </c>
      <c r="G6914" t="n">
        <v>5</v>
      </c>
      <c r="H6914" t="n">
        <v>0</v>
      </c>
      <c r="I6914" t="n">
        <v>0</v>
      </c>
      <c r="J6914" t="n">
        <v>0</v>
      </c>
      <c r="K6914" t="n">
        <v>0</v>
      </c>
      <c r="L6914" t="n">
        <v>0</v>
      </c>
      <c r="M6914" t="n">
        <v>0</v>
      </c>
      <c r="N6914" t="n">
        <v>0</v>
      </c>
      <c r="O6914" t="n">
        <v>0</v>
      </c>
      <c r="P6914" t="n">
        <v>0</v>
      </c>
      <c r="Q6914" t="n">
        <v>0</v>
      </c>
      <c r="R6914" s="2" t="inlineStr"/>
    </row>
    <row r="6915" ht="15" customHeight="1">
      <c r="A6915" t="inlineStr">
        <is>
          <t>A 27015-2023</t>
        </is>
      </c>
      <c r="B6915" s="1" t="n">
        <v>45094.86106481482</v>
      </c>
      <c r="C6915" s="1" t="n">
        <v>45962</v>
      </c>
      <c r="D6915" t="inlineStr">
        <is>
          <t>JÖNKÖPINGS LÄN</t>
        </is>
      </c>
      <c r="E6915" t="inlineStr">
        <is>
          <t>SÄVSJÖ</t>
        </is>
      </c>
      <c r="G6915" t="n">
        <v>2.5</v>
      </c>
      <c r="H6915" t="n">
        <v>0</v>
      </c>
      <c r="I6915" t="n">
        <v>0</v>
      </c>
      <c r="J6915" t="n">
        <v>0</v>
      </c>
      <c r="K6915" t="n">
        <v>0</v>
      </c>
      <c r="L6915" t="n">
        <v>0</v>
      </c>
      <c r="M6915" t="n">
        <v>0</v>
      </c>
      <c r="N6915" t="n">
        <v>0</v>
      </c>
      <c r="O6915" t="n">
        <v>0</v>
      </c>
      <c r="P6915" t="n">
        <v>0</v>
      </c>
      <c r="Q6915" t="n">
        <v>0</v>
      </c>
      <c r="R6915" s="2" t="inlineStr"/>
    </row>
    <row r="6916" ht="15" customHeight="1">
      <c r="A6916" t="inlineStr">
        <is>
          <t>A 61545-2022</t>
        </is>
      </c>
      <c r="B6916" s="1" t="n">
        <v>44916.56637731481</v>
      </c>
      <c r="C6916" s="1" t="n">
        <v>45962</v>
      </c>
      <c r="D6916" t="inlineStr">
        <is>
          <t>JÖNKÖPINGS LÄN</t>
        </is>
      </c>
      <c r="E6916" t="inlineStr">
        <is>
          <t>NÄSSJÖ</t>
        </is>
      </c>
      <c r="G6916" t="n">
        <v>3.5</v>
      </c>
      <c r="H6916" t="n">
        <v>0</v>
      </c>
      <c r="I6916" t="n">
        <v>0</v>
      </c>
      <c r="J6916" t="n">
        <v>0</v>
      </c>
      <c r="K6916" t="n">
        <v>0</v>
      </c>
      <c r="L6916" t="n">
        <v>0</v>
      </c>
      <c r="M6916" t="n">
        <v>0</v>
      </c>
      <c r="N6916" t="n">
        <v>0</v>
      </c>
      <c r="O6916" t="n">
        <v>0</v>
      </c>
      <c r="P6916" t="n">
        <v>0</v>
      </c>
      <c r="Q6916" t="n">
        <v>0</v>
      </c>
      <c r="R6916" s="2" t="inlineStr"/>
    </row>
    <row r="6917" ht="15" customHeight="1">
      <c r="A6917" t="inlineStr">
        <is>
          <t>A 11597-2022</t>
        </is>
      </c>
      <c r="B6917" s="1" t="n">
        <v>44631.5412037037</v>
      </c>
      <c r="C6917" s="1" t="n">
        <v>45962</v>
      </c>
      <c r="D6917" t="inlineStr">
        <is>
          <t>JÖNKÖPINGS LÄN</t>
        </is>
      </c>
      <c r="E6917" t="inlineStr">
        <is>
          <t>VAGGERYD</t>
        </is>
      </c>
      <c r="F6917" t="inlineStr">
        <is>
          <t>Sveaskog</t>
        </is>
      </c>
      <c r="G6917" t="n">
        <v>0.8</v>
      </c>
      <c r="H6917" t="n">
        <v>0</v>
      </c>
      <c r="I6917" t="n">
        <v>0</v>
      </c>
      <c r="J6917" t="n">
        <v>0</v>
      </c>
      <c r="K6917" t="n">
        <v>0</v>
      </c>
      <c r="L6917" t="n">
        <v>0</v>
      </c>
      <c r="M6917" t="n">
        <v>0</v>
      </c>
      <c r="N6917" t="n">
        <v>0</v>
      </c>
      <c r="O6917" t="n">
        <v>0</v>
      </c>
      <c r="P6917" t="n">
        <v>0</v>
      </c>
      <c r="Q6917" t="n">
        <v>0</v>
      </c>
      <c r="R6917" s="2" t="inlineStr"/>
    </row>
    <row r="6918" ht="15" customHeight="1">
      <c r="A6918" t="inlineStr">
        <is>
          <t>A 9894-2025</t>
        </is>
      </c>
      <c r="B6918" s="1" t="n">
        <v>45716.7125</v>
      </c>
      <c r="C6918" s="1" t="n">
        <v>45962</v>
      </c>
      <c r="D6918" t="inlineStr">
        <is>
          <t>JÖNKÖPINGS LÄN</t>
        </is>
      </c>
      <c r="E6918" t="inlineStr">
        <is>
          <t>JÖNKÖPING</t>
        </is>
      </c>
      <c r="G6918" t="n">
        <v>1.1</v>
      </c>
      <c r="H6918" t="n">
        <v>0</v>
      </c>
      <c r="I6918" t="n">
        <v>0</v>
      </c>
      <c r="J6918" t="n">
        <v>0</v>
      </c>
      <c r="K6918" t="n">
        <v>0</v>
      </c>
      <c r="L6918" t="n">
        <v>0</v>
      </c>
      <c r="M6918" t="n">
        <v>0</v>
      </c>
      <c r="N6918" t="n">
        <v>0</v>
      </c>
      <c r="O6918" t="n">
        <v>0</v>
      </c>
      <c r="P6918" t="n">
        <v>0</v>
      </c>
      <c r="Q6918" t="n">
        <v>0</v>
      </c>
      <c r="R6918" s="2" t="inlineStr"/>
    </row>
    <row r="6919" ht="15" customHeight="1">
      <c r="A6919" t="inlineStr">
        <is>
          <t>A 9935-2025</t>
        </is>
      </c>
      <c r="B6919" s="1" t="n">
        <v>45718.4666087963</v>
      </c>
      <c r="C6919" s="1" t="n">
        <v>45962</v>
      </c>
      <c r="D6919" t="inlineStr">
        <is>
          <t>JÖNKÖPINGS LÄN</t>
        </is>
      </c>
      <c r="E6919" t="inlineStr">
        <is>
          <t>VÄRNAMO</t>
        </is>
      </c>
      <c r="G6919" t="n">
        <v>2</v>
      </c>
      <c r="H6919" t="n">
        <v>0</v>
      </c>
      <c r="I6919" t="n">
        <v>0</v>
      </c>
      <c r="J6919" t="n">
        <v>0</v>
      </c>
      <c r="K6919" t="n">
        <v>0</v>
      </c>
      <c r="L6919" t="n">
        <v>0</v>
      </c>
      <c r="M6919" t="n">
        <v>0</v>
      </c>
      <c r="N6919" t="n">
        <v>0</v>
      </c>
      <c r="O6919" t="n">
        <v>0</v>
      </c>
      <c r="P6919" t="n">
        <v>0</v>
      </c>
      <c r="Q6919" t="n">
        <v>0</v>
      </c>
      <c r="R6919" s="2" t="inlineStr"/>
    </row>
    <row r="6920" ht="15" customHeight="1">
      <c r="A6920" t="inlineStr">
        <is>
          <t>A 50133-2025</t>
        </is>
      </c>
      <c r="B6920" s="1" t="n">
        <v>45943.55663194445</v>
      </c>
      <c r="C6920" s="1" t="n">
        <v>45962</v>
      </c>
      <c r="D6920" t="inlineStr">
        <is>
          <t>JÖNKÖPINGS LÄN</t>
        </is>
      </c>
      <c r="E6920" t="inlineStr">
        <is>
          <t>JÖNKÖPING</t>
        </is>
      </c>
      <c r="G6920" t="n">
        <v>1.4</v>
      </c>
      <c r="H6920" t="n">
        <v>0</v>
      </c>
      <c r="I6920" t="n">
        <v>0</v>
      </c>
      <c r="J6920" t="n">
        <v>0</v>
      </c>
      <c r="K6920" t="n">
        <v>0</v>
      </c>
      <c r="L6920" t="n">
        <v>0</v>
      </c>
      <c r="M6920" t="n">
        <v>0</v>
      </c>
      <c r="N6920" t="n">
        <v>0</v>
      </c>
      <c r="O6920" t="n">
        <v>0</v>
      </c>
      <c r="P6920" t="n">
        <v>0</v>
      </c>
      <c r="Q6920" t="n">
        <v>0</v>
      </c>
      <c r="R6920" s="2" t="inlineStr"/>
    </row>
    <row r="6921" ht="15" customHeight="1">
      <c r="A6921" t="inlineStr">
        <is>
          <t>A 41327-2025</t>
        </is>
      </c>
      <c r="B6921" s="1" t="n">
        <v>45899.29246527778</v>
      </c>
      <c r="C6921" s="1" t="n">
        <v>45962</v>
      </c>
      <c r="D6921" t="inlineStr">
        <is>
          <t>JÖNKÖPINGS LÄN</t>
        </is>
      </c>
      <c r="E6921" t="inlineStr">
        <is>
          <t>NÄSSJÖ</t>
        </is>
      </c>
      <c r="G6921" t="n">
        <v>5.6</v>
      </c>
      <c r="H6921" t="n">
        <v>0</v>
      </c>
      <c r="I6921" t="n">
        <v>0</v>
      </c>
      <c r="J6921" t="n">
        <v>0</v>
      </c>
      <c r="K6921" t="n">
        <v>0</v>
      </c>
      <c r="L6921" t="n">
        <v>0</v>
      </c>
      <c r="M6921" t="n">
        <v>0</v>
      </c>
      <c r="N6921" t="n">
        <v>0</v>
      </c>
      <c r="O6921" t="n">
        <v>0</v>
      </c>
      <c r="P6921" t="n">
        <v>0</v>
      </c>
      <c r="Q6921" t="n">
        <v>0</v>
      </c>
      <c r="R6921" s="2" t="inlineStr"/>
    </row>
    <row r="6922" ht="15" customHeight="1">
      <c r="A6922" t="inlineStr">
        <is>
          <t>A 38664-2024</t>
        </is>
      </c>
      <c r="B6922" s="1" t="n">
        <v>45547.28552083333</v>
      </c>
      <c r="C6922" s="1" t="n">
        <v>45962</v>
      </c>
      <c r="D6922" t="inlineStr">
        <is>
          <t>JÖNKÖPINGS LÄN</t>
        </is>
      </c>
      <c r="E6922" t="inlineStr">
        <is>
          <t>VÄRNAMO</t>
        </is>
      </c>
      <c r="G6922" t="n">
        <v>0.5</v>
      </c>
      <c r="H6922" t="n">
        <v>0</v>
      </c>
      <c r="I6922" t="n">
        <v>0</v>
      </c>
      <c r="J6922" t="n">
        <v>0</v>
      </c>
      <c r="K6922" t="n">
        <v>0</v>
      </c>
      <c r="L6922" t="n">
        <v>0</v>
      </c>
      <c r="M6922" t="n">
        <v>0</v>
      </c>
      <c r="N6922" t="n">
        <v>0</v>
      </c>
      <c r="O6922" t="n">
        <v>0</v>
      </c>
      <c r="P6922" t="n">
        <v>0</v>
      </c>
      <c r="Q6922" t="n">
        <v>0</v>
      </c>
      <c r="R6922" s="2" t="inlineStr"/>
    </row>
    <row r="6923" ht="15" customHeight="1">
      <c r="A6923" t="inlineStr">
        <is>
          <t>A 47856-2022</t>
        </is>
      </c>
      <c r="B6923" s="1" t="n">
        <v>44855.40680555555</v>
      </c>
      <c r="C6923" s="1" t="n">
        <v>45962</v>
      </c>
      <c r="D6923" t="inlineStr">
        <is>
          <t>JÖNKÖPINGS LÄN</t>
        </is>
      </c>
      <c r="E6923" t="inlineStr">
        <is>
          <t>GNOSJÖ</t>
        </is>
      </c>
      <c r="G6923" t="n">
        <v>0.1</v>
      </c>
      <c r="H6923" t="n">
        <v>0</v>
      </c>
      <c r="I6923" t="n">
        <v>0</v>
      </c>
      <c r="J6923" t="n">
        <v>0</v>
      </c>
      <c r="K6923" t="n">
        <v>0</v>
      </c>
      <c r="L6923" t="n">
        <v>0</v>
      </c>
      <c r="M6923" t="n">
        <v>0</v>
      </c>
      <c r="N6923" t="n">
        <v>0</v>
      </c>
      <c r="O6923" t="n">
        <v>0</v>
      </c>
      <c r="P6923" t="n">
        <v>0</v>
      </c>
      <c r="Q6923" t="n">
        <v>0</v>
      </c>
      <c r="R6923" s="2" t="inlineStr"/>
    </row>
    <row r="6924" ht="15" customHeight="1">
      <c r="A6924" t="inlineStr">
        <is>
          <t>A 56747-2022</t>
        </is>
      </c>
      <c r="B6924" s="1" t="n">
        <v>44894</v>
      </c>
      <c r="C6924" s="1" t="n">
        <v>45962</v>
      </c>
      <c r="D6924" t="inlineStr">
        <is>
          <t>JÖNKÖPINGS LÄN</t>
        </is>
      </c>
      <c r="E6924" t="inlineStr">
        <is>
          <t>JÖNKÖPING</t>
        </is>
      </c>
      <c r="G6924" t="n">
        <v>2.6</v>
      </c>
      <c r="H6924" t="n">
        <v>0</v>
      </c>
      <c r="I6924" t="n">
        <v>0</v>
      </c>
      <c r="J6924" t="n">
        <v>0</v>
      </c>
      <c r="K6924" t="n">
        <v>0</v>
      </c>
      <c r="L6924" t="n">
        <v>0</v>
      </c>
      <c r="M6924" t="n">
        <v>0</v>
      </c>
      <c r="N6924" t="n">
        <v>0</v>
      </c>
      <c r="O6924" t="n">
        <v>0</v>
      </c>
      <c r="P6924" t="n">
        <v>0</v>
      </c>
      <c r="Q6924" t="n">
        <v>0</v>
      </c>
      <c r="R6924" s="2" t="inlineStr"/>
    </row>
    <row r="6925" ht="15" customHeight="1">
      <c r="A6925" t="inlineStr">
        <is>
          <t>A 40661-2023</t>
        </is>
      </c>
      <c r="B6925" s="1" t="n">
        <v>45170</v>
      </c>
      <c r="C6925" s="1" t="n">
        <v>45962</v>
      </c>
      <c r="D6925" t="inlineStr">
        <is>
          <t>JÖNKÖPINGS LÄN</t>
        </is>
      </c>
      <c r="E6925" t="inlineStr">
        <is>
          <t>MULLSJÖ</t>
        </is>
      </c>
      <c r="G6925" t="n">
        <v>2</v>
      </c>
      <c r="H6925" t="n">
        <v>0</v>
      </c>
      <c r="I6925" t="n">
        <v>0</v>
      </c>
      <c r="J6925" t="n">
        <v>0</v>
      </c>
      <c r="K6925" t="n">
        <v>0</v>
      </c>
      <c r="L6925" t="n">
        <v>0</v>
      </c>
      <c r="M6925" t="n">
        <v>0</v>
      </c>
      <c r="N6925" t="n">
        <v>0</v>
      </c>
      <c r="O6925" t="n">
        <v>0</v>
      </c>
      <c r="P6925" t="n">
        <v>0</v>
      </c>
      <c r="Q6925" t="n">
        <v>0</v>
      </c>
      <c r="R6925" s="2" t="inlineStr"/>
    </row>
    <row r="6926" ht="15" customHeight="1">
      <c r="A6926" t="inlineStr">
        <is>
          <t>A 41374-2025</t>
        </is>
      </c>
      <c r="B6926" s="1" t="n">
        <v>45900.71957175926</v>
      </c>
      <c r="C6926" s="1" t="n">
        <v>45962</v>
      </c>
      <c r="D6926" t="inlineStr">
        <is>
          <t>JÖNKÖPINGS LÄN</t>
        </is>
      </c>
      <c r="E6926" t="inlineStr">
        <is>
          <t>GISLAVED</t>
        </is>
      </c>
      <c r="G6926" t="n">
        <v>2.4</v>
      </c>
      <c r="H6926" t="n">
        <v>0</v>
      </c>
      <c r="I6926" t="n">
        <v>0</v>
      </c>
      <c r="J6926" t="n">
        <v>0</v>
      </c>
      <c r="K6926" t="n">
        <v>0</v>
      </c>
      <c r="L6926" t="n">
        <v>0</v>
      </c>
      <c r="M6926" t="n">
        <v>0</v>
      </c>
      <c r="N6926" t="n">
        <v>0</v>
      </c>
      <c r="O6926" t="n">
        <v>0</v>
      </c>
      <c r="P6926" t="n">
        <v>0</v>
      </c>
      <c r="Q6926" t="n">
        <v>0</v>
      </c>
      <c r="R6926" s="2" t="inlineStr"/>
    </row>
    <row r="6927" ht="15" customHeight="1">
      <c r="A6927" t="inlineStr">
        <is>
          <t>A 47192-2024</t>
        </is>
      </c>
      <c r="B6927" s="1" t="n">
        <v>45586.62902777778</v>
      </c>
      <c r="C6927" s="1" t="n">
        <v>45962</v>
      </c>
      <c r="D6927" t="inlineStr">
        <is>
          <t>JÖNKÖPINGS LÄN</t>
        </is>
      </c>
      <c r="E6927" t="inlineStr">
        <is>
          <t>VAGGERYD</t>
        </is>
      </c>
      <c r="F6927" t="inlineStr">
        <is>
          <t>Sveaskog</t>
        </is>
      </c>
      <c r="G6927" t="n">
        <v>1</v>
      </c>
      <c r="H6927" t="n">
        <v>0</v>
      </c>
      <c r="I6927" t="n">
        <v>0</v>
      </c>
      <c r="J6927" t="n">
        <v>0</v>
      </c>
      <c r="K6927" t="n">
        <v>0</v>
      </c>
      <c r="L6927" t="n">
        <v>0</v>
      </c>
      <c r="M6927" t="n">
        <v>0</v>
      </c>
      <c r="N6927" t="n">
        <v>0</v>
      </c>
      <c r="O6927" t="n">
        <v>0</v>
      </c>
      <c r="P6927" t="n">
        <v>0</v>
      </c>
      <c r="Q6927" t="n">
        <v>0</v>
      </c>
      <c r="R6927" s="2" t="inlineStr"/>
    </row>
    <row r="6928" ht="15" customHeight="1">
      <c r="A6928" t="inlineStr">
        <is>
          <t>A 54095-2024</t>
        </is>
      </c>
      <c r="B6928" s="1" t="n">
        <v>45616.51119212963</v>
      </c>
      <c r="C6928" s="1" t="n">
        <v>45962</v>
      </c>
      <c r="D6928" t="inlineStr">
        <is>
          <t>JÖNKÖPINGS LÄN</t>
        </is>
      </c>
      <c r="E6928" t="inlineStr">
        <is>
          <t>ANEBY</t>
        </is>
      </c>
      <c r="G6928" t="n">
        <v>2.4</v>
      </c>
      <c r="H6928" t="n">
        <v>0</v>
      </c>
      <c r="I6928" t="n">
        <v>0</v>
      </c>
      <c r="J6928" t="n">
        <v>0</v>
      </c>
      <c r="K6928" t="n">
        <v>0</v>
      </c>
      <c r="L6928" t="n">
        <v>0</v>
      </c>
      <c r="M6928" t="n">
        <v>0</v>
      </c>
      <c r="N6928" t="n">
        <v>0</v>
      </c>
      <c r="O6928" t="n">
        <v>0</v>
      </c>
      <c r="P6928" t="n">
        <v>0</v>
      </c>
      <c r="Q6928" t="n">
        <v>0</v>
      </c>
      <c r="R6928" s="2" t="inlineStr"/>
    </row>
    <row r="6929" ht="15" customHeight="1">
      <c r="A6929" t="inlineStr">
        <is>
          <t>A 5163-2025</t>
        </is>
      </c>
      <c r="B6929" s="1" t="n">
        <v>45691.61326388889</v>
      </c>
      <c r="C6929" s="1" t="n">
        <v>45962</v>
      </c>
      <c r="D6929" t="inlineStr">
        <is>
          <t>JÖNKÖPINGS LÄN</t>
        </is>
      </c>
      <c r="E6929" t="inlineStr">
        <is>
          <t>VETLANDA</t>
        </is>
      </c>
      <c r="G6929" t="n">
        <v>0.3</v>
      </c>
      <c r="H6929" t="n">
        <v>0</v>
      </c>
      <c r="I6929" t="n">
        <v>0</v>
      </c>
      <c r="J6929" t="n">
        <v>0</v>
      </c>
      <c r="K6929" t="n">
        <v>0</v>
      </c>
      <c r="L6929" t="n">
        <v>0</v>
      </c>
      <c r="M6929" t="n">
        <v>0</v>
      </c>
      <c r="N6929" t="n">
        <v>0</v>
      </c>
      <c r="O6929" t="n">
        <v>0</v>
      </c>
      <c r="P6929" t="n">
        <v>0</v>
      </c>
      <c r="Q6929" t="n">
        <v>0</v>
      </c>
      <c r="R6929" s="2" t="inlineStr"/>
    </row>
    <row r="6930" ht="15" customHeight="1">
      <c r="A6930" t="inlineStr">
        <is>
          <t>A 61908-2024</t>
        </is>
      </c>
      <c r="B6930" s="1" t="n">
        <v>45653.3462037037</v>
      </c>
      <c r="C6930" s="1" t="n">
        <v>45962</v>
      </c>
      <c r="D6930" t="inlineStr">
        <is>
          <t>JÖNKÖPINGS LÄN</t>
        </is>
      </c>
      <c r="E6930" t="inlineStr">
        <is>
          <t>VAGGERYD</t>
        </is>
      </c>
      <c r="G6930" t="n">
        <v>1</v>
      </c>
      <c r="H6930" t="n">
        <v>0</v>
      </c>
      <c r="I6930" t="n">
        <v>0</v>
      </c>
      <c r="J6930" t="n">
        <v>0</v>
      </c>
      <c r="K6930" t="n">
        <v>0</v>
      </c>
      <c r="L6930" t="n">
        <v>0</v>
      </c>
      <c r="M6930" t="n">
        <v>0</v>
      </c>
      <c r="N6930" t="n">
        <v>0</v>
      </c>
      <c r="O6930" t="n">
        <v>0</v>
      </c>
      <c r="P6930" t="n">
        <v>0</v>
      </c>
      <c r="Q6930" t="n">
        <v>0</v>
      </c>
      <c r="R6930" s="2" t="inlineStr"/>
    </row>
    <row r="6931" ht="15" customHeight="1">
      <c r="A6931" t="inlineStr">
        <is>
          <t>A 8183-2025</t>
        </is>
      </c>
      <c r="B6931" s="1" t="n">
        <v>45708.39626157407</v>
      </c>
      <c r="C6931" s="1" t="n">
        <v>45962</v>
      </c>
      <c r="D6931" t="inlineStr">
        <is>
          <t>JÖNKÖPINGS LÄN</t>
        </is>
      </c>
      <c r="E6931" t="inlineStr">
        <is>
          <t>GISLAVED</t>
        </is>
      </c>
      <c r="G6931" t="n">
        <v>1.6</v>
      </c>
      <c r="H6931" t="n">
        <v>0</v>
      </c>
      <c r="I6931" t="n">
        <v>0</v>
      </c>
      <c r="J6931" t="n">
        <v>0</v>
      </c>
      <c r="K6931" t="n">
        <v>0</v>
      </c>
      <c r="L6931" t="n">
        <v>0</v>
      </c>
      <c r="M6931" t="n">
        <v>0</v>
      </c>
      <c r="N6931" t="n">
        <v>0</v>
      </c>
      <c r="O6931" t="n">
        <v>0</v>
      </c>
      <c r="P6931" t="n">
        <v>0</v>
      </c>
      <c r="Q6931" t="n">
        <v>0</v>
      </c>
      <c r="R6931" s="2" t="inlineStr"/>
    </row>
    <row r="6932" ht="15" customHeight="1">
      <c r="A6932" t="inlineStr">
        <is>
          <t>A 19307-2023</t>
        </is>
      </c>
      <c r="B6932" s="1" t="n">
        <v>45049.48990740741</v>
      </c>
      <c r="C6932" s="1" t="n">
        <v>45962</v>
      </c>
      <c r="D6932" t="inlineStr">
        <is>
          <t>JÖNKÖPINGS LÄN</t>
        </is>
      </c>
      <c r="E6932" t="inlineStr">
        <is>
          <t>GNOSJÖ</t>
        </is>
      </c>
      <c r="G6932" t="n">
        <v>0.4</v>
      </c>
      <c r="H6932" t="n">
        <v>0</v>
      </c>
      <c r="I6932" t="n">
        <v>0</v>
      </c>
      <c r="J6932" t="n">
        <v>0</v>
      </c>
      <c r="K6932" t="n">
        <v>0</v>
      </c>
      <c r="L6932" t="n">
        <v>0</v>
      </c>
      <c r="M6932" t="n">
        <v>0</v>
      </c>
      <c r="N6932" t="n">
        <v>0</v>
      </c>
      <c r="O6932" t="n">
        <v>0</v>
      </c>
      <c r="P6932" t="n">
        <v>0</v>
      </c>
      <c r="Q6932" t="n">
        <v>0</v>
      </c>
      <c r="R6932" s="2" t="inlineStr"/>
    </row>
    <row r="6933" ht="15" customHeight="1">
      <c r="A6933" t="inlineStr">
        <is>
          <t>A 41742-2024</t>
        </is>
      </c>
      <c r="B6933" s="1" t="n">
        <v>45561.30137731481</v>
      </c>
      <c r="C6933" s="1" t="n">
        <v>45962</v>
      </c>
      <c r="D6933" t="inlineStr">
        <is>
          <t>JÖNKÖPINGS LÄN</t>
        </is>
      </c>
      <c r="E6933" t="inlineStr">
        <is>
          <t>GISLAVED</t>
        </is>
      </c>
      <c r="G6933" t="n">
        <v>1.8</v>
      </c>
      <c r="H6933" t="n">
        <v>0</v>
      </c>
      <c r="I6933" t="n">
        <v>0</v>
      </c>
      <c r="J6933" t="n">
        <v>0</v>
      </c>
      <c r="K6933" t="n">
        <v>0</v>
      </c>
      <c r="L6933" t="n">
        <v>0</v>
      </c>
      <c r="M6933" t="n">
        <v>0</v>
      </c>
      <c r="N6933" t="n">
        <v>0</v>
      </c>
      <c r="O6933" t="n">
        <v>0</v>
      </c>
      <c r="P6933" t="n">
        <v>0</v>
      </c>
      <c r="Q6933" t="n">
        <v>0</v>
      </c>
      <c r="R6933" s="2" t="inlineStr"/>
    </row>
    <row r="6934" ht="15" customHeight="1">
      <c r="A6934" t="inlineStr">
        <is>
          <t>A 57715-2024</t>
        </is>
      </c>
      <c r="B6934" s="1" t="n">
        <v>45630.69271990741</v>
      </c>
      <c r="C6934" s="1" t="n">
        <v>45962</v>
      </c>
      <c r="D6934" t="inlineStr">
        <is>
          <t>JÖNKÖPINGS LÄN</t>
        </is>
      </c>
      <c r="E6934" t="inlineStr">
        <is>
          <t>VAGGERYD</t>
        </is>
      </c>
      <c r="G6934" t="n">
        <v>1.3</v>
      </c>
      <c r="H6934" t="n">
        <v>0</v>
      </c>
      <c r="I6934" t="n">
        <v>0</v>
      </c>
      <c r="J6934" t="n">
        <v>0</v>
      </c>
      <c r="K6934" t="n">
        <v>0</v>
      </c>
      <c r="L6934" t="n">
        <v>0</v>
      </c>
      <c r="M6934" t="n">
        <v>0</v>
      </c>
      <c r="N6934" t="n">
        <v>0</v>
      </c>
      <c r="O6934" t="n">
        <v>0</v>
      </c>
      <c r="P6934" t="n">
        <v>0</v>
      </c>
      <c r="Q6934" t="n">
        <v>0</v>
      </c>
      <c r="R6934" s="2" t="inlineStr"/>
    </row>
    <row r="6935" ht="15" customHeight="1">
      <c r="A6935" t="inlineStr">
        <is>
          <t>A 57720-2024</t>
        </is>
      </c>
      <c r="B6935" s="1" t="n">
        <v>45630.6993287037</v>
      </c>
      <c r="C6935" s="1" t="n">
        <v>45962</v>
      </c>
      <c r="D6935" t="inlineStr">
        <is>
          <t>JÖNKÖPINGS LÄN</t>
        </is>
      </c>
      <c r="E6935" t="inlineStr">
        <is>
          <t>JÖNKÖPING</t>
        </is>
      </c>
      <c r="G6935" t="n">
        <v>0.8</v>
      </c>
      <c r="H6935" t="n">
        <v>0</v>
      </c>
      <c r="I6935" t="n">
        <v>0</v>
      </c>
      <c r="J6935" t="n">
        <v>0</v>
      </c>
      <c r="K6935" t="n">
        <v>0</v>
      </c>
      <c r="L6935" t="n">
        <v>0</v>
      </c>
      <c r="M6935" t="n">
        <v>0</v>
      </c>
      <c r="N6935" t="n">
        <v>0</v>
      </c>
      <c r="O6935" t="n">
        <v>0</v>
      </c>
      <c r="P6935" t="n">
        <v>0</v>
      </c>
      <c r="Q6935" t="n">
        <v>0</v>
      </c>
      <c r="R6935" s="2" t="inlineStr"/>
    </row>
    <row r="6936" ht="15" customHeight="1">
      <c r="A6936" t="inlineStr">
        <is>
          <t>A 25925-2025</t>
        </is>
      </c>
      <c r="B6936" s="1" t="n">
        <v>45804.57568287037</v>
      </c>
      <c r="C6936" s="1" t="n">
        <v>45962</v>
      </c>
      <c r="D6936" t="inlineStr">
        <is>
          <t>JÖNKÖPINGS LÄN</t>
        </is>
      </c>
      <c r="E6936" t="inlineStr">
        <is>
          <t>VAGGERYD</t>
        </is>
      </c>
      <c r="F6936" t="inlineStr">
        <is>
          <t>Kyrkan</t>
        </is>
      </c>
      <c r="G6936" t="n">
        <v>1.7</v>
      </c>
      <c r="H6936" t="n">
        <v>0</v>
      </c>
      <c r="I6936" t="n">
        <v>0</v>
      </c>
      <c r="J6936" t="n">
        <v>0</v>
      </c>
      <c r="K6936" t="n">
        <v>0</v>
      </c>
      <c r="L6936" t="n">
        <v>0</v>
      </c>
      <c r="M6936" t="n">
        <v>0</v>
      </c>
      <c r="N6936" t="n">
        <v>0</v>
      </c>
      <c r="O6936" t="n">
        <v>0</v>
      </c>
      <c r="P6936" t="n">
        <v>0</v>
      </c>
      <c r="Q6936" t="n">
        <v>0</v>
      </c>
      <c r="R6936" s="2" t="inlineStr"/>
    </row>
    <row r="6937" ht="15" customHeight="1">
      <c r="A6937" t="inlineStr">
        <is>
          <t>A 50058-2025</t>
        </is>
      </c>
      <c r="B6937" s="1" t="n">
        <v>45943.44037037037</v>
      </c>
      <c r="C6937" s="1" t="n">
        <v>45962</v>
      </c>
      <c r="D6937" t="inlineStr">
        <is>
          <t>JÖNKÖPINGS LÄN</t>
        </is>
      </c>
      <c r="E6937" t="inlineStr">
        <is>
          <t>GISLAVED</t>
        </is>
      </c>
      <c r="G6937" t="n">
        <v>1</v>
      </c>
      <c r="H6937" t="n">
        <v>0</v>
      </c>
      <c r="I6937" t="n">
        <v>0</v>
      </c>
      <c r="J6937" t="n">
        <v>0</v>
      </c>
      <c r="K6937" t="n">
        <v>0</v>
      </c>
      <c r="L6937" t="n">
        <v>0</v>
      </c>
      <c r="M6937" t="n">
        <v>0</v>
      </c>
      <c r="N6937" t="n">
        <v>0</v>
      </c>
      <c r="O6937" t="n">
        <v>0</v>
      </c>
      <c r="P6937" t="n">
        <v>0</v>
      </c>
      <c r="Q6937" t="n">
        <v>0</v>
      </c>
      <c r="R6937" s="2" t="inlineStr"/>
    </row>
    <row r="6938" ht="15" customHeight="1">
      <c r="A6938" t="inlineStr">
        <is>
          <t>A 41377-2025</t>
        </is>
      </c>
      <c r="B6938" s="1" t="n">
        <v>45900.89021990741</v>
      </c>
      <c r="C6938" s="1" t="n">
        <v>45962</v>
      </c>
      <c r="D6938" t="inlineStr">
        <is>
          <t>JÖNKÖPINGS LÄN</t>
        </is>
      </c>
      <c r="E6938" t="inlineStr">
        <is>
          <t>VAGGERYD</t>
        </is>
      </c>
      <c r="F6938" t="inlineStr">
        <is>
          <t>Sveaskog</t>
        </is>
      </c>
      <c r="G6938" t="n">
        <v>1.7</v>
      </c>
      <c r="H6938" t="n">
        <v>0</v>
      </c>
      <c r="I6938" t="n">
        <v>0</v>
      </c>
      <c r="J6938" t="n">
        <v>0</v>
      </c>
      <c r="K6938" t="n">
        <v>0</v>
      </c>
      <c r="L6938" t="n">
        <v>0</v>
      </c>
      <c r="M6938" t="n">
        <v>0</v>
      </c>
      <c r="N6938" t="n">
        <v>0</v>
      </c>
      <c r="O6938" t="n">
        <v>0</v>
      </c>
      <c r="P6938" t="n">
        <v>0</v>
      </c>
      <c r="Q6938" t="n">
        <v>0</v>
      </c>
      <c r="R6938" s="2" t="inlineStr"/>
    </row>
    <row r="6939" ht="15" customHeight="1">
      <c r="A6939" t="inlineStr">
        <is>
          <t>A 41378-2025</t>
        </is>
      </c>
      <c r="B6939" s="1" t="n">
        <v>45900.91521990741</v>
      </c>
      <c r="C6939" s="1" t="n">
        <v>45962</v>
      </c>
      <c r="D6939" t="inlineStr">
        <is>
          <t>JÖNKÖPINGS LÄN</t>
        </is>
      </c>
      <c r="E6939" t="inlineStr">
        <is>
          <t>VAGGERYD</t>
        </is>
      </c>
      <c r="G6939" t="n">
        <v>0.8</v>
      </c>
      <c r="H6939" t="n">
        <v>0</v>
      </c>
      <c r="I6939" t="n">
        <v>0</v>
      </c>
      <c r="J6939" t="n">
        <v>0</v>
      </c>
      <c r="K6939" t="n">
        <v>0</v>
      </c>
      <c r="L6939" t="n">
        <v>0</v>
      </c>
      <c r="M6939" t="n">
        <v>0</v>
      </c>
      <c r="N6939" t="n">
        <v>0</v>
      </c>
      <c r="O6939" t="n">
        <v>0</v>
      </c>
      <c r="P6939" t="n">
        <v>0</v>
      </c>
      <c r="Q6939" t="n">
        <v>0</v>
      </c>
      <c r="R6939" s="2" t="inlineStr"/>
    </row>
    <row r="6940" ht="15" customHeight="1">
      <c r="A6940" t="inlineStr">
        <is>
          <t>A 31227-2025</t>
        </is>
      </c>
      <c r="B6940" s="1" t="n">
        <v>45832.80668981482</v>
      </c>
      <c r="C6940" s="1" t="n">
        <v>45962</v>
      </c>
      <c r="D6940" t="inlineStr">
        <is>
          <t>JÖNKÖPINGS LÄN</t>
        </is>
      </c>
      <c r="E6940" t="inlineStr">
        <is>
          <t>GNOSJÖ</t>
        </is>
      </c>
      <c r="G6940" t="n">
        <v>1.4</v>
      </c>
      <c r="H6940" t="n">
        <v>0</v>
      </c>
      <c r="I6940" t="n">
        <v>0</v>
      </c>
      <c r="J6940" t="n">
        <v>0</v>
      </c>
      <c r="K6940" t="n">
        <v>0</v>
      </c>
      <c r="L6940" t="n">
        <v>0</v>
      </c>
      <c r="M6940" t="n">
        <v>0</v>
      </c>
      <c r="N6940" t="n">
        <v>0</v>
      </c>
      <c r="O6940" t="n">
        <v>0</v>
      </c>
      <c r="P6940" t="n">
        <v>0</v>
      </c>
      <c r="Q6940" t="n">
        <v>0</v>
      </c>
      <c r="R6940" s="2" t="inlineStr"/>
    </row>
    <row r="6941" ht="15" customHeight="1">
      <c r="A6941" t="inlineStr">
        <is>
          <t>A 59050-2021</t>
        </is>
      </c>
      <c r="B6941" s="1" t="n">
        <v>44490.36371527778</v>
      </c>
      <c r="C6941" s="1" t="n">
        <v>45962</v>
      </c>
      <c r="D6941" t="inlineStr">
        <is>
          <t>JÖNKÖPINGS LÄN</t>
        </is>
      </c>
      <c r="E6941" t="inlineStr">
        <is>
          <t>EKSJÖ</t>
        </is>
      </c>
      <c r="G6941" t="n">
        <v>1.1</v>
      </c>
      <c r="H6941" t="n">
        <v>0</v>
      </c>
      <c r="I6941" t="n">
        <v>0</v>
      </c>
      <c r="J6941" t="n">
        <v>0</v>
      </c>
      <c r="K6941" t="n">
        <v>0</v>
      </c>
      <c r="L6941" t="n">
        <v>0</v>
      </c>
      <c r="M6941" t="n">
        <v>0</v>
      </c>
      <c r="N6941" t="n">
        <v>0</v>
      </c>
      <c r="O6941" t="n">
        <v>0</v>
      </c>
      <c r="P6941" t="n">
        <v>0</v>
      </c>
      <c r="Q6941" t="n">
        <v>0</v>
      </c>
      <c r="R6941" s="2" t="inlineStr"/>
    </row>
    <row r="6942" ht="15" customHeight="1">
      <c r="A6942" t="inlineStr">
        <is>
          <t>A 10049-2024</t>
        </is>
      </c>
      <c r="B6942" s="1" t="n">
        <v>45364.31883101852</v>
      </c>
      <c r="C6942" s="1" t="n">
        <v>45962</v>
      </c>
      <c r="D6942" t="inlineStr">
        <is>
          <t>JÖNKÖPINGS LÄN</t>
        </is>
      </c>
      <c r="E6942" t="inlineStr">
        <is>
          <t>GISLAVED</t>
        </is>
      </c>
      <c r="G6942" t="n">
        <v>1.2</v>
      </c>
      <c r="H6942" t="n">
        <v>0</v>
      </c>
      <c r="I6942" t="n">
        <v>0</v>
      </c>
      <c r="J6942" t="n">
        <v>0</v>
      </c>
      <c r="K6942" t="n">
        <v>0</v>
      </c>
      <c r="L6942" t="n">
        <v>0</v>
      </c>
      <c r="M6942" t="n">
        <v>0</v>
      </c>
      <c r="N6942" t="n">
        <v>0</v>
      </c>
      <c r="O6942" t="n">
        <v>0</v>
      </c>
      <c r="P6942" t="n">
        <v>0</v>
      </c>
      <c r="Q6942" t="n">
        <v>0</v>
      </c>
      <c r="R6942" s="2" t="inlineStr"/>
    </row>
    <row r="6943" ht="15" customHeight="1">
      <c r="A6943" t="inlineStr">
        <is>
          <t>A 49972-2025</t>
        </is>
      </c>
      <c r="B6943" s="1" t="n">
        <v>45942.47396990741</v>
      </c>
      <c r="C6943" s="1" t="n">
        <v>45962</v>
      </c>
      <c r="D6943" t="inlineStr">
        <is>
          <t>JÖNKÖPINGS LÄN</t>
        </is>
      </c>
      <c r="E6943" t="inlineStr">
        <is>
          <t>NÄSSJÖ</t>
        </is>
      </c>
      <c r="G6943" t="n">
        <v>1.9</v>
      </c>
      <c r="H6943" t="n">
        <v>0</v>
      </c>
      <c r="I6943" t="n">
        <v>0</v>
      </c>
      <c r="J6943" t="n">
        <v>0</v>
      </c>
      <c r="K6943" t="n">
        <v>0</v>
      </c>
      <c r="L6943" t="n">
        <v>0</v>
      </c>
      <c r="M6943" t="n">
        <v>0</v>
      </c>
      <c r="N6943" t="n">
        <v>0</v>
      </c>
      <c r="O6943" t="n">
        <v>0</v>
      </c>
      <c r="P6943" t="n">
        <v>0</v>
      </c>
      <c r="Q6943" t="n">
        <v>0</v>
      </c>
      <c r="R6943" s="2" t="inlineStr"/>
    </row>
    <row r="6944" ht="15" customHeight="1">
      <c r="A6944" t="inlineStr">
        <is>
          <t>A 26378-2022</t>
        </is>
      </c>
      <c r="B6944" s="1" t="n">
        <v>44735</v>
      </c>
      <c r="C6944" s="1" t="n">
        <v>45962</v>
      </c>
      <c r="D6944" t="inlineStr">
        <is>
          <t>JÖNKÖPINGS LÄN</t>
        </is>
      </c>
      <c r="E6944" t="inlineStr">
        <is>
          <t>JÖNKÖPING</t>
        </is>
      </c>
      <c r="G6944" t="n">
        <v>1.5</v>
      </c>
      <c r="H6944" t="n">
        <v>0</v>
      </c>
      <c r="I6944" t="n">
        <v>0</v>
      </c>
      <c r="J6944" t="n">
        <v>0</v>
      </c>
      <c r="K6944" t="n">
        <v>0</v>
      </c>
      <c r="L6944" t="n">
        <v>0</v>
      </c>
      <c r="M6944" t="n">
        <v>0</v>
      </c>
      <c r="N6944" t="n">
        <v>0</v>
      </c>
      <c r="O6944" t="n">
        <v>0</v>
      </c>
      <c r="P6944" t="n">
        <v>0</v>
      </c>
      <c r="Q6944" t="n">
        <v>0</v>
      </c>
      <c r="R6944" s="2" t="inlineStr"/>
    </row>
    <row r="6945" ht="15" customHeight="1">
      <c r="A6945" t="inlineStr">
        <is>
          <t>A 57373-2023</t>
        </is>
      </c>
      <c r="B6945" s="1" t="n">
        <v>45245</v>
      </c>
      <c r="C6945" s="1" t="n">
        <v>45962</v>
      </c>
      <c r="D6945" t="inlineStr">
        <is>
          <t>JÖNKÖPINGS LÄN</t>
        </is>
      </c>
      <c r="E6945" t="inlineStr">
        <is>
          <t>VÄRNAMO</t>
        </is>
      </c>
      <c r="G6945" t="n">
        <v>0.4</v>
      </c>
      <c r="H6945" t="n">
        <v>0</v>
      </c>
      <c r="I6945" t="n">
        <v>0</v>
      </c>
      <c r="J6945" t="n">
        <v>0</v>
      </c>
      <c r="K6945" t="n">
        <v>0</v>
      </c>
      <c r="L6945" t="n">
        <v>0</v>
      </c>
      <c r="M6945" t="n">
        <v>0</v>
      </c>
      <c r="N6945" t="n">
        <v>0</v>
      </c>
      <c r="O6945" t="n">
        <v>0</v>
      </c>
      <c r="P6945" t="n">
        <v>0</v>
      </c>
      <c r="Q6945" t="n">
        <v>0</v>
      </c>
      <c r="R6945" s="2" t="inlineStr"/>
    </row>
    <row r="6946" ht="15" customHeight="1">
      <c r="A6946" t="inlineStr">
        <is>
          <t>A 58345-2021</t>
        </is>
      </c>
      <c r="B6946" s="1" t="n">
        <v>44488.41871527778</v>
      </c>
      <c r="C6946" s="1" t="n">
        <v>45962</v>
      </c>
      <c r="D6946" t="inlineStr">
        <is>
          <t>JÖNKÖPINGS LÄN</t>
        </is>
      </c>
      <c r="E6946" t="inlineStr">
        <is>
          <t>VETLANDA</t>
        </is>
      </c>
      <c r="G6946" t="n">
        <v>1.1</v>
      </c>
      <c r="H6946" t="n">
        <v>0</v>
      </c>
      <c r="I6946" t="n">
        <v>0</v>
      </c>
      <c r="J6946" t="n">
        <v>0</v>
      </c>
      <c r="K6946" t="n">
        <v>0</v>
      </c>
      <c r="L6946" t="n">
        <v>0</v>
      </c>
      <c r="M6946" t="n">
        <v>0</v>
      </c>
      <c r="N6946" t="n">
        <v>0</v>
      </c>
      <c r="O6946" t="n">
        <v>0</v>
      </c>
      <c r="P6946" t="n">
        <v>0</v>
      </c>
      <c r="Q6946" t="n">
        <v>0</v>
      </c>
      <c r="R6946" s="2" t="inlineStr"/>
    </row>
    <row r="6947" ht="15" customHeight="1">
      <c r="A6947" t="inlineStr">
        <is>
          <t>A 26436-2025</t>
        </is>
      </c>
      <c r="B6947" s="1" t="n">
        <v>45807.39909722222</v>
      </c>
      <c r="C6947" s="1" t="n">
        <v>45962</v>
      </c>
      <c r="D6947" t="inlineStr">
        <is>
          <t>JÖNKÖPINGS LÄN</t>
        </is>
      </c>
      <c r="E6947" t="inlineStr">
        <is>
          <t>VÄRNAMO</t>
        </is>
      </c>
      <c r="G6947" t="n">
        <v>1.8</v>
      </c>
      <c r="H6947" t="n">
        <v>0</v>
      </c>
      <c r="I6947" t="n">
        <v>0</v>
      </c>
      <c r="J6947" t="n">
        <v>0</v>
      </c>
      <c r="K6947" t="n">
        <v>0</v>
      </c>
      <c r="L6947" t="n">
        <v>0</v>
      </c>
      <c r="M6947" t="n">
        <v>0</v>
      </c>
      <c r="N6947" t="n">
        <v>0</v>
      </c>
      <c r="O6947" t="n">
        <v>0</v>
      </c>
      <c r="P6947" t="n">
        <v>0</v>
      </c>
      <c r="Q6947" t="n">
        <v>0</v>
      </c>
      <c r="R6947" s="2" t="inlineStr"/>
    </row>
    <row r="6948" ht="15" customHeight="1">
      <c r="A6948" t="inlineStr">
        <is>
          <t>A 57239-2024</t>
        </is>
      </c>
      <c r="B6948" s="1" t="n">
        <v>45629.54733796296</v>
      </c>
      <c r="C6948" s="1" t="n">
        <v>45962</v>
      </c>
      <c r="D6948" t="inlineStr">
        <is>
          <t>JÖNKÖPINGS LÄN</t>
        </is>
      </c>
      <c r="E6948" t="inlineStr">
        <is>
          <t>GISLAVED</t>
        </is>
      </c>
      <c r="G6948" t="n">
        <v>2.4</v>
      </c>
      <c r="H6948" t="n">
        <v>0</v>
      </c>
      <c r="I6948" t="n">
        <v>0</v>
      </c>
      <c r="J6948" t="n">
        <v>0</v>
      </c>
      <c r="K6948" t="n">
        <v>0</v>
      </c>
      <c r="L6948" t="n">
        <v>0</v>
      </c>
      <c r="M6948" t="n">
        <v>0</v>
      </c>
      <c r="N6948" t="n">
        <v>0</v>
      </c>
      <c r="O6948" t="n">
        <v>0</v>
      </c>
      <c r="P6948" t="n">
        <v>0</v>
      </c>
      <c r="Q6948" t="n">
        <v>0</v>
      </c>
      <c r="R6948" s="2" t="inlineStr"/>
    </row>
    <row r="6949" ht="15" customHeight="1">
      <c r="A6949" t="inlineStr">
        <is>
          <t>A 56569-2022</t>
        </is>
      </c>
      <c r="B6949" s="1" t="n">
        <v>44893.50922453704</v>
      </c>
      <c r="C6949" s="1" t="n">
        <v>45962</v>
      </c>
      <c r="D6949" t="inlineStr">
        <is>
          <t>JÖNKÖPINGS LÄN</t>
        </is>
      </c>
      <c r="E6949" t="inlineStr">
        <is>
          <t>JÖNKÖPING</t>
        </is>
      </c>
      <c r="F6949" t="inlineStr">
        <is>
          <t>Sveaskog</t>
        </is>
      </c>
      <c r="G6949" t="n">
        <v>1</v>
      </c>
      <c r="H6949" t="n">
        <v>0</v>
      </c>
      <c r="I6949" t="n">
        <v>0</v>
      </c>
      <c r="J6949" t="n">
        <v>0</v>
      </c>
      <c r="K6949" t="n">
        <v>0</v>
      </c>
      <c r="L6949" t="n">
        <v>0</v>
      </c>
      <c r="M6949" t="n">
        <v>0</v>
      </c>
      <c r="N6949" t="n">
        <v>0</v>
      </c>
      <c r="O6949" t="n">
        <v>0</v>
      </c>
      <c r="P6949" t="n">
        <v>0</v>
      </c>
      <c r="Q6949" t="n">
        <v>0</v>
      </c>
      <c r="R6949" s="2" t="inlineStr"/>
    </row>
    <row r="6950" ht="15" customHeight="1">
      <c r="A6950" t="inlineStr">
        <is>
          <t>A 41243-2025</t>
        </is>
      </c>
      <c r="B6950" s="1" t="n">
        <v>45898</v>
      </c>
      <c r="C6950" s="1" t="n">
        <v>45962</v>
      </c>
      <c r="D6950" t="inlineStr">
        <is>
          <t>JÖNKÖPINGS LÄN</t>
        </is>
      </c>
      <c r="E6950" t="inlineStr">
        <is>
          <t>GISLAVED</t>
        </is>
      </c>
      <c r="F6950" t="inlineStr">
        <is>
          <t>Kyrkan</t>
        </is>
      </c>
      <c r="G6950" t="n">
        <v>16.5</v>
      </c>
      <c r="H6950" t="n">
        <v>0</v>
      </c>
      <c r="I6950" t="n">
        <v>0</v>
      </c>
      <c r="J6950" t="n">
        <v>0</v>
      </c>
      <c r="K6950" t="n">
        <v>0</v>
      </c>
      <c r="L6950" t="n">
        <v>0</v>
      </c>
      <c r="M6950" t="n">
        <v>0</v>
      </c>
      <c r="N6950" t="n">
        <v>0</v>
      </c>
      <c r="O6950" t="n">
        <v>0</v>
      </c>
      <c r="P6950" t="n">
        <v>0</v>
      </c>
      <c r="Q6950" t="n">
        <v>0</v>
      </c>
      <c r="R6950" s="2" t="inlineStr"/>
    </row>
    <row r="6951" ht="15" customHeight="1">
      <c r="A6951" t="inlineStr">
        <is>
          <t>A 56625-2022</t>
        </is>
      </c>
      <c r="B6951" s="1" t="n">
        <v>44893.60265046296</v>
      </c>
      <c r="C6951" s="1" t="n">
        <v>45962</v>
      </c>
      <c r="D6951" t="inlineStr">
        <is>
          <t>JÖNKÖPINGS LÄN</t>
        </is>
      </c>
      <c r="E6951" t="inlineStr">
        <is>
          <t>GNOSJÖ</t>
        </is>
      </c>
      <c r="G6951" t="n">
        <v>0.7</v>
      </c>
      <c r="H6951" t="n">
        <v>0</v>
      </c>
      <c r="I6951" t="n">
        <v>0</v>
      </c>
      <c r="J6951" t="n">
        <v>0</v>
      </c>
      <c r="K6951" t="n">
        <v>0</v>
      </c>
      <c r="L6951" t="n">
        <v>0</v>
      </c>
      <c r="M6951" t="n">
        <v>0</v>
      </c>
      <c r="N6951" t="n">
        <v>0</v>
      </c>
      <c r="O6951" t="n">
        <v>0</v>
      </c>
      <c r="P6951" t="n">
        <v>0</v>
      </c>
      <c r="Q6951" t="n">
        <v>0</v>
      </c>
      <c r="R6951" s="2" t="inlineStr"/>
    </row>
    <row r="6952" ht="15" customHeight="1">
      <c r="A6952" t="inlineStr">
        <is>
          <t>A 5706-2025</t>
        </is>
      </c>
      <c r="B6952" s="1" t="n">
        <v>45694.43865740741</v>
      </c>
      <c r="C6952" s="1" t="n">
        <v>45962</v>
      </c>
      <c r="D6952" t="inlineStr">
        <is>
          <t>JÖNKÖPINGS LÄN</t>
        </is>
      </c>
      <c r="E6952" t="inlineStr">
        <is>
          <t>SÄVSJÖ</t>
        </is>
      </c>
      <c r="G6952" t="n">
        <v>1.5</v>
      </c>
      <c r="H6952" t="n">
        <v>0</v>
      </c>
      <c r="I6952" t="n">
        <v>0</v>
      </c>
      <c r="J6952" t="n">
        <v>0</v>
      </c>
      <c r="K6952" t="n">
        <v>0</v>
      </c>
      <c r="L6952" t="n">
        <v>0</v>
      </c>
      <c r="M6952" t="n">
        <v>0</v>
      </c>
      <c r="N6952" t="n">
        <v>0</v>
      </c>
      <c r="O6952" t="n">
        <v>0</v>
      </c>
      <c r="P6952" t="n">
        <v>0</v>
      </c>
      <c r="Q6952" t="n">
        <v>0</v>
      </c>
      <c r="R6952" s="2" t="inlineStr"/>
    </row>
    <row r="6953" ht="15" customHeight="1">
      <c r="A6953" t="inlineStr">
        <is>
          <t>A 5708-2025</t>
        </is>
      </c>
      <c r="B6953" s="1" t="n">
        <v>45694.45162037037</v>
      </c>
      <c r="C6953" s="1" t="n">
        <v>45962</v>
      </c>
      <c r="D6953" t="inlineStr">
        <is>
          <t>JÖNKÖPINGS LÄN</t>
        </is>
      </c>
      <c r="E6953" t="inlineStr">
        <is>
          <t>SÄVSJÖ</t>
        </is>
      </c>
      <c r="G6953" t="n">
        <v>0.6</v>
      </c>
      <c r="H6953" t="n">
        <v>0</v>
      </c>
      <c r="I6953" t="n">
        <v>0</v>
      </c>
      <c r="J6953" t="n">
        <v>0</v>
      </c>
      <c r="K6953" t="n">
        <v>0</v>
      </c>
      <c r="L6953" t="n">
        <v>0</v>
      </c>
      <c r="M6953" t="n">
        <v>0</v>
      </c>
      <c r="N6953" t="n">
        <v>0</v>
      </c>
      <c r="O6953" t="n">
        <v>0</v>
      </c>
      <c r="P6953" t="n">
        <v>0</v>
      </c>
      <c r="Q6953" t="n">
        <v>0</v>
      </c>
      <c r="R6953" s="2" t="inlineStr"/>
    </row>
    <row r="6954" ht="15" customHeight="1">
      <c r="A6954" t="inlineStr">
        <is>
          <t>A 55486-2023</t>
        </is>
      </c>
      <c r="B6954" s="1" t="n">
        <v>45231</v>
      </c>
      <c r="C6954" s="1" t="n">
        <v>45962</v>
      </c>
      <c r="D6954" t="inlineStr">
        <is>
          <t>JÖNKÖPINGS LÄN</t>
        </is>
      </c>
      <c r="E6954" t="inlineStr">
        <is>
          <t>GISLAVED</t>
        </is>
      </c>
      <c r="G6954" t="n">
        <v>2.7</v>
      </c>
      <c r="H6954" t="n">
        <v>0</v>
      </c>
      <c r="I6954" t="n">
        <v>0</v>
      </c>
      <c r="J6954" t="n">
        <v>0</v>
      </c>
      <c r="K6954" t="n">
        <v>0</v>
      </c>
      <c r="L6954" t="n">
        <v>0</v>
      </c>
      <c r="M6954" t="n">
        <v>0</v>
      </c>
      <c r="N6954" t="n">
        <v>0</v>
      </c>
      <c r="O6954" t="n">
        <v>0</v>
      </c>
      <c r="P6954" t="n">
        <v>0</v>
      </c>
      <c r="Q6954" t="n">
        <v>0</v>
      </c>
      <c r="R6954" s="2" t="inlineStr"/>
    </row>
    <row r="6955" ht="15" customHeight="1">
      <c r="A6955" t="inlineStr">
        <is>
          <t>A 5875-2025</t>
        </is>
      </c>
      <c r="B6955" s="1" t="n">
        <v>45695.36819444445</v>
      </c>
      <c r="C6955" s="1" t="n">
        <v>45962</v>
      </c>
      <c r="D6955" t="inlineStr">
        <is>
          <t>JÖNKÖPINGS LÄN</t>
        </is>
      </c>
      <c r="E6955" t="inlineStr">
        <is>
          <t>SÄVSJÖ</t>
        </is>
      </c>
      <c r="G6955" t="n">
        <v>0.8</v>
      </c>
      <c r="H6955" t="n">
        <v>0</v>
      </c>
      <c r="I6955" t="n">
        <v>0</v>
      </c>
      <c r="J6955" t="n">
        <v>0</v>
      </c>
      <c r="K6955" t="n">
        <v>0</v>
      </c>
      <c r="L6955" t="n">
        <v>0</v>
      </c>
      <c r="M6955" t="n">
        <v>0</v>
      </c>
      <c r="N6955" t="n">
        <v>0</v>
      </c>
      <c r="O6955" t="n">
        <v>0</v>
      </c>
      <c r="P6955" t="n">
        <v>0</v>
      </c>
      <c r="Q6955" t="n">
        <v>0</v>
      </c>
      <c r="R6955" s="2" t="inlineStr"/>
    </row>
    <row r="6956" ht="15" customHeight="1">
      <c r="A6956" t="inlineStr">
        <is>
          <t>A 57946-2024</t>
        </is>
      </c>
      <c r="B6956" s="1" t="n">
        <v>45631.55684027778</v>
      </c>
      <c r="C6956" s="1" t="n">
        <v>45962</v>
      </c>
      <c r="D6956" t="inlineStr">
        <is>
          <t>JÖNKÖPINGS LÄN</t>
        </is>
      </c>
      <c r="E6956" t="inlineStr">
        <is>
          <t>VETLANDA</t>
        </is>
      </c>
      <c r="G6956" t="n">
        <v>1.8</v>
      </c>
      <c r="H6956" t="n">
        <v>0</v>
      </c>
      <c r="I6956" t="n">
        <v>0</v>
      </c>
      <c r="J6956" t="n">
        <v>0</v>
      </c>
      <c r="K6956" t="n">
        <v>0</v>
      </c>
      <c r="L6956" t="n">
        <v>0</v>
      </c>
      <c r="M6956" t="n">
        <v>0</v>
      </c>
      <c r="N6956" t="n">
        <v>0</v>
      </c>
      <c r="O6956" t="n">
        <v>0</v>
      </c>
      <c r="P6956" t="n">
        <v>0</v>
      </c>
      <c r="Q6956" t="n">
        <v>0</v>
      </c>
      <c r="R6956" s="2" t="inlineStr"/>
    </row>
    <row r="6957" ht="15" customHeight="1">
      <c r="A6957" t="inlineStr">
        <is>
          <t>A 41256-2025</t>
        </is>
      </c>
      <c r="B6957" s="1" t="n">
        <v>45898.60837962963</v>
      </c>
      <c r="C6957" s="1" t="n">
        <v>45962</v>
      </c>
      <c r="D6957" t="inlineStr">
        <is>
          <t>JÖNKÖPINGS LÄN</t>
        </is>
      </c>
      <c r="E6957" t="inlineStr">
        <is>
          <t>SÄVSJÖ</t>
        </is>
      </c>
      <c r="G6957" t="n">
        <v>0.7</v>
      </c>
      <c r="H6957" t="n">
        <v>0</v>
      </c>
      <c r="I6957" t="n">
        <v>0</v>
      </c>
      <c r="J6957" t="n">
        <v>0</v>
      </c>
      <c r="K6957" t="n">
        <v>0</v>
      </c>
      <c r="L6957" t="n">
        <v>0</v>
      </c>
      <c r="M6957" t="n">
        <v>0</v>
      </c>
      <c r="N6957" t="n">
        <v>0</v>
      </c>
      <c r="O6957" t="n">
        <v>0</v>
      </c>
      <c r="P6957" t="n">
        <v>0</v>
      </c>
      <c r="Q6957" t="n">
        <v>0</v>
      </c>
      <c r="R6957" s="2" t="inlineStr"/>
    </row>
    <row r="6958" ht="15" customHeight="1">
      <c r="A6958" t="inlineStr">
        <is>
          <t>A 57999-2024</t>
        </is>
      </c>
      <c r="B6958" s="1" t="n">
        <v>45631.63677083333</v>
      </c>
      <c r="C6958" s="1" t="n">
        <v>45962</v>
      </c>
      <c r="D6958" t="inlineStr">
        <is>
          <t>JÖNKÖPINGS LÄN</t>
        </is>
      </c>
      <c r="E6958" t="inlineStr">
        <is>
          <t>HABO</t>
        </is>
      </c>
      <c r="G6958" t="n">
        <v>1.1</v>
      </c>
      <c r="H6958" t="n">
        <v>0</v>
      </c>
      <c r="I6958" t="n">
        <v>0</v>
      </c>
      <c r="J6958" t="n">
        <v>0</v>
      </c>
      <c r="K6958" t="n">
        <v>0</v>
      </c>
      <c r="L6958" t="n">
        <v>0</v>
      </c>
      <c r="M6958" t="n">
        <v>0</v>
      </c>
      <c r="N6958" t="n">
        <v>0</v>
      </c>
      <c r="O6958" t="n">
        <v>0</v>
      </c>
      <c r="P6958" t="n">
        <v>0</v>
      </c>
      <c r="Q6958" t="n">
        <v>0</v>
      </c>
      <c r="R6958" s="2" t="inlineStr"/>
    </row>
    <row r="6959" ht="15" customHeight="1">
      <c r="A6959" t="inlineStr">
        <is>
          <t>A 41320-2025</t>
        </is>
      </c>
      <c r="B6959" s="1" t="n">
        <v>45898.84240740741</v>
      </c>
      <c r="C6959" s="1" t="n">
        <v>45962</v>
      </c>
      <c r="D6959" t="inlineStr">
        <is>
          <t>JÖNKÖPINGS LÄN</t>
        </is>
      </c>
      <c r="E6959" t="inlineStr">
        <is>
          <t>SÄVSJÖ</t>
        </is>
      </c>
      <c r="G6959" t="n">
        <v>1.2</v>
      </c>
      <c r="H6959" t="n">
        <v>0</v>
      </c>
      <c r="I6959" t="n">
        <v>0</v>
      </c>
      <c r="J6959" t="n">
        <v>0</v>
      </c>
      <c r="K6959" t="n">
        <v>0</v>
      </c>
      <c r="L6959" t="n">
        <v>0</v>
      </c>
      <c r="M6959" t="n">
        <v>0</v>
      </c>
      <c r="N6959" t="n">
        <v>0</v>
      </c>
      <c r="O6959" t="n">
        <v>0</v>
      </c>
      <c r="P6959" t="n">
        <v>0</v>
      </c>
      <c r="Q6959" t="n">
        <v>0</v>
      </c>
      <c r="R6959" s="2" t="inlineStr"/>
    </row>
    <row r="6960" ht="15" customHeight="1">
      <c r="A6960" t="inlineStr">
        <is>
          <t>A 41325-2025</t>
        </is>
      </c>
      <c r="B6960" s="1" t="n">
        <v>45899.26381944444</v>
      </c>
      <c r="C6960" s="1" t="n">
        <v>45962</v>
      </c>
      <c r="D6960" t="inlineStr">
        <is>
          <t>JÖNKÖPINGS LÄN</t>
        </is>
      </c>
      <c r="E6960" t="inlineStr">
        <is>
          <t>NÄSSJÖ</t>
        </is>
      </c>
      <c r="G6960" t="n">
        <v>1.4</v>
      </c>
      <c r="H6960" t="n">
        <v>0</v>
      </c>
      <c r="I6960" t="n">
        <v>0</v>
      </c>
      <c r="J6960" t="n">
        <v>0</v>
      </c>
      <c r="K6960" t="n">
        <v>0</v>
      </c>
      <c r="L6960" t="n">
        <v>0</v>
      </c>
      <c r="M6960" t="n">
        <v>0</v>
      </c>
      <c r="N6960" t="n">
        <v>0</v>
      </c>
      <c r="O6960" t="n">
        <v>0</v>
      </c>
      <c r="P6960" t="n">
        <v>0</v>
      </c>
      <c r="Q6960" t="n">
        <v>0</v>
      </c>
      <c r="R6960" s="2" t="inlineStr"/>
    </row>
    <row r="6961" ht="15" customHeight="1">
      <c r="A6961" t="inlineStr">
        <is>
          <t>A 7177-2022</t>
        </is>
      </c>
      <c r="B6961" s="1" t="n">
        <v>44605.45792824074</v>
      </c>
      <c r="C6961" s="1" t="n">
        <v>45962</v>
      </c>
      <c r="D6961" t="inlineStr">
        <is>
          <t>JÖNKÖPINGS LÄN</t>
        </is>
      </c>
      <c r="E6961" t="inlineStr">
        <is>
          <t>JÖNKÖPING</t>
        </is>
      </c>
      <c r="G6961" t="n">
        <v>1.9</v>
      </c>
      <c r="H6961" t="n">
        <v>0</v>
      </c>
      <c r="I6961" t="n">
        <v>0</v>
      </c>
      <c r="J6961" t="n">
        <v>0</v>
      </c>
      <c r="K6961" t="n">
        <v>0</v>
      </c>
      <c r="L6961" t="n">
        <v>0</v>
      </c>
      <c r="M6961" t="n">
        <v>0</v>
      </c>
      <c r="N6961" t="n">
        <v>0</v>
      </c>
      <c r="O6961" t="n">
        <v>0</v>
      </c>
      <c r="P6961" t="n">
        <v>0</v>
      </c>
      <c r="Q6961" t="n">
        <v>0</v>
      </c>
      <c r="R6961" s="2" t="inlineStr"/>
    </row>
    <row r="6962" ht="15" customHeight="1">
      <c r="A6962" t="inlineStr">
        <is>
          <t>A 41251-2025</t>
        </is>
      </c>
      <c r="B6962" s="1" t="n">
        <v>45898.605625</v>
      </c>
      <c r="C6962" s="1" t="n">
        <v>45962</v>
      </c>
      <c r="D6962" t="inlineStr">
        <is>
          <t>JÖNKÖPINGS LÄN</t>
        </is>
      </c>
      <c r="E6962" t="inlineStr">
        <is>
          <t>SÄVSJÖ</t>
        </is>
      </c>
      <c r="G6962" t="n">
        <v>0.7</v>
      </c>
      <c r="H6962" t="n">
        <v>0</v>
      </c>
      <c r="I6962" t="n">
        <v>0</v>
      </c>
      <c r="J6962" t="n">
        <v>0</v>
      </c>
      <c r="K6962" t="n">
        <v>0</v>
      </c>
      <c r="L6962" t="n">
        <v>0</v>
      </c>
      <c r="M6962" t="n">
        <v>0</v>
      </c>
      <c r="N6962" t="n">
        <v>0</v>
      </c>
      <c r="O6962" t="n">
        <v>0</v>
      </c>
      <c r="P6962" t="n">
        <v>0</v>
      </c>
      <c r="Q6962" t="n">
        <v>0</v>
      </c>
      <c r="R6962" s="2" t="inlineStr"/>
    </row>
    <row r="6963" ht="15" customHeight="1">
      <c r="A6963" t="inlineStr">
        <is>
          <t>A 41252-2025</t>
        </is>
      </c>
      <c r="B6963" s="1" t="n">
        <v>45898.60689814815</v>
      </c>
      <c r="C6963" s="1" t="n">
        <v>45962</v>
      </c>
      <c r="D6963" t="inlineStr">
        <is>
          <t>JÖNKÖPINGS LÄN</t>
        </is>
      </c>
      <c r="E6963" t="inlineStr">
        <is>
          <t>VÄRNAMO</t>
        </is>
      </c>
      <c r="G6963" t="n">
        <v>0.8</v>
      </c>
      <c r="H6963" t="n">
        <v>0</v>
      </c>
      <c r="I6963" t="n">
        <v>0</v>
      </c>
      <c r="J6963" t="n">
        <v>0</v>
      </c>
      <c r="K6963" t="n">
        <v>0</v>
      </c>
      <c r="L6963" t="n">
        <v>0</v>
      </c>
      <c r="M6963" t="n">
        <v>0</v>
      </c>
      <c r="N6963" t="n">
        <v>0</v>
      </c>
      <c r="O6963" t="n">
        <v>0</v>
      </c>
      <c r="P6963" t="n">
        <v>0</v>
      </c>
      <c r="Q6963" t="n">
        <v>0</v>
      </c>
      <c r="R6963" s="2" t="inlineStr"/>
    </row>
    <row r="6964" ht="15" customHeight="1">
      <c r="A6964" t="inlineStr">
        <is>
          <t>A 41038-2025</t>
        </is>
      </c>
      <c r="B6964" s="1" t="n">
        <v>45898.38814814815</v>
      </c>
      <c r="C6964" s="1" t="n">
        <v>45962</v>
      </c>
      <c r="D6964" t="inlineStr">
        <is>
          <t>JÖNKÖPINGS LÄN</t>
        </is>
      </c>
      <c r="E6964" t="inlineStr">
        <is>
          <t>EKSJÖ</t>
        </is>
      </c>
      <c r="F6964" t="inlineStr">
        <is>
          <t>Sveaskog</t>
        </is>
      </c>
      <c r="G6964" t="n">
        <v>1.2</v>
      </c>
      <c r="H6964" t="n">
        <v>0</v>
      </c>
      <c r="I6964" t="n">
        <v>0</v>
      </c>
      <c r="J6964" t="n">
        <v>0</v>
      </c>
      <c r="K6964" t="n">
        <v>0</v>
      </c>
      <c r="L6964" t="n">
        <v>0</v>
      </c>
      <c r="M6964" t="n">
        <v>0</v>
      </c>
      <c r="N6964" t="n">
        <v>0</v>
      </c>
      <c r="O6964" t="n">
        <v>0</v>
      </c>
      <c r="P6964" t="n">
        <v>0</v>
      </c>
      <c r="Q6964" t="n">
        <v>0</v>
      </c>
      <c r="R6964" s="2" t="inlineStr"/>
    </row>
    <row r="6965" ht="15" customHeight="1">
      <c r="A6965" t="inlineStr">
        <is>
          <t>A 23535-2023</t>
        </is>
      </c>
      <c r="B6965" s="1" t="n">
        <v>45076.99148148148</v>
      </c>
      <c r="C6965" s="1" t="n">
        <v>45962</v>
      </c>
      <c r="D6965" t="inlineStr">
        <is>
          <t>JÖNKÖPINGS LÄN</t>
        </is>
      </c>
      <c r="E6965" t="inlineStr">
        <is>
          <t>EKSJÖ</t>
        </is>
      </c>
      <c r="G6965" t="n">
        <v>0.8</v>
      </c>
      <c r="H6965" t="n">
        <v>0</v>
      </c>
      <c r="I6965" t="n">
        <v>0</v>
      </c>
      <c r="J6965" t="n">
        <v>0</v>
      </c>
      <c r="K6965" t="n">
        <v>0</v>
      </c>
      <c r="L6965" t="n">
        <v>0</v>
      </c>
      <c r="M6965" t="n">
        <v>0</v>
      </c>
      <c r="N6965" t="n">
        <v>0</v>
      </c>
      <c r="O6965" t="n">
        <v>0</v>
      </c>
      <c r="P6965" t="n">
        <v>0</v>
      </c>
      <c r="Q6965" t="n">
        <v>0</v>
      </c>
      <c r="R6965" s="2" t="inlineStr"/>
    </row>
    <row r="6966" ht="15" customHeight="1">
      <c r="A6966" t="inlineStr">
        <is>
          <t>A 41116-2025</t>
        </is>
      </c>
      <c r="B6966" s="1" t="n">
        <v>45898.46327546296</v>
      </c>
      <c r="C6966" s="1" t="n">
        <v>45962</v>
      </c>
      <c r="D6966" t="inlineStr">
        <is>
          <t>JÖNKÖPINGS LÄN</t>
        </is>
      </c>
      <c r="E6966" t="inlineStr">
        <is>
          <t>JÖNKÖPING</t>
        </is>
      </c>
      <c r="G6966" t="n">
        <v>0.3</v>
      </c>
      <c r="H6966" t="n">
        <v>0</v>
      </c>
      <c r="I6966" t="n">
        <v>0</v>
      </c>
      <c r="J6966" t="n">
        <v>0</v>
      </c>
      <c r="K6966" t="n">
        <v>0</v>
      </c>
      <c r="L6966" t="n">
        <v>0</v>
      </c>
      <c r="M6966" t="n">
        <v>0</v>
      </c>
      <c r="N6966" t="n">
        <v>0</v>
      </c>
      <c r="O6966" t="n">
        <v>0</v>
      </c>
      <c r="P6966" t="n">
        <v>0</v>
      </c>
      <c r="Q6966" t="n">
        <v>0</v>
      </c>
      <c r="R6966" s="2" t="inlineStr"/>
    </row>
    <row r="6967" ht="15" customHeight="1">
      <c r="A6967" t="inlineStr">
        <is>
          <t>A 41184-2025</t>
        </is>
      </c>
      <c r="B6967" s="1" t="n">
        <v>45898</v>
      </c>
      <c r="C6967" s="1" t="n">
        <v>45962</v>
      </c>
      <c r="D6967" t="inlineStr">
        <is>
          <t>JÖNKÖPINGS LÄN</t>
        </is>
      </c>
      <c r="E6967" t="inlineStr">
        <is>
          <t>VAGGERYD</t>
        </is>
      </c>
      <c r="F6967" t="inlineStr">
        <is>
          <t>Kyrkan</t>
        </is>
      </c>
      <c r="G6967" t="n">
        <v>8.199999999999999</v>
      </c>
      <c r="H6967" t="n">
        <v>0</v>
      </c>
      <c r="I6967" t="n">
        <v>0</v>
      </c>
      <c r="J6967" t="n">
        <v>0</v>
      </c>
      <c r="K6967" t="n">
        <v>0</v>
      </c>
      <c r="L6967" t="n">
        <v>0</v>
      </c>
      <c r="M6967" t="n">
        <v>0</v>
      </c>
      <c r="N6967" t="n">
        <v>0</v>
      </c>
      <c r="O6967" t="n">
        <v>0</v>
      </c>
      <c r="P6967" t="n">
        <v>0</v>
      </c>
      <c r="Q6967" t="n">
        <v>0</v>
      </c>
      <c r="R6967" s="2" t="inlineStr"/>
    </row>
    <row r="6968" ht="15" customHeight="1">
      <c r="A6968" t="inlineStr">
        <is>
          <t>A 22224-2024</t>
        </is>
      </c>
      <c r="B6968" s="1" t="n">
        <v>45446.41450231482</v>
      </c>
      <c r="C6968" s="1" t="n">
        <v>45962</v>
      </c>
      <c r="D6968" t="inlineStr">
        <is>
          <t>JÖNKÖPINGS LÄN</t>
        </is>
      </c>
      <c r="E6968" t="inlineStr">
        <is>
          <t>SÄVSJÖ</t>
        </is>
      </c>
      <c r="G6968" t="n">
        <v>6.3</v>
      </c>
      <c r="H6968" t="n">
        <v>0</v>
      </c>
      <c r="I6968" t="n">
        <v>0</v>
      </c>
      <c r="J6968" t="n">
        <v>0</v>
      </c>
      <c r="K6968" t="n">
        <v>0</v>
      </c>
      <c r="L6968" t="n">
        <v>0</v>
      </c>
      <c r="M6968" t="n">
        <v>0</v>
      </c>
      <c r="N6968" t="n">
        <v>0</v>
      </c>
      <c r="O6968" t="n">
        <v>0</v>
      </c>
      <c r="P6968" t="n">
        <v>0</v>
      </c>
      <c r="Q6968" t="n">
        <v>0</v>
      </c>
      <c r="R6968" s="2" t="inlineStr"/>
    </row>
    <row r="6969" ht="15" customHeight="1">
      <c r="A6969" t="inlineStr">
        <is>
          <t>A 46460-2023</t>
        </is>
      </c>
      <c r="B6969" s="1" t="n">
        <v>45197.61039351852</v>
      </c>
      <c r="C6969" s="1" t="n">
        <v>45962</v>
      </c>
      <c r="D6969" t="inlineStr">
        <is>
          <t>JÖNKÖPINGS LÄN</t>
        </is>
      </c>
      <c r="E6969" t="inlineStr">
        <is>
          <t>JÖNKÖPING</t>
        </is>
      </c>
      <c r="F6969" t="inlineStr">
        <is>
          <t>Sveaskog</t>
        </is>
      </c>
      <c r="G6969" t="n">
        <v>0.7</v>
      </c>
      <c r="H6969" t="n">
        <v>0</v>
      </c>
      <c r="I6969" t="n">
        <v>0</v>
      </c>
      <c r="J6969" t="n">
        <v>0</v>
      </c>
      <c r="K6969" t="n">
        <v>0</v>
      </c>
      <c r="L6969" t="n">
        <v>0</v>
      </c>
      <c r="M6969" t="n">
        <v>0</v>
      </c>
      <c r="N6969" t="n">
        <v>0</v>
      </c>
      <c r="O6969" t="n">
        <v>0</v>
      </c>
      <c r="P6969" t="n">
        <v>0</v>
      </c>
      <c r="Q6969" t="n">
        <v>0</v>
      </c>
      <c r="R6969" s="2" t="inlineStr"/>
    </row>
    <row r="6970" ht="15" customHeight="1">
      <c r="A6970" t="inlineStr">
        <is>
          <t>A 45585-2023</t>
        </is>
      </c>
      <c r="B6970" s="1" t="n">
        <v>45194.62434027778</v>
      </c>
      <c r="C6970" s="1" t="n">
        <v>45962</v>
      </c>
      <c r="D6970" t="inlineStr">
        <is>
          <t>JÖNKÖPINGS LÄN</t>
        </is>
      </c>
      <c r="E6970" t="inlineStr">
        <is>
          <t>VÄRNAMO</t>
        </is>
      </c>
      <c r="G6970" t="n">
        <v>1.3</v>
      </c>
      <c r="H6970" t="n">
        <v>0</v>
      </c>
      <c r="I6970" t="n">
        <v>0</v>
      </c>
      <c r="J6970" t="n">
        <v>0</v>
      </c>
      <c r="K6970" t="n">
        <v>0</v>
      </c>
      <c r="L6970" t="n">
        <v>0</v>
      </c>
      <c r="M6970" t="n">
        <v>0</v>
      </c>
      <c r="N6970" t="n">
        <v>0</v>
      </c>
      <c r="O6970" t="n">
        <v>0</v>
      </c>
      <c r="P6970" t="n">
        <v>0</v>
      </c>
      <c r="Q6970" t="n">
        <v>0</v>
      </c>
      <c r="R6970" s="2" t="inlineStr"/>
    </row>
    <row r="6971" ht="15" customHeight="1">
      <c r="A6971" t="inlineStr">
        <is>
          <t>A 59928-2022</t>
        </is>
      </c>
      <c r="B6971" s="1" t="n">
        <v>44909.34195601852</v>
      </c>
      <c r="C6971" s="1" t="n">
        <v>45962</v>
      </c>
      <c r="D6971" t="inlineStr">
        <is>
          <t>JÖNKÖPINGS LÄN</t>
        </is>
      </c>
      <c r="E6971" t="inlineStr">
        <is>
          <t>HABO</t>
        </is>
      </c>
      <c r="G6971" t="n">
        <v>0.5</v>
      </c>
      <c r="H6971" t="n">
        <v>0</v>
      </c>
      <c r="I6971" t="n">
        <v>0</v>
      </c>
      <c r="J6971" t="n">
        <v>0</v>
      </c>
      <c r="K6971" t="n">
        <v>0</v>
      </c>
      <c r="L6971" t="n">
        <v>0</v>
      </c>
      <c r="M6971" t="n">
        <v>0</v>
      </c>
      <c r="N6971" t="n">
        <v>0</v>
      </c>
      <c r="O6971" t="n">
        <v>0</v>
      </c>
      <c r="P6971" t="n">
        <v>0</v>
      </c>
      <c r="Q6971" t="n">
        <v>0</v>
      </c>
      <c r="R6971" s="2" t="inlineStr"/>
    </row>
    <row r="6972" ht="15" customHeight="1">
      <c r="A6972" t="inlineStr">
        <is>
          <t>A 16214-2024</t>
        </is>
      </c>
      <c r="B6972" s="1" t="n">
        <v>45406.89703703704</v>
      </c>
      <c r="C6972" s="1" t="n">
        <v>45962</v>
      </c>
      <c r="D6972" t="inlineStr">
        <is>
          <t>JÖNKÖPINGS LÄN</t>
        </is>
      </c>
      <c r="E6972" t="inlineStr">
        <is>
          <t>JÖNKÖPING</t>
        </is>
      </c>
      <c r="G6972" t="n">
        <v>0.3</v>
      </c>
      <c r="H6972" t="n">
        <v>0</v>
      </c>
      <c r="I6972" t="n">
        <v>0</v>
      </c>
      <c r="J6972" t="n">
        <v>0</v>
      </c>
      <c r="K6972" t="n">
        <v>0</v>
      </c>
      <c r="L6972" t="n">
        <v>0</v>
      </c>
      <c r="M6972" t="n">
        <v>0</v>
      </c>
      <c r="N6972" t="n">
        <v>0</v>
      </c>
      <c r="O6972" t="n">
        <v>0</v>
      </c>
      <c r="P6972" t="n">
        <v>0</v>
      </c>
      <c r="Q6972" t="n">
        <v>0</v>
      </c>
      <c r="R6972" s="2" t="inlineStr"/>
    </row>
    <row r="6973" ht="15" customHeight="1">
      <c r="A6973" t="inlineStr">
        <is>
          <t>A 30607-2023</t>
        </is>
      </c>
      <c r="B6973" s="1" t="n">
        <v>45112.395625</v>
      </c>
      <c r="C6973" s="1" t="n">
        <v>45962</v>
      </c>
      <c r="D6973" t="inlineStr">
        <is>
          <t>JÖNKÖPINGS LÄN</t>
        </is>
      </c>
      <c r="E6973" t="inlineStr">
        <is>
          <t>VETLANDA</t>
        </is>
      </c>
      <c r="G6973" t="n">
        <v>1.8</v>
      </c>
      <c r="H6973" t="n">
        <v>0</v>
      </c>
      <c r="I6973" t="n">
        <v>0</v>
      </c>
      <c r="J6973" t="n">
        <v>0</v>
      </c>
      <c r="K6973" t="n">
        <v>0</v>
      </c>
      <c r="L6973" t="n">
        <v>0</v>
      </c>
      <c r="M6973" t="n">
        <v>0</v>
      </c>
      <c r="N6973" t="n">
        <v>0</v>
      </c>
      <c r="O6973" t="n">
        <v>0</v>
      </c>
      <c r="P6973" t="n">
        <v>0</v>
      </c>
      <c r="Q6973" t="n">
        <v>0</v>
      </c>
      <c r="R6973" s="2" t="inlineStr"/>
    </row>
    <row r="6974" ht="15" customHeight="1">
      <c r="A6974" t="inlineStr">
        <is>
          <t>A 41524-2025</t>
        </is>
      </c>
      <c r="B6974" s="1" t="n">
        <v>45901</v>
      </c>
      <c r="C6974" s="1" t="n">
        <v>45962</v>
      </c>
      <c r="D6974" t="inlineStr">
        <is>
          <t>JÖNKÖPINGS LÄN</t>
        </is>
      </c>
      <c r="E6974" t="inlineStr">
        <is>
          <t>SÄVSJÖ</t>
        </is>
      </c>
      <c r="G6974" t="n">
        <v>1.3</v>
      </c>
      <c r="H6974" t="n">
        <v>0</v>
      </c>
      <c r="I6974" t="n">
        <v>0</v>
      </c>
      <c r="J6974" t="n">
        <v>0</v>
      </c>
      <c r="K6974" t="n">
        <v>0</v>
      </c>
      <c r="L6974" t="n">
        <v>0</v>
      </c>
      <c r="M6974" t="n">
        <v>0</v>
      </c>
      <c r="N6974" t="n">
        <v>0</v>
      </c>
      <c r="O6974" t="n">
        <v>0</v>
      </c>
      <c r="P6974" t="n">
        <v>0</v>
      </c>
      <c r="Q6974" t="n">
        <v>0</v>
      </c>
      <c r="R6974" s="2" t="inlineStr"/>
    </row>
    <row r="6975" ht="15" customHeight="1">
      <c r="A6975" t="inlineStr">
        <is>
          <t>A 3433-2023</t>
        </is>
      </c>
      <c r="B6975" s="1" t="n">
        <v>44949</v>
      </c>
      <c r="C6975" s="1" t="n">
        <v>45962</v>
      </c>
      <c r="D6975" t="inlineStr">
        <is>
          <t>JÖNKÖPINGS LÄN</t>
        </is>
      </c>
      <c r="E6975" t="inlineStr">
        <is>
          <t>VÄRNAMO</t>
        </is>
      </c>
      <c r="G6975" t="n">
        <v>4.8</v>
      </c>
      <c r="H6975" t="n">
        <v>0</v>
      </c>
      <c r="I6975" t="n">
        <v>0</v>
      </c>
      <c r="J6975" t="n">
        <v>0</v>
      </c>
      <c r="K6975" t="n">
        <v>0</v>
      </c>
      <c r="L6975" t="n">
        <v>0</v>
      </c>
      <c r="M6975" t="n">
        <v>0</v>
      </c>
      <c r="N6975" t="n">
        <v>0</v>
      </c>
      <c r="O6975" t="n">
        <v>0</v>
      </c>
      <c r="P6975" t="n">
        <v>0</v>
      </c>
      <c r="Q6975" t="n">
        <v>0</v>
      </c>
      <c r="R6975" s="2" t="inlineStr"/>
    </row>
    <row r="6976" ht="15" customHeight="1">
      <c r="A6976" t="inlineStr">
        <is>
          <t>A 41003-2025</t>
        </is>
      </c>
      <c r="B6976" s="1" t="n">
        <v>45898.34591435185</v>
      </c>
      <c r="C6976" s="1" t="n">
        <v>45962</v>
      </c>
      <c r="D6976" t="inlineStr">
        <is>
          <t>JÖNKÖPINGS LÄN</t>
        </is>
      </c>
      <c r="E6976" t="inlineStr">
        <is>
          <t>ANEBY</t>
        </is>
      </c>
      <c r="G6976" t="n">
        <v>0.6</v>
      </c>
      <c r="H6976" t="n">
        <v>0</v>
      </c>
      <c r="I6976" t="n">
        <v>0</v>
      </c>
      <c r="J6976" t="n">
        <v>0</v>
      </c>
      <c r="K6976" t="n">
        <v>0</v>
      </c>
      <c r="L6976" t="n">
        <v>0</v>
      </c>
      <c r="M6976" t="n">
        <v>0</v>
      </c>
      <c r="N6976" t="n">
        <v>0</v>
      </c>
      <c r="O6976" t="n">
        <v>0</v>
      </c>
      <c r="P6976" t="n">
        <v>0</v>
      </c>
      <c r="Q6976" t="n">
        <v>0</v>
      </c>
      <c r="R6976" s="2" t="inlineStr"/>
    </row>
    <row r="6977" ht="15" customHeight="1">
      <c r="A6977" t="inlineStr">
        <is>
          <t>A 22863-2025</t>
        </is>
      </c>
      <c r="B6977" s="1" t="n">
        <v>45790.3634375</v>
      </c>
      <c r="C6977" s="1" t="n">
        <v>45962</v>
      </c>
      <c r="D6977" t="inlineStr">
        <is>
          <t>JÖNKÖPINGS LÄN</t>
        </is>
      </c>
      <c r="E6977" t="inlineStr">
        <is>
          <t>GISLAVED</t>
        </is>
      </c>
      <c r="G6977" t="n">
        <v>1</v>
      </c>
      <c r="H6977" t="n">
        <v>0</v>
      </c>
      <c r="I6977" t="n">
        <v>0</v>
      </c>
      <c r="J6977" t="n">
        <v>0</v>
      </c>
      <c r="K6977" t="n">
        <v>0</v>
      </c>
      <c r="L6977" t="n">
        <v>0</v>
      </c>
      <c r="M6977" t="n">
        <v>0</v>
      </c>
      <c r="N6977" t="n">
        <v>0</v>
      </c>
      <c r="O6977" t="n">
        <v>0</v>
      </c>
      <c r="P6977" t="n">
        <v>0</v>
      </c>
      <c r="Q6977" t="n">
        <v>0</v>
      </c>
      <c r="R6977" s="2" t="inlineStr"/>
    </row>
    <row r="6978" ht="15" customHeight="1">
      <c r="A6978" t="inlineStr">
        <is>
          <t>A 49861-2025</t>
        </is>
      </c>
      <c r="B6978" s="1" t="n">
        <v>45940.51159722222</v>
      </c>
      <c r="C6978" s="1" t="n">
        <v>45962</v>
      </c>
      <c r="D6978" t="inlineStr">
        <is>
          <t>JÖNKÖPINGS LÄN</t>
        </is>
      </c>
      <c r="E6978" t="inlineStr">
        <is>
          <t>EKSJÖ</t>
        </is>
      </c>
      <c r="G6978" t="n">
        <v>0.8</v>
      </c>
      <c r="H6978" t="n">
        <v>0</v>
      </c>
      <c r="I6978" t="n">
        <v>0</v>
      </c>
      <c r="J6978" t="n">
        <v>0</v>
      </c>
      <c r="K6978" t="n">
        <v>0</v>
      </c>
      <c r="L6978" t="n">
        <v>0</v>
      </c>
      <c r="M6978" t="n">
        <v>0</v>
      </c>
      <c r="N6978" t="n">
        <v>0</v>
      </c>
      <c r="O6978" t="n">
        <v>0</v>
      </c>
      <c r="P6978" t="n">
        <v>0</v>
      </c>
      <c r="Q6978" t="n">
        <v>0</v>
      </c>
      <c r="R6978" s="2" t="inlineStr"/>
    </row>
    <row r="6979" ht="15" customHeight="1">
      <c r="A6979" t="inlineStr">
        <is>
          <t>A 9796-2023</t>
        </is>
      </c>
      <c r="B6979" s="1" t="n">
        <v>44984.64765046296</v>
      </c>
      <c r="C6979" s="1" t="n">
        <v>45962</v>
      </c>
      <c r="D6979" t="inlineStr">
        <is>
          <t>JÖNKÖPINGS LÄN</t>
        </is>
      </c>
      <c r="E6979" t="inlineStr">
        <is>
          <t>NÄSSJÖ</t>
        </is>
      </c>
      <c r="G6979" t="n">
        <v>2.6</v>
      </c>
      <c r="H6979" t="n">
        <v>0</v>
      </c>
      <c r="I6979" t="n">
        <v>0</v>
      </c>
      <c r="J6979" t="n">
        <v>0</v>
      </c>
      <c r="K6979" t="n">
        <v>0</v>
      </c>
      <c r="L6979" t="n">
        <v>0</v>
      </c>
      <c r="M6979" t="n">
        <v>0</v>
      </c>
      <c r="N6979" t="n">
        <v>0</v>
      </c>
      <c r="O6979" t="n">
        <v>0</v>
      </c>
      <c r="P6979" t="n">
        <v>0</v>
      </c>
      <c r="Q6979" t="n">
        <v>0</v>
      </c>
      <c r="R6979" s="2" t="inlineStr"/>
    </row>
    <row r="6980" ht="15" customHeight="1">
      <c r="A6980" t="inlineStr">
        <is>
          <t>A 9897-2023</t>
        </is>
      </c>
      <c r="B6980" s="1" t="n">
        <v>44985.35407407407</v>
      </c>
      <c r="C6980" s="1" t="n">
        <v>45962</v>
      </c>
      <c r="D6980" t="inlineStr">
        <is>
          <t>JÖNKÖPINGS LÄN</t>
        </is>
      </c>
      <c r="E6980" t="inlineStr">
        <is>
          <t>JÖNKÖPING</t>
        </is>
      </c>
      <c r="G6980" t="n">
        <v>0.7</v>
      </c>
      <c r="H6980" t="n">
        <v>0</v>
      </c>
      <c r="I6980" t="n">
        <v>0</v>
      </c>
      <c r="J6980" t="n">
        <v>0</v>
      </c>
      <c r="K6980" t="n">
        <v>0</v>
      </c>
      <c r="L6980" t="n">
        <v>0</v>
      </c>
      <c r="M6980" t="n">
        <v>0</v>
      </c>
      <c r="N6980" t="n">
        <v>0</v>
      </c>
      <c r="O6980" t="n">
        <v>0</v>
      </c>
      <c r="P6980" t="n">
        <v>0</v>
      </c>
      <c r="Q6980" t="n">
        <v>0</v>
      </c>
      <c r="R6980" s="2" t="inlineStr"/>
    </row>
    <row r="6981" ht="15" customHeight="1">
      <c r="A6981" t="inlineStr">
        <is>
          <t>A 18573-2024</t>
        </is>
      </c>
      <c r="B6981" s="1" t="n">
        <v>45425.70412037037</v>
      </c>
      <c r="C6981" s="1" t="n">
        <v>45962</v>
      </c>
      <c r="D6981" t="inlineStr">
        <is>
          <t>JÖNKÖPINGS LÄN</t>
        </is>
      </c>
      <c r="E6981" t="inlineStr">
        <is>
          <t>GISLAVED</t>
        </is>
      </c>
      <c r="G6981" t="n">
        <v>2.3</v>
      </c>
      <c r="H6981" t="n">
        <v>0</v>
      </c>
      <c r="I6981" t="n">
        <v>0</v>
      </c>
      <c r="J6981" t="n">
        <v>0</v>
      </c>
      <c r="K6981" t="n">
        <v>0</v>
      </c>
      <c r="L6981" t="n">
        <v>0</v>
      </c>
      <c r="M6981" t="n">
        <v>0</v>
      </c>
      <c r="N6981" t="n">
        <v>0</v>
      </c>
      <c r="O6981" t="n">
        <v>0</v>
      </c>
      <c r="P6981" t="n">
        <v>0</v>
      </c>
      <c r="Q6981" t="n">
        <v>0</v>
      </c>
      <c r="R6981" s="2" t="inlineStr"/>
    </row>
    <row r="6982" ht="15" customHeight="1">
      <c r="A6982" t="inlineStr">
        <is>
          <t>A 41508-2025</t>
        </is>
      </c>
      <c r="B6982" s="1" t="n">
        <v>45901.53131944445</v>
      </c>
      <c r="C6982" s="1" t="n">
        <v>45962</v>
      </c>
      <c r="D6982" t="inlineStr">
        <is>
          <t>JÖNKÖPINGS LÄN</t>
        </is>
      </c>
      <c r="E6982" t="inlineStr">
        <is>
          <t>VETLANDA</t>
        </is>
      </c>
      <c r="G6982" t="n">
        <v>2.3</v>
      </c>
      <c r="H6982" t="n">
        <v>0</v>
      </c>
      <c r="I6982" t="n">
        <v>0</v>
      </c>
      <c r="J6982" t="n">
        <v>0</v>
      </c>
      <c r="K6982" t="n">
        <v>0</v>
      </c>
      <c r="L6982" t="n">
        <v>0</v>
      </c>
      <c r="M6982" t="n">
        <v>0</v>
      </c>
      <c r="N6982" t="n">
        <v>0</v>
      </c>
      <c r="O6982" t="n">
        <v>0</v>
      </c>
      <c r="P6982" t="n">
        <v>0</v>
      </c>
      <c r="Q6982" t="n">
        <v>0</v>
      </c>
      <c r="R6982" s="2" t="inlineStr"/>
    </row>
    <row r="6983" ht="15" customHeight="1">
      <c r="A6983" t="inlineStr">
        <is>
          <t>A 41544-2025</t>
        </is>
      </c>
      <c r="B6983" s="1" t="n">
        <v>45901</v>
      </c>
      <c r="C6983" s="1" t="n">
        <v>45962</v>
      </c>
      <c r="D6983" t="inlineStr">
        <is>
          <t>JÖNKÖPINGS LÄN</t>
        </is>
      </c>
      <c r="E6983" t="inlineStr">
        <is>
          <t>VETLANDA</t>
        </is>
      </c>
      <c r="G6983" t="n">
        <v>1.9</v>
      </c>
      <c r="H6983" t="n">
        <v>0</v>
      </c>
      <c r="I6983" t="n">
        <v>0</v>
      </c>
      <c r="J6983" t="n">
        <v>0</v>
      </c>
      <c r="K6983" t="n">
        <v>0</v>
      </c>
      <c r="L6983" t="n">
        <v>0</v>
      </c>
      <c r="M6983" t="n">
        <v>0</v>
      </c>
      <c r="N6983" t="n">
        <v>0</v>
      </c>
      <c r="O6983" t="n">
        <v>0</v>
      </c>
      <c r="P6983" t="n">
        <v>0</v>
      </c>
      <c r="Q6983" t="n">
        <v>0</v>
      </c>
      <c r="R6983" s="2" t="inlineStr"/>
    </row>
    <row r="6984" ht="15" customHeight="1">
      <c r="A6984" t="inlineStr">
        <is>
          <t>A 17602-2025</t>
        </is>
      </c>
      <c r="B6984" s="1" t="n">
        <v>45757</v>
      </c>
      <c r="C6984" s="1" t="n">
        <v>45962</v>
      </c>
      <c r="D6984" t="inlineStr">
        <is>
          <t>JÖNKÖPINGS LÄN</t>
        </is>
      </c>
      <c r="E6984" t="inlineStr">
        <is>
          <t>VAGGERYD</t>
        </is>
      </c>
      <c r="G6984" t="n">
        <v>6.4</v>
      </c>
      <c r="H6984" t="n">
        <v>0</v>
      </c>
      <c r="I6984" t="n">
        <v>0</v>
      </c>
      <c r="J6984" t="n">
        <v>0</v>
      </c>
      <c r="K6984" t="n">
        <v>0</v>
      </c>
      <c r="L6984" t="n">
        <v>0</v>
      </c>
      <c r="M6984" t="n">
        <v>0</v>
      </c>
      <c r="N6984" t="n">
        <v>0</v>
      </c>
      <c r="O6984" t="n">
        <v>0</v>
      </c>
      <c r="P6984" t="n">
        <v>0</v>
      </c>
      <c r="Q6984" t="n">
        <v>0</v>
      </c>
      <c r="R6984" s="2" t="inlineStr"/>
    </row>
    <row r="6985" ht="15" customHeight="1">
      <c r="A6985" t="inlineStr">
        <is>
          <t>A 41291-2025</t>
        </is>
      </c>
      <c r="B6985" s="1" t="n">
        <v>45898.64612268518</v>
      </c>
      <c r="C6985" s="1" t="n">
        <v>45962</v>
      </c>
      <c r="D6985" t="inlineStr">
        <is>
          <t>JÖNKÖPINGS LÄN</t>
        </is>
      </c>
      <c r="E6985" t="inlineStr">
        <is>
          <t>VETLANDA</t>
        </is>
      </c>
      <c r="G6985" t="n">
        <v>0.6</v>
      </c>
      <c r="H6985" t="n">
        <v>0</v>
      </c>
      <c r="I6985" t="n">
        <v>0</v>
      </c>
      <c r="J6985" t="n">
        <v>0</v>
      </c>
      <c r="K6985" t="n">
        <v>0</v>
      </c>
      <c r="L6985" t="n">
        <v>0</v>
      </c>
      <c r="M6985" t="n">
        <v>0</v>
      </c>
      <c r="N6985" t="n">
        <v>0</v>
      </c>
      <c r="O6985" t="n">
        <v>0</v>
      </c>
      <c r="P6985" t="n">
        <v>0</v>
      </c>
      <c r="Q6985" t="n">
        <v>0</v>
      </c>
      <c r="R6985" s="2" t="inlineStr"/>
    </row>
    <row r="6986" ht="15" customHeight="1">
      <c r="A6986" t="inlineStr">
        <is>
          <t>A 41324-2025</t>
        </is>
      </c>
      <c r="B6986" s="1" t="n">
        <v>45899.2575462963</v>
      </c>
      <c r="C6986" s="1" t="n">
        <v>45962</v>
      </c>
      <c r="D6986" t="inlineStr">
        <is>
          <t>JÖNKÖPINGS LÄN</t>
        </is>
      </c>
      <c r="E6986" t="inlineStr">
        <is>
          <t>NÄSSJÖ</t>
        </is>
      </c>
      <c r="G6986" t="n">
        <v>2.9</v>
      </c>
      <c r="H6986" t="n">
        <v>0</v>
      </c>
      <c r="I6986" t="n">
        <v>0</v>
      </c>
      <c r="J6986" t="n">
        <v>0</v>
      </c>
      <c r="K6986" t="n">
        <v>0</v>
      </c>
      <c r="L6986" t="n">
        <v>0</v>
      </c>
      <c r="M6986" t="n">
        <v>0</v>
      </c>
      <c r="N6986" t="n">
        <v>0</v>
      </c>
      <c r="O6986" t="n">
        <v>0</v>
      </c>
      <c r="P6986" t="n">
        <v>0</v>
      </c>
      <c r="Q6986" t="n">
        <v>0</v>
      </c>
      <c r="R6986" s="2" t="inlineStr"/>
    </row>
    <row r="6987" ht="15" customHeight="1">
      <c r="A6987" t="inlineStr">
        <is>
          <t>A 41330-2025</t>
        </is>
      </c>
      <c r="B6987" s="1" t="n">
        <v>45899.30020833333</v>
      </c>
      <c r="C6987" s="1" t="n">
        <v>45962</v>
      </c>
      <c r="D6987" t="inlineStr">
        <is>
          <t>JÖNKÖPINGS LÄN</t>
        </is>
      </c>
      <c r="E6987" t="inlineStr">
        <is>
          <t>NÄSSJÖ</t>
        </is>
      </c>
      <c r="G6987" t="n">
        <v>2.2</v>
      </c>
      <c r="H6987" t="n">
        <v>0</v>
      </c>
      <c r="I6987" t="n">
        <v>0</v>
      </c>
      <c r="J6987" t="n">
        <v>0</v>
      </c>
      <c r="K6987" t="n">
        <v>0</v>
      </c>
      <c r="L6987" t="n">
        <v>0</v>
      </c>
      <c r="M6987" t="n">
        <v>0</v>
      </c>
      <c r="N6987" t="n">
        <v>0</v>
      </c>
      <c r="O6987" t="n">
        <v>0</v>
      </c>
      <c r="P6987" t="n">
        <v>0</v>
      </c>
      <c r="Q6987" t="n">
        <v>0</v>
      </c>
      <c r="R6987" s="2" t="inlineStr"/>
    </row>
    <row r="6988" ht="15" customHeight="1">
      <c r="A6988" t="inlineStr">
        <is>
          <t>A 15489-2024</t>
        </is>
      </c>
      <c r="B6988" s="1" t="n">
        <v>45401</v>
      </c>
      <c r="C6988" s="1" t="n">
        <v>45962</v>
      </c>
      <c r="D6988" t="inlineStr">
        <is>
          <t>JÖNKÖPINGS LÄN</t>
        </is>
      </c>
      <c r="E6988" t="inlineStr">
        <is>
          <t>MULLSJÖ</t>
        </is>
      </c>
      <c r="G6988" t="n">
        <v>0.6</v>
      </c>
      <c r="H6988" t="n">
        <v>0</v>
      </c>
      <c r="I6988" t="n">
        <v>0</v>
      </c>
      <c r="J6988" t="n">
        <v>0</v>
      </c>
      <c r="K6988" t="n">
        <v>0</v>
      </c>
      <c r="L6988" t="n">
        <v>0</v>
      </c>
      <c r="M6988" t="n">
        <v>0</v>
      </c>
      <c r="N6988" t="n">
        <v>0</v>
      </c>
      <c r="O6988" t="n">
        <v>0</v>
      </c>
      <c r="P6988" t="n">
        <v>0</v>
      </c>
      <c r="Q6988" t="n">
        <v>0</v>
      </c>
      <c r="R6988" s="2" t="inlineStr"/>
    </row>
    <row r="6989" ht="15" customHeight="1">
      <c r="A6989" t="inlineStr">
        <is>
          <t>A 16679-2024</t>
        </is>
      </c>
      <c r="B6989" s="1" t="n">
        <v>45408.68222222223</v>
      </c>
      <c r="C6989" s="1" t="n">
        <v>45962</v>
      </c>
      <c r="D6989" t="inlineStr">
        <is>
          <t>JÖNKÖPINGS LÄN</t>
        </is>
      </c>
      <c r="E6989" t="inlineStr">
        <is>
          <t>ANEBY</t>
        </is>
      </c>
      <c r="G6989" t="n">
        <v>1.7</v>
      </c>
      <c r="H6989" t="n">
        <v>0</v>
      </c>
      <c r="I6989" t="n">
        <v>0</v>
      </c>
      <c r="J6989" t="n">
        <v>0</v>
      </c>
      <c r="K6989" t="n">
        <v>0</v>
      </c>
      <c r="L6989" t="n">
        <v>0</v>
      </c>
      <c r="M6989" t="n">
        <v>0</v>
      </c>
      <c r="N6989" t="n">
        <v>0</v>
      </c>
      <c r="O6989" t="n">
        <v>0</v>
      </c>
      <c r="P6989" t="n">
        <v>0</v>
      </c>
      <c r="Q6989" t="n">
        <v>0</v>
      </c>
      <c r="R6989" s="2" t="inlineStr"/>
    </row>
    <row r="6990" ht="15" customHeight="1">
      <c r="A6990" t="inlineStr">
        <is>
          <t>A 48950-2025</t>
        </is>
      </c>
      <c r="B6990" s="1" t="n">
        <v>45936</v>
      </c>
      <c r="C6990" s="1" t="n">
        <v>45962</v>
      </c>
      <c r="D6990" t="inlineStr">
        <is>
          <t>JÖNKÖPINGS LÄN</t>
        </is>
      </c>
      <c r="E6990" t="inlineStr">
        <is>
          <t>VÄRNAMO</t>
        </is>
      </c>
      <c r="G6990" t="n">
        <v>4.5</v>
      </c>
      <c r="H6990" t="n">
        <v>0</v>
      </c>
      <c r="I6990" t="n">
        <v>0</v>
      </c>
      <c r="J6990" t="n">
        <v>0</v>
      </c>
      <c r="K6990" t="n">
        <v>0</v>
      </c>
      <c r="L6990" t="n">
        <v>0</v>
      </c>
      <c r="M6990" t="n">
        <v>0</v>
      </c>
      <c r="N6990" t="n">
        <v>0</v>
      </c>
      <c r="O6990" t="n">
        <v>0</v>
      </c>
      <c r="P6990" t="n">
        <v>0</v>
      </c>
      <c r="Q6990" t="n">
        <v>0</v>
      </c>
      <c r="R6990" s="2" t="inlineStr"/>
    </row>
    <row r="6991" ht="15" customHeight="1">
      <c r="A6991" t="inlineStr">
        <is>
          <t>A 41379-2025</t>
        </is>
      </c>
      <c r="B6991" s="1" t="n">
        <v>45900.92149305555</v>
      </c>
      <c r="C6991" s="1" t="n">
        <v>45962</v>
      </c>
      <c r="D6991" t="inlineStr">
        <is>
          <t>JÖNKÖPINGS LÄN</t>
        </is>
      </c>
      <c r="E6991" t="inlineStr">
        <is>
          <t>VAGGERYD</t>
        </is>
      </c>
      <c r="G6991" t="n">
        <v>1.1</v>
      </c>
      <c r="H6991" t="n">
        <v>0</v>
      </c>
      <c r="I6991" t="n">
        <v>0</v>
      </c>
      <c r="J6991" t="n">
        <v>0</v>
      </c>
      <c r="K6991" t="n">
        <v>0</v>
      </c>
      <c r="L6991" t="n">
        <v>0</v>
      </c>
      <c r="M6991" t="n">
        <v>0</v>
      </c>
      <c r="N6991" t="n">
        <v>0</v>
      </c>
      <c r="O6991" t="n">
        <v>0</v>
      </c>
      <c r="P6991" t="n">
        <v>0</v>
      </c>
      <c r="Q6991" t="n">
        <v>0</v>
      </c>
      <c r="R6991" s="2" t="inlineStr"/>
    </row>
    <row r="6992" ht="15" customHeight="1">
      <c r="A6992" t="inlineStr">
        <is>
          <t>A 41411-2025</t>
        </is>
      </c>
      <c r="B6992" s="1" t="n">
        <v>45901.35317129629</v>
      </c>
      <c r="C6992" s="1" t="n">
        <v>45962</v>
      </c>
      <c r="D6992" t="inlineStr">
        <is>
          <t>JÖNKÖPINGS LÄN</t>
        </is>
      </c>
      <c r="E6992" t="inlineStr">
        <is>
          <t>TRANÅS</t>
        </is>
      </c>
      <c r="G6992" t="n">
        <v>3</v>
      </c>
      <c r="H6992" t="n">
        <v>0</v>
      </c>
      <c r="I6992" t="n">
        <v>0</v>
      </c>
      <c r="J6992" t="n">
        <v>0</v>
      </c>
      <c r="K6992" t="n">
        <v>0</v>
      </c>
      <c r="L6992" t="n">
        <v>0</v>
      </c>
      <c r="M6992" t="n">
        <v>0</v>
      </c>
      <c r="N6992" t="n">
        <v>0</v>
      </c>
      <c r="O6992" t="n">
        <v>0</v>
      </c>
      <c r="P6992" t="n">
        <v>0</v>
      </c>
      <c r="Q6992" t="n">
        <v>0</v>
      </c>
      <c r="R6992" s="2" t="inlineStr"/>
    </row>
    <row r="6993" ht="15" customHeight="1">
      <c r="A6993" t="inlineStr">
        <is>
          <t>A 41426-2025</t>
        </is>
      </c>
      <c r="B6993" s="1" t="n">
        <v>45901.38729166667</v>
      </c>
      <c r="C6993" s="1" t="n">
        <v>45962</v>
      </c>
      <c r="D6993" t="inlineStr">
        <is>
          <t>JÖNKÖPINGS LÄN</t>
        </is>
      </c>
      <c r="E6993" t="inlineStr">
        <is>
          <t>GISLAVED</t>
        </is>
      </c>
      <c r="G6993" t="n">
        <v>0.8</v>
      </c>
      <c r="H6993" t="n">
        <v>0</v>
      </c>
      <c r="I6993" t="n">
        <v>0</v>
      </c>
      <c r="J6993" t="n">
        <v>0</v>
      </c>
      <c r="K6993" t="n">
        <v>0</v>
      </c>
      <c r="L6993" t="n">
        <v>0</v>
      </c>
      <c r="M6993" t="n">
        <v>0</v>
      </c>
      <c r="N6993" t="n">
        <v>0</v>
      </c>
      <c r="O6993" t="n">
        <v>0</v>
      </c>
      <c r="P6993" t="n">
        <v>0</v>
      </c>
      <c r="Q6993" t="n">
        <v>0</v>
      </c>
      <c r="R6993" s="2" t="inlineStr"/>
    </row>
    <row r="6994" ht="15" customHeight="1">
      <c r="A6994" t="inlineStr">
        <is>
          <t>A 41373-2025</t>
        </is>
      </c>
      <c r="B6994" s="1" t="n">
        <v>45900.7175462963</v>
      </c>
      <c r="C6994" s="1" t="n">
        <v>45962</v>
      </c>
      <c r="D6994" t="inlineStr">
        <is>
          <t>JÖNKÖPINGS LÄN</t>
        </is>
      </c>
      <c r="E6994" t="inlineStr">
        <is>
          <t>NÄSSJÖ</t>
        </is>
      </c>
      <c r="G6994" t="n">
        <v>0.6</v>
      </c>
      <c r="H6994" t="n">
        <v>0</v>
      </c>
      <c r="I6994" t="n">
        <v>0</v>
      </c>
      <c r="J6994" t="n">
        <v>0</v>
      </c>
      <c r="K6994" t="n">
        <v>0</v>
      </c>
      <c r="L6994" t="n">
        <v>0</v>
      </c>
      <c r="M6994" t="n">
        <v>0</v>
      </c>
      <c r="N6994" t="n">
        <v>0</v>
      </c>
      <c r="O6994" t="n">
        <v>0</v>
      </c>
      <c r="P6994" t="n">
        <v>0</v>
      </c>
      <c r="Q6994" t="n">
        <v>0</v>
      </c>
      <c r="R6994" s="2" t="inlineStr"/>
    </row>
    <row r="6995" ht="15" customHeight="1">
      <c r="A6995" t="inlineStr">
        <is>
          <t>A 41413-2025</t>
        </is>
      </c>
      <c r="B6995" s="1" t="n">
        <v>45901.35763888889</v>
      </c>
      <c r="C6995" s="1" t="n">
        <v>45962</v>
      </c>
      <c r="D6995" t="inlineStr">
        <is>
          <t>JÖNKÖPINGS LÄN</t>
        </is>
      </c>
      <c r="E6995" t="inlineStr">
        <is>
          <t>TRANÅS</t>
        </is>
      </c>
      <c r="G6995" t="n">
        <v>0.6</v>
      </c>
      <c r="H6995" t="n">
        <v>0</v>
      </c>
      <c r="I6995" t="n">
        <v>0</v>
      </c>
      <c r="J6995" t="n">
        <v>0</v>
      </c>
      <c r="K6995" t="n">
        <v>0</v>
      </c>
      <c r="L6995" t="n">
        <v>0</v>
      </c>
      <c r="M6995" t="n">
        <v>0</v>
      </c>
      <c r="N6995" t="n">
        <v>0</v>
      </c>
      <c r="O6995" t="n">
        <v>0</v>
      </c>
      <c r="P6995" t="n">
        <v>0</v>
      </c>
      <c r="Q6995" t="n">
        <v>0</v>
      </c>
      <c r="R6995" s="2" t="inlineStr"/>
    </row>
    <row r="6996" ht="15" customHeight="1">
      <c r="A6996" t="inlineStr">
        <is>
          <t>A 41253-2025</t>
        </is>
      </c>
      <c r="B6996" s="1" t="n">
        <v>45898.60715277777</v>
      </c>
      <c r="C6996" s="1" t="n">
        <v>45962</v>
      </c>
      <c r="D6996" t="inlineStr">
        <is>
          <t>JÖNKÖPINGS LÄN</t>
        </is>
      </c>
      <c r="E6996" t="inlineStr">
        <is>
          <t>SÄVSJÖ</t>
        </is>
      </c>
      <c r="G6996" t="n">
        <v>0.7</v>
      </c>
      <c r="H6996" t="n">
        <v>0</v>
      </c>
      <c r="I6996" t="n">
        <v>0</v>
      </c>
      <c r="J6996" t="n">
        <v>0</v>
      </c>
      <c r="K6996" t="n">
        <v>0</v>
      </c>
      <c r="L6996" t="n">
        <v>0</v>
      </c>
      <c r="M6996" t="n">
        <v>0</v>
      </c>
      <c r="N6996" t="n">
        <v>0</v>
      </c>
      <c r="O6996" t="n">
        <v>0</v>
      </c>
      <c r="P6996" t="n">
        <v>0</v>
      </c>
      <c r="Q6996" t="n">
        <v>0</v>
      </c>
      <c r="R6996" s="2" t="inlineStr"/>
    </row>
    <row r="6997" ht="15" customHeight="1">
      <c r="A6997" t="inlineStr">
        <is>
          <t>A 41266-2025</t>
        </is>
      </c>
      <c r="B6997" s="1" t="n">
        <v>45898.61667824074</v>
      </c>
      <c r="C6997" s="1" t="n">
        <v>45962</v>
      </c>
      <c r="D6997" t="inlineStr">
        <is>
          <t>JÖNKÖPINGS LÄN</t>
        </is>
      </c>
      <c r="E6997" t="inlineStr">
        <is>
          <t>VETLANDA</t>
        </is>
      </c>
      <c r="G6997" t="n">
        <v>3</v>
      </c>
      <c r="H6997" t="n">
        <v>0</v>
      </c>
      <c r="I6997" t="n">
        <v>0</v>
      </c>
      <c r="J6997" t="n">
        <v>0</v>
      </c>
      <c r="K6997" t="n">
        <v>0</v>
      </c>
      <c r="L6997" t="n">
        <v>0</v>
      </c>
      <c r="M6997" t="n">
        <v>0</v>
      </c>
      <c r="N6997" t="n">
        <v>0</v>
      </c>
      <c r="O6997" t="n">
        <v>0</v>
      </c>
      <c r="P6997" t="n">
        <v>0</v>
      </c>
      <c r="Q6997" t="n">
        <v>0</v>
      </c>
      <c r="R6997" s="2" t="inlineStr"/>
    </row>
    <row r="6998" ht="15" customHeight="1">
      <c r="A6998" t="inlineStr">
        <is>
          <t>A 41008-2025</t>
        </is>
      </c>
      <c r="B6998" s="1" t="n">
        <v>45898.35165509259</v>
      </c>
      <c r="C6998" s="1" t="n">
        <v>45962</v>
      </c>
      <c r="D6998" t="inlineStr">
        <is>
          <t>JÖNKÖPINGS LÄN</t>
        </is>
      </c>
      <c r="E6998" t="inlineStr">
        <is>
          <t>ANEBY</t>
        </is>
      </c>
      <c r="G6998" t="n">
        <v>1.7</v>
      </c>
      <c r="H6998" t="n">
        <v>0</v>
      </c>
      <c r="I6998" t="n">
        <v>0</v>
      </c>
      <c r="J6998" t="n">
        <v>0</v>
      </c>
      <c r="K6998" t="n">
        <v>0</v>
      </c>
      <c r="L6998" t="n">
        <v>0</v>
      </c>
      <c r="M6998" t="n">
        <v>0</v>
      </c>
      <c r="N6998" t="n">
        <v>0</v>
      </c>
      <c r="O6998" t="n">
        <v>0</v>
      </c>
      <c r="P6998" t="n">
        <v>0</v>
      </c>
      <c r="Q6998" t="n">
        <v>0</v>
      </c>
      <c r="R6998" s="2" t="inlineStr"/>
    </row>
    <row r="6999" ht="15" customHeight="1">
      <c r="A6999" t="inlineStr">
        <is>
          <t>A 41021-2025</t>
        </is>
      </c>
      <c r="B6999" s="1" t="n">
        <v>45898.36572916667</v>
      </c>
      <c r="C6999" s="1" t="n">
        <v>45962</v>
      </c>
      <c r="D6999" t="inlineStr">
        <is>
          <t>JÖNKÖPINGS LÄN</t>
        </is>
      </c>
      <c r="E6999" t="inlineStr">
        <is>
          <t>VETLANDA</t>
        </is>
      </c>
      <c r="G6999" t="n">
        <v>1.6</v>
      </c>
      <c r="H6999" t="n">
        <v>0</v>
      </c>
      <c r="I6999" t="n">
        <v>0</v>
      </c>
      <c r="J6999" t="n">
        <v>0</v>
      </c>
      <c r="K6999" t="n">
        <v>0</v>
      </c>
      <c r="L6999" t="n">
        <v>0</v>
      </c>
      <c r="M6999" t="n">
        <v>0</v>
      </c>
      <c r="N6999" t="n">
        <v>0</v>
      </c>
      <c r="O6999" t="n">
        <v>0</v>
      </c>
      <c r="P6999" t="n">
        <v>0</v>
      </c>
      <c r="Q6999" t="n">
        <v>0</v>
      </c>
      <c r="R6999" s="2" t="inlineStr"/>
    </row>
    <row r="7000" ht="15" customHeight="1">
      <c r="A7000" t="inlineStr">
        <is>
          <t>A 17684-2025</t>
        </is>
      </c>
      <c r="B7000" s="1" t="n">
        <v>45758.38741898148</v>
      </c>
      <c r="C7000" s="1" t="n">
        <v>45962</v>
      </c>
      <c r="D7000" t="inlineStr">
        <is>
          <t>JÖNKÖPINGS LÄN</t>
        </is>
      </c>
      <c r="E7000" t="inlineStr">
        <is>
          <t>VÄRNAMO</t>
        </is>
      </c>
      <c r="G7000" t="n">
        <v>2.4</v>
      </c>
      <c r="H7000" t="n">
        <v>0</v>
      </c>
      <c r="I7000" t="n">
        <v>0</v>
      </c>
      <c r="J7000" t="n">
        <v>0</v>
      </c>
      <c r="K7000" t="n">
        <v>0</v>
      </c>
      <c r="L7000" t="n">
        <v>0</v>
      </c>
      <c r="M7000" t="n">
        <v>0</v>
      </c>
      <c r="N7000" t="n">
        <v>0</v>
      </c>
      <c r="O7000" t="n">
        <v>0</v>
      </c>
      <c r="P7000" t="n">
        <v>0</v>
      </c>
      <c r="Q7000" t="n">
        <v>0</v>
      </c>
      <c r="R7000" s="2" t="inlineStr"/>
    </row>
    <row r="7001" ht="15" customHeight="1">
      <c r="A7001" t="inlineStr">
        <is>
          <t>A 50220-2025</t>
        </is>
      </c>
      <c r="B7001" s="1" t="n">
        <v>45943.68398148148</v>
      </c>
      <c r="C7001" s="1" t="n">
        <v>45962</v>
      </c>
      <c r="D7001" t="inlineStr">
        <is>
          <t>JÖNKÖPINGS LÄN</t>
        </is>
      </c>
      <c r="E7001" t="inlineStr">
        <is>
          <t>NÄSSJÖ</t>
        </is>
      </c>
      <c r="G7001" t="n">
        <v>1.1</v>
      </c>
      <c r="H7001" t="n">
        <v>0</v>
      </c>
      <c r="I7001" t="n">
        <v>0</v>
      </c>
      <c r="J7001" t="n">
        <v>0</v>
      </c>
      <c r="K7001" t="n">
        <v>0</v>
      </c>
      <c r="L7001" t="n">
        <v>0</v>
      </c>
      <c r="M7001" t="n">
        <v>0</v>
      </c>
      <c r="N7001" t="n">
        <v>0</v>
      </c>
      <c r="O7001" t="n">
        <v>0</v>
      </c>
      <c r="P7001" t="n">
        <v>0</v>
      </c>
      <c r="Q7001" t="n">
        <v>0</v>
      </c>
      <c r="R7001" s="2" t="inlineStr"/>
    </row>
    <row r="7002" ht="15" customHeight="1">
      <c r="A7002" t="inlineStr">
        <is>
          <t>A 49844-2025</t>
        </is>
      </c>
      <c r="B7002" s="1" t="n">
        <v>45940.47883101852</v>
      </c>
      <c r="C7002" s="1" t="n">
        <v>45962</v>
      </c>
      <c r="D7002" t="inlineStr">
        <is>
          <t>JÖNKÖPINGS LÄN</t>
        </is>
      </c>
      <c r="E7002" t="inlineStr">
        <is>
          <t>TRANÅS</t>
        </is>
      </c>
      <c r="F7002" t="inlineStr">
        <is>
          <t>Kyrkan</t>
        </is>
      </c>
      <c r="G7002" t="n">
        <v>6</v>
      </c>
      <c r="H7002" t="n">
        <v>0</v>
      </c>
      <c r="I7002" t="n">
        <v>0</v>
      </c>
      <c r="J7002" t="n">
        <v>0</v>
      </c>
      <c r="K7002" t="n">
        <v>0</v>
      </c>
      <c r="L7002" t="n">
        <v>0</v>
      </c>
      <c r="M7002" t="n">
        <v>0</v>
      </c>
      <c r="N7002" t="n">
        <v>0</v>
      </c>
      <c r="O7002" t="n">
        <v>0</v>
      </c>
      <c r="P7002" t="n">
        <v>0</v>
      </c>
      <c r="Q7002" t="n">
        <v>0</v>
      </c>
      <c r="R7002" s="2" t="inlineStr"/>
    </row>
    <row r="7003" ht="15" customHeight="1">
      <c r="A7003" t="inlineStr">
        <is>
          <t>A 49862-2025</t>
        </is>
      </c>
      <c r="B7003" s="1" t="n">
        <v>45940.51297453704</v>
      </c>
      <c r="C7003" s="1" t="n">
        <v>45962</v>
      </c>
      <c r="D7003" t="inlineStr">
        <is>
          <t>JÖNKÖPINGS LÄN</t>
        </is>
      </c>
      <c r="E7003" t="inlineStr">
        <is>
          <t>EKSJÖ</t>
        </is>
      </c>
      <c r="G7003" t="n">
        <v>0.7</v>
      </c>
      <c r="H7003" t="n">
        <v>0</v>
      </c>
      <c r="I7003" t="n">
        <v>0</v>
      </c>
      <c r="J7003" t="n">
        <v>0</v>
      </c>
      <c r="K7003" t="n">
        <v>0</v>
      </c>
      <c r="L7003" t="n">
        <v>0</v>
      </c>
      <c r="M7003" t="n">
        <v>0</v>
      </c>
      <c r="N7003" t="n">
        <v>0</v>
      </c>
      <c r="O7003" t="n">
        <v>0</v>
      </c>
      <c r="P7003" t="n">
        <v>0</v>
      </c>
      <c r="Q7003" t="n">
        <v>0</v>
      </c>
      <c r="R7003" s="2" t="inlineStr"/>
    </row>
    <row r="7004" ht="15" customHeight="1">
      <c r="A7004" t="inlineStr">
        <is>
          <t>A 21080-2025</t>
        </is>
      </c>
      <c r="B7004" s="1" t="n">
        <v>45777.60306712963</v>
      </c>
      <c r="C7004" s="1" t="n">
        <v>45962</v>
      </c>
      <c r="D7004" t="inlineStr">
        <is>
          <t>JÖNKÖPINGS LÄN</t>
        </is>
      </c>
      <c r="E7004" t="inlineStr">
        <is>
          <t>GNOSJÖ</t>
        </is>
      </c>
      <c r="G7004" t="n">
        <v>1.6</v>
      </c>
      <c r="H7004" t="n">
        <v>0</v>
      </c>
      <c r="I7004" t="n">
        <v>0</v>
      </c>
      <c r="J7004" t="n">
        <v>0</v>
      </c>
      <c r="K7004" t="n">
        <v>0</v>
      </c>
      <c r="L7004" t="n">
        <v>0</v>
      </c>
      <c r="M7004" t="n">
        <v>0</v>
      </c>
      <c r="N7004" t="n">
        <v>0</v>
      </c>
      <c r="O7004" t="n">
        <v>0</v>
      </c>
      <c r="P7004" t="n">
        <v>0</v>
      </c>
      <c r="Q7004" t="n">
        <v>0</v>
      </c>
      <c r="R7004" s="2" t="inlineStr"/>
    </row>
    <row r="7005" ht="15" customHeight="1">
      <c r="A7005" t="inlineStr">
        <is>
          <t>A 41035-2025</t>
        </is>
      </c>
      <c r="B7005" s="1" t="n">
        <v>45898.38175925926</v>
      </c>
      <c r="C7005" s="1" t="n">
        <v>45962</v>
      </c>
      <c r="D7005" t="inlineStr">
        <is>
          <t>JÖNKÖPINGS LÄN</t>
        </is>
      </c>
      <c r="E7005" t="inlineStr">
        <is>
          <t>EKSJÖ</t>
        </is>
      </c>
      <c r="F7005" t="inlineStr">
        <is>
          <t>Sveaskog</t>
        </is>
      </c>
      <c r="G7005" t="n">
        <v>1</v>
      </c>
      <c r="H7005" t="n">
        <v>0</v>
      </c>
      <c r="I7005" t="n">
        <v>0</v>
      </c>
      <c r="J7005" t="n">
        <v>0</v>
      </c>
      <c r="K7005" t="n">
        <v>0</v>
      </c>
      <c r="L7005" t="n">
        <v>0</v>
      </c>
      <c r="M7005" t="n">
        <v>0</v>
      </c>
      <c r="N7005" t="n">
        <v>0</v>
      </c>
      <c r="O7005" t="n">
        <v>0</v>
      </c>
      <c r="P7005" t="n">
        <v>0</v>
      </c>
      <c r="Q7005" t="n">
        <v>0</v>
      </c>
      <c r="R7005" s="2" t="inlineStr"/>
    </row>
    <row r="7006" ht="15" customHeight="1">
      <c r="A7006" t="inlineStr">
        <is>
          <t>A 48954-2025</t>
        </is>
      </c>
      <c r="B7006" s="1" t="n">
        <v>45936</v>
      </c>
      <c r="C7006" s="1" t="n">
        <v>45962</v>
      </c>
      <c r="D7006" t="inlineStr">
        <is>
          <t>JÖNKÖPINGS LÄN</t>
        </is>
      </c>
      <c r="E7006" t="inlineStr">
        <is>
          <t>VÄRNAMO</t>
        </is>
      </c>
      <c r="G7006" t="n">
        <v>1.2</v>
      </c>
      <c r="H7006" t="n">
        <v>0</v>
      </c>
      <c r="I7006" t="n">
        <v>0</v>
      </c>
      <c r="J7006" t="n">
        <v>0</v>
      </c>
      <c r="K7006" t="n">
        <v>0</v>
      </c>
      <c r="L7006" t="n">
        <v>0</v>
      </c>
      <c r="M7006" t="n">
        <v>0</v>
      </c>
      <c r="N7006" t="n">
        <v>0</v>
      </c>
      <c r="O7006" t="n">
        <v>0</v>
      </c>
      <c r="P7006" t="n">
        <v>0</v>
      </c>
      <c r="Q7006" t="n">
        <v>0</v>
      </c>
      <c r="R7006" s="2" t="inlineStr"/>
    </row>
    <row r="7007" ht="15" customHeight="1">
      <c r="A7007" t="inlineStr">
        <is>
          <t>A 41319-2025</t>
        </is>
      </c>
      <c r="B7007" s="1" t="n">
        <v>45898.83424768518</v>
      </c>
      <c r="C7007" s="1" t="n">
        <v>45962</v>
      </c>
      <c r="D7007" t="inlineStr">
        <is>
          <t>JÖNKÖPINGS LÄN</t>
        </is>
      </c>
      <c r="E7007" t="inlineStr">
        <is>
          <t>SÄVSJÖ</t>
        </is>
      </c>
      <c r="G7007" t="n">
        <v>1</v>
      </c>
      <c r="H7007" t="n">
        <v>0</v>
      </c>
      <c r="I7007" t="n">
        <v>0</v>
      </c>
      <c r="J7007" t="n">
        <v>0</v>
      </c>
      <c r="K7007" t="n">
        <v>0</v>
      </c>
      <c r="L7007" t="n">
        <v>0</v>
      </c>
      <c r="M7007" t="n">
        <v>0</v>
      </c>
      <c r="N7007" t="n">
        <v>0</v>
      </c>
      <c r="O7007" t="n">
        <v>0</v>
      </c>
      <c r="P7007" t="n">
        <v>0</v>
      </c>
      <c r="Q7007" t="n">
        <v>0</v>
      </c>
      <c r="R7007" s="2" t="inlineStr"/>
    </row>
    <row r="7008" ht="15" customHeight="1">
      <c r="A7008" t="inlineStr">
        <is>
          <t>A 41323-2025</t>
        </is>
      </c>
      <c r="B7008" s="1" t="n">
        <v>45899.24924768518</v>
      </c>
      <c r="C7008" s="1" t="n">
        <v>45962</v>
      </c>
      <c r="D7008" t="inlineStr">
        <is>
          <t>JÖNKÖPINGS LÄN</t>
        </is>
      </c>
      <c r="E7008" t="inlineStr">
        <is>
          <t>NÄSSJÖ</t>
        </is>
      </c>
      <c r="G7008" t="n">
        <v>1.3</v>
      </c>
      <c r="H7008" t="n">
        <v>0</v>
      </c>
      <c r="I7008" t="n">
        <v>0</v>
      </c>
      <c r="J7008" t="n">
        <v>0</v>
      </c>
      <c r="K7008" t="n">
        <v>0</v>
      </c>
      <c r="L7008" t="n">
        <v>0</v>
      </c>
      <c r="M7008" t="n">
        <v>0</v>
      </c>
      <c r="N7008" t="n">
        <v>0</v>
      </c>
      <c r="O7008" t="n">
        <v>0</v>
      </c>
      <c r="P7008" t="n">
        <v>0</v>
      </c>
      <c r="Q7008" t="n">
        <v>0</v>
      </c>
      <c r="R7008" s="2" t="inlineStr"/>
    </row>
    <row r="7009" ht="15" customHeight="1">
      <c r="A7009" t="inlineStr">
        <is>
          <t>A 41260-2025</t>
        </is>
      </c>
      <c r="B7009" s="1" t="n">
        <v>45898.61107638889</v>
      </c>
      <c r="C7009" s="1" t="n">
        <v>45962</v>
      </c>
      <c r="D7009" t="inlineStr">
        <is>
          <t>JÖNKÖPINGS LÄN</t>
        </is>
      </c>
      <c r="E7009" t="inlineStr">
        <is>
          <t>VETLANDA</t>
        </is>
      </c>
      <c r="G7009" t="n">
        <v>2.5</v>
      </c>
      <c r="H7009" t="n">
        <v>0</v>
      </c>
      <c r="I7009" t="n">
        <v>0</v>
      </c>
      <c r="J7009" t="n">
        <v>0</v>
      </c>
      <c r="K7009" t="n">
        <v>0</v>
      </c>
      <c r="L7009" t="n">
        <v>0</v>
      </c>
      <c r="M7009" t="n">
        <v>0</v>
      </c>
      <c r="N7009" t="n">
        <v>0</v>
      </c>
      <c r="O7009" t="n">
        <v>0</v>
      </c>
      <c r="P7009" t="n">
        <v>0</v>
      </c>
      <c r="Q7009" t="n">
        <v>0</v>
      </c>
      <c r="R7009" s="2" t="inlineStr"/>
    </row>
    <row r="7010" ht="15" customHeight="1">
      <c r="A7010" t="inlineStr">
        <is>
          <t>A 49779-2025</t>
        </is>
      </c>
      <c r="B7010" s="1" t="n">
        <v>45940.386875</v>
      </c>
      <c r="C7010" s="1" t="n">
        <v>45962</v>
      </c>
      <c r="D7010" t="inlineStr">
        <is>
          <t>JÖNKÖPINGS LÄN</t>
        </is>
      </c>
      <c r="E7010" t="inlineStr">
        <is>
          <t>MULLSJÖ</t>
        </is>
      </c>
      <c r="G7010" t="n">
        <v>1.8</v>
      </c>
      <c r="H7010" t="n">
        <v>0</v>
      </c>
      <c r="I7010" t="n">
        <v>0</v>
      </c>
      <c r="J7010" t="n">
        <v>0</v>
      </c>
      <c r="K7010" t="n">
        <v>0</v>
      </c>
      <c r="L7010" t="n">
        <v>0</v>
      </c>
      <c r="M7010" t="n">
        <v>0</v>
      </c>
      <c r="N7010" t="n">
        <v>0</v>
      </c>
      <c r="O7010" t="n">
        <v>0</v>
      </c>
      <c r="P7010" t="n">
        <v>0</v>
      </c>
      <c r="Q7010" t="n">
        <v>0</v>
      </c>
      <c r="R7010" s="2" t="inlineStr"/>
    </row>
    <row r="7011" ht="15" customHeight="1">
      <c r="A7011" t="inlineStr">
        <is>
          <t>A 45564-2025</t>
        </is>
      </c>
      <c r="B7011" s="1" t="n">
        <v>45922</v>
      </c>
      <c r="C7011" s="1" t="n">
        <v>45962</v>
      </c>
      <c r="D7011" t="inlineStr">
        <is>
          <t>JÖNKÖPINGS LÄN</t>
        </is>
      </c>
      <c r="E7011" t="inlineStr">
        <is>
          <t>GISLAVED</t>
        </is>
      </c>
      <c r="G7011" t="n">
        <v>0.9</v>
      </c>
      <c r="H7011" t="n">
        <v>0</v>
      </c>
      <c r="I7011" t="n">
        <v>0</v>
      </c>
      <c r="J7011" t="n">
        <v>0</v>
      </c>
      <c r="K7011" t="n">
        <v>0</v>
      </c>
      <c r="L7011" t="n">
        <v>0</v>
      </c>
      <c r="M7011" t="n">
        <v>0</v>
      </c>
      <c r="N7011" t="n">
        <v>0</v>
      </c>
      <c r="O7011" t="n">
        <v>0</v>
      </c>
      <c r="P7011" t="n">
        <v>0</v>
      </c>
      <c r="Q7011" t="n">
        <v>0</v>
      </c>
      <c r="R7011" s="2" t="inlineStr"/>
    </row>
    <row r="7012" ht="15" customHeight="1">
      <c r="A7012" t="inlineStr">
        <is>
          <t>A 41328-2025</t>
        </is>
      </c>
      <c r="B7012" s="1" t="n">
        <v>45899.29828703704</v>
      </c>
      <c r="C7012" s="1" t="n">
        <v>45962</v>
      </c>
      <c r="D7012" t="inlineStr">
        <is>
          <t>JÖNKÖPINGS LÄN</t>
        </is>
      </c>
      <c r="E7012" t="inlineStr">
        <is>
          <t>NÄSSJÖ</t>
        </is>
      </c>
      <c r="G7012" t="n">
        <v>3.9</v>
      </c>
      <c r="H7012" t="n">
        <v>0</v>
      </c>
      <c r="I7012" t="n">
        <v>0</v>
      </c>
      <c r="J7012" t="n">
        <v>0</v>
      </c>
      <c r="K7012" t="n">
        <v>0</v>
      </c>
      <c r="L7012" t="n">
        <v>0</v>
      </c>
      <c r="M7012" t="n">
        <v>0</v>
      </c>
      <c r="N7012" t="n">
        <v>0</v>
      </c>
      <c r="O7012" t="n">
        <v>0</v>
      </c>
      <c r="P7012" t="n">
        <v>0</v>
      </c>
      <c r="Q7012" t="n">
        <v>0</v>
      </c>
      <c r="R7012" s="2" t="inlineStr"/>
    </row>
    <row r="7013" ht="15" customHeight="1">
      <c r="A7013" t="inlineStr">
        <is>
          <t>A 41366-2025</t>
        </is>
      </c>
      <c r="B7013" s="1" t="n">
        <v>45900.51168981481</v>
      </c>
      <c r="C7013" s="1" t="n">
        <v>45962</v>
      </c>
      <c r="D7013" t="inlineStr">
        <is>
          <t>JÖNKÖPINGS LÄN</t>
        </is>
      </c>
      <c r="E7013" t="inlineStr">
        <is>
          <t>VÄRNAMO</t>
        </is>
      </c>
      <c r="G7013" t="n">
        <v>0.9</v>
      </c>
      <c r="H7013" t="n">
        <v>0</v>
      </c>
      <c r="I7013" t="n">
        <v>0</v>
      </c>
      <c r="J7013" t="n">
        <v>0</v>
      </c>
      <c r="K7013" t="n">
        <v>0</v>
      </c>
      <c r="L7013" t="n">
        <v>0</v>
      </c>
      <c r="M7013" t="n">
        <v>0</v>
      </c>
      <c r="N7013" t="n">
        <v>0</v>
      </c>
      <c r="O7013" t="n">
        <v>0</v>
      </c>
      <c r="P7013" t="n">
        <v>0</v>
      </c>
      <c r="Q7013" t="n">
        <v>0</v>
      </c>
      <c r="R7013" s="2" t="inlineStr"/>
    </row>
    <row r="7014" ht="15" customHeight="1">
      <c r="A7014" t="inlineStr">
        <is>
          <t>A 41501-2025</t>
        </is>
      </c>
      <c r="B7014" s="1" t="n">
        <v>45901</v>
      </c>
      <c r="C7014" s="1" t="n">
        <v>45962</v>
      </c>
      <c r="D7014" t="inlineStr">
        <is>
          <t>JÖNKÖPINGS LÄN</t>
        </is>
      </c>
      <c r="E7014" t="inlineStr">
        <is>
          <t>TRANÅS</t>
        </is>
      </c>
      <c r="G7014" t="n">
        <v>1.9</v>
      </c>
      <c r="H7014" t="n">
        <v>0</v>
      </c>
      <c r="I7014" t="n">
        <v>0</v>
      </c>
      <c r="J7014" t="n">
        <v>0</v>
      </c>
      <c r="K7014" t="n">
        <v>0</v>
      </c>
      <c r="L7014" t="n">
        <v>0</v>
      </c>
      <c r="M7014" t="n">
        <v>0</v>
      </c>
      <c r="N7014" t="n">
        <v>0</v>
      </c>
      <c r="O7014" t="n">
        <v>0</v>
      </c>
      <c r="P7014" t="n">
        <v>0</v>
      </c>
      <c r="Q7014" t="n">
        <v>0</v>
      </c>
      <c r="R7014" s="2" t="inlineStr"/>
    </row>
    <row r="7015" ht="15" customHeight="1">
      <c r="A7015" t="inlineStr">
        <is>
          <t>A 41514-2025</t>
        </is>
      </c>
      <c r="B7015" s="1" t="n">
        <v>45901.54266203703</v>
      </c>
      <c r="C7015" s="1" t="n">
        <v>45962</v>
      </c>
      <c r="D7015" t="inlineStr">
        <is>
          <t>JÖNKÖPINGS LÄN</t>
        </is>
      </c>
      <c r="E7015" t="inlineStr">
        <is>
          <t>NÄSSJÖ</t>
        </is>
      </c>
      <c r="G7015" t="n">
        <v>1.4</v>
      </c>
      <c r="H7015" t="n">
        <v>0</v>
      </c>
      <c r="I7015" t="n">
        <v>0</v>
      </c>
      <c r="J7015" t="n">
        <v>0</v>
      </c>
      <c r="K7015" t="n">
        <v>0</v>
      </c>
      <c r="L7015" t="n">
        <v>0</v>
      </c>
      <c r="M7015" t="n">
        <v>0</v>
      </c>
      <c r="N7015" t="n">
        <v>0</v>
      </c>
      <c r="O7015" t="n">
        <v>0</v>
      </c>
      <c r="P7015" t="n">
        <v>0</v>
      </c>
      <c r="Q7015" t="n">
        <v>0</v>
      </c>
      <c r="R7015" s="2" t="inlineStr"/>
    </row>
    <row r="7016" ht="15" customHeight="1">
      <c r="A7016" t="inlineStr">
        <is>
          <t>A 40982-2025</t>
        </is>
      </c>
      <c r="B7016" s="1" t="n">
        <v>45898</v>
      </c>
      <c r="C7016" s="1" t="n">
        <v>45962</v>
      </c>
      <c r="D7016" t="inlineStr">
        <is>
          <t>JÖNKÖPINGS LÄN</t>
        </is>
      </c>
      <c r="E7016" t="inlineStr">
        <is>
          <t>NÄSSJÖ</t>
        </is>
      </c>
      <c r="G7016" t="n">
        <v>1.6</v>
      </c>
      <c r="H7016" t="n">
        <v>0</v>
      </c>
      <c r="I7016" t="n">
        <v>0</v>
      </c>
      <c r="J7016" t="n">
        <v>0</v>
      </c>
      <c r="K7016" t="n">
        <v>0</v>
      </c>
      <c r="L7016" t="n">
        <v>0</v>
      </c>
      <c r="M7016" t="n">
        <v>0</v>
      </c>
      <c r="N7016" t="n">
        <v>0</v>
      </c>
      <c r="O7016" t="n">
        <v>0</v>
      </c>
      <c r="P7016" t="n">
        <v>0</v>
      </c>
      <c r="Q7016" t="n">
        <v>0</v>
      </c>
      <c r="R7016" s="2" t="inlineStr"/>
    </row>
    <row r="7017" ht="15" customHeight="1">
      <c r="A7017" t="inlineStr">
        <is>
          <t>A 41599-2025</t>
        </is>
      </c>
      <c r="B7017" s="1" t="n">
        <v>45901.65664351852</v>
      </c>
      <c r="C7017" s="1" t="n">
        <v>45962</v>
      </c>
      <c r="D7017" t="inlineStr">
        <is>
          <t>JÖNKÖPINGS LÄN</t>
        </is>
      </c>
      <c r="E7017" t="inlineStr">
        <is>
          <t>EKSJÖ</t>
        </is>
      </c>
      <c r="G7017" t="n">
        <v>7.9</v>
      </c>
      <c r="H7017" t="n">
        <v>0</v>
      </c>
      <c r="I7017" t="n">
        <v>0</v>
      </c>
      <c r="J7017" t="n">
        <v>0</v>
      </c>
      <c r="K7017" t="n">
        <v>0</v>
      </c>
      <c r="L7017" t="n">
        <v>0</v>
      </c>
      <c r="M7017" t="n">
        <v>0</v>
      </c>
      <c r="N7017" t="n">
        <v>0</v>
      </c>
      <c r="O7017" t="n">
        <v>0</v>
      </c>
      <c r="P7017" t="n">
        <v>0</v>
      </c>
      <c r="Q7017" t="n">
        <v>0</v>
      </c>
      <c r="R7017" s="2" t="inlineStr"/>
    </row>
    <row r="7018" ht="15" customHeight="1">
      <c r="A7018" t="inlineStr">
        <is>
          <t>A 41624-2025</t>
        </is>
      </c>
      <c r="B7018" s="1" t="n">
        <v>45901.71055555555</v>
      </c>
      <c r="C7018" s="1" t="n">
        <v>45962</v>
      </c>
      <c r="D7018" t="inlineStr">
        <is>
          <t>JÖNKÖPINGS LÄN</t>
        </is>
      </c>
      <c r="E7018" t="inlineStr">
        <is>
          <t>VAGGERYD</t>
        </is>
      </c>
      <c r="G7018" t="n">
        <v>3.7</v>
      </c>
      <c r="H7018" t="n">
        <v>0</v>
      </c>
      <c r="I7018" t="n">
        <v>0</v>
      </c>
      <c r="J7018" t="n">
        <v>0</v>
      </c>
      <c r="K7018" t="n">
        <v>0</v>
      </c>
      <c r="L7018" t="n">
        <v>0</v>
      </c>
      <c r="M7018" t="n">
        <v>0</v>
      </c>
      <c r="N7018" t="n">
        <v>0</v>
      </c>
      <c r="O7018" t="n">
        <v>0</v>
      </c>
      <c r="P7018" t="n">
        <v>0</v>
      </c>
      <c r="Q7018" t="n">
        <v>0</v>
      </c>
      <c r="R7018" s="2" t="inlineStr"/>
    </row>
    <row r="7019" ht="15" customHeight="1">
      <c r="A7019" t="inlineStr">
        <is>
          <t>A 49729-2025</t>
        </is>
      </c>
      <c r="B7019" s="1" t="n">
        <v>45939</v>
      </c>
      <c r="C7019" s="1" t="n">
        <v>45962</v>
      </c>
      <c r="D7019" t="inlineStr">
        <is>
          <t>JÖNKÖPINGS LÄN</t>
        </is>
      </c>
      <c r="E7019" t="inlineStr">
        <is>
          <t>GNOSJÖ</t>
        </is>
      </c>
      <c r="G7019" t="n">
        <v>9.9</v>
      </c>
      <c r="H7019" t="n">
        <v>0</v>
      </c>
      <c r="I7019" t="n">
        <v>0</v>
      </c>
      <c r="J7019" t="n">
        <v>0</v>
      </c>
      <c r="K7019" t="n">
        <v>0</v>
      </c>
      <c r="L7019" t="n">
        <v>0</v>
      </c>
      <c r="M7019" t="n">
        <v>0</v>
      </c>
      <c r="N7019" t="n">
        <v>0</v>
      </c>
      <c r="O7019" t="n">
        <v>0</v>
      </c>
      <c r="P7019" t="n">
        <v>0</v>
      </c>
      <c r="Q7019" t="n">
        <v>0</v>
      </c>
      <c r="R7019" s="2" t="inlineStr"/>
    </row>
    <row r="7020" ht="15" customHeight="1">
      <c r="A7020" t="inlineStr">
        <is>
          <t>A 28587-2025</t>
        </is>
      </c>
      <c r="B7020" s="1" t="n">
        <v>45819.5825462963</v>
      </c>
      <c r="C7020" s="1" t="n">
        <v>45962</v>
      </c>
      <c r="D7020" t="inlineStr">
        <is>
          <t>JÖNKÖPINGS LÄN</t>
        </is>
      </c>
      <c r="E7020" t="inlineStr">
        <is>
          <t>VETLANDA</t>
        </is>
      </c>
      <c r="G7020" t="n">
        <v>1</v>
      </c>
      <c r="H7020" t="n">
        <v>0</v>
      </c>
      <c r="I7020" t="n">
        <v>0</v>
      </c>
      <c r="J7020" t="n">
        <v>0</v>
      </c>
      <c r="K7020" t="n">
        <v>0</v>
      </c>
      <c r="L7020" t="n">
        <v>0</v>
      </c>
      <c r="M7020" t="n">
        <v>0</v>
      </c>
      <c r="N7020" t="n">
        <v>0</v>
      </c>
      <c r="O7020" t="n">
        <v>0</v>
      </c>
      <c r="P7020" t="n">
        <v>0</v>
      </c>
      <c r="Q7020" t="n">
        <v>0</v>
      </c>
      <c r="R7020" s="2" t="inlineStr"/>
    </row>
    <row r="7021" ht="15" customHeight="1">
      <c r="A7021" t="inlineStr">
        <is>
          <t>A 41754-2025</t>
        </is>
      </c>
      <c r="B7021" s="1" t="n">
        <v>45902.5015625</v>
      </c>
      <c r="C7021" s="1" t="n">
        <v>45962</v>
      </c>
      <c r="D7021" t="inlineStr">
        <is>
          <t>JÖNKÖPINGS LÄN</t>
        </is>
      </c>
      <c r="E7021" t="inlineStr">
        <is>
          <t>VETLANDA</t>
        </is>
      </c>
      <c r="G7021" t="n">
        <v>4</v>
      </c>
      <c r="H7021" t="n">
        <v>0</v>
      </c>
      <c r="I7021" t="n">
        <v>0</v>
      </c>
      <c r="J7021" t="n">
        <v>0</v>
      </c>
      <c r="K7021" t="n">
        <v>0</v>
      </c>
      <c r="L7021" t="n">
        <v>0</v>
      </c>
      <c r="M7021" t="n">
        <v>0</v>
      </c>
      <c r="N7021" t="n">
        <v>0</v>
      </c>
      <c r="O7021" t="n">
        <v>0</v>
      </c>
      <c r="P7021" t="n">
        <v>0</v>
      </c>
      <c r="Q7021" t="n">
        <v>0</v>
      </c>
      <c r="R7021" s="2" t="inlineStr"/>
    </row>
    <row r="7022" ht="15" customHeight="1">
      <c r="A7022" t="inlineStr">
        <is>
          <t>A 50648-2025</t>
        </is>
      </c>
      <c r="B7022" s="1" t="n">
        <v>45945.65936342593</v>
      </c>
      <c r="C7022" s="1" t="n">
        <v>45962</v>
      </c>
      <c r="D7022" t="inlineStr">
        <is>
          <t>JÖNKÖPINGS LÄN</t>
        </is>
      </c>
      <c r="E7022" t="inlineStr">
        <is>
          <t>GISLAVED</t>
        </is>
      </c>
      <c r="G7022" t="n">
        <v>1.8</v>
      </c>
      <c r="H7022" t="n">
        <v>0</v>
      </c>
      <c r="I7022" t="n">
        <v>0</v>
      </c>
      <c r="J7022" t="n">
        <v>0</v>
      </c>
      <c r="K7022" t="n">
        <v>0</v>
      </c>
      <c r="L7022" t="n">
        <v>0</v>
      </c>
      <c r="M7022" t="n">
        <v>0</v>
      </c>
      <c r="N7022" t="n">
        <v>0</v>
      </c>
      <c r="O7022" t="n">
        <v>0</v>
      </c>
      <c r="P7022" t="n">
        <v>0</v>
      </c>
      <c r="Q7022" t="n">
        <v>0</v>
      </c>
      <c r="R7022" s="2" t="inlineStr"/>
    </row>
    <row r="7023" ht="15" customHeight="1">
      <c r="A7023" t="inlineStr">
        <is>
          <t>A 48896-2025</t>
        </is>
      </c>
      <c r="B7023" s="1" t="n">
        <v>45936</v>
      </c>
      <c r="C7023" s="1" t="n">
        <v>45962</v>
      </c>
      <c r="D7023" t="inlineStr">
        <is>
          <t>JÖNKÖPINGS LÄN</t>
        </is>
      </c>
      <c r="E7023" t="inlineStr">
        <is>
          <t>GISLAVED</t>
        </is>
      </c>
      <c r="G7023" t="n">
        <v>3.9</v>
      </c>
      <c r="H7023" t="n">
        <v>0</v>
      </c>
      <c r="I7023" t="n">
        <v>0</v>
      </c>
      <c r="J7023" t="n">
        <v>0</v>
      </c>
      <c r="K7023" t="n">
        <v>0</v>
      </c>
      <c r="L7023" t="n">
        <v>0</v>
      </c>
      <c r="M7023" t="n">
        <v>0</v>
      </c>
      <c r="N7023" t="n">
        <v>0</v>
      </c>
      <c r="O7023" t="n">
        <v>0</v>
      </c>
      <c r="P7023" t="n">
        <v>0</v>
      </c>
      <c r="Q7023" t="n">
        <v>0</v>
      </c>
      <c r="R7023" s="2" t="inlineStr"/>
    </row>
    <row r="7024" ht="15" customHeight="1">
      <c r="A7024" t="inlineStr">
        <is>
          <t>A 48911-2025</t>
        </is>
      </c>
      <c r="B7024" s="1" t="n">
        <v>45937</v>
      </c>
      <c r="C7024" s="1" t="n">
        <v>45962</v>
      </c>
      <c r="D7024" t="inlineStr">
        <is>
          <t>JÖNKÖPINGS LÄN</t>
        </is>
      </c>
      <c r="E7024" t="inlineStr">
        <is>
          <t>MULLSJÖ</t>
        </is>
      </c>
      <c r="G7024" t="n">
        <v>1.7</v>
      </c>
      <c r="H7024" t="n">
        <v>0</v>
      </c>
      <c r="I7024" t="n">
        <v>0</v>
      </c>
      <c r="J7024" t="n">
        <v>0</v>
      </c>
      <c r="K7024" t="n">
        <v>0</v>
      </c>
      <c r="L7024" t="n">
        <v>0</v>
      </c>
      <c r="M7024" t="n">
        <v>0</v>
      </c>
      <c r="N7024" t="n">
        <v>0</v>
      </c>
      <c r="O7024" t="n">
        <v>0</v>
      </c>
      <c r="P7024" t="n">
        <v>0</v>
      </c>
      <c r="Q7024" t="n">
        <v>0</v>
      </c>
      <c r="R7024" s="2" t="inlineStr"/>
    </row>
    <row r="7025" ht="15" customHeight="1">
      <c r="A7025" t="inlineStr">
        <is>
          <t>A 48923-2025</t>
        </is>
      </c>
      <c r="B7025" s="1" t="n">
        <v>45937.5018287037</v>
      </c>
      <c r="C7025" s="1" t="n">
        <v>45962</v>
      </c>
      <c r="D7025" t="inlineStr">
        <is>
          <t>JÖNKÖPINGS LÄN</t>
        </is>
      </c>
      <c r="E7025" t="inlineStr">
        <is>
          <t>GISLAVED</t>
        </is>
      </c>
      <c r="G7025" t="n">
        <v>0.9</v>
      </c>
      <c r="H7025" t="n">
        <v>0</v>
      </c>
      <c r="I7025" t="n">
        <v>0</v>
      </c>
      <c r="J7025" t="n">
        <v>0</v>
      </c>
      <c r="K7025" t="n">
        <v>0</v>
      </c>
      <c r="L7025" t="n">
        <v>0</v>
      </c>
      <c r="M7025" t="n">
        <v>0</v>
      </c>
      <c r="N7025" t="n">
        <v>0</v>
      </c>
      <c r="O7025" t="n">
        <v>0</v>
      </c>
      <c r="P7025" t="n">
        <v>0</v>
      </c>
      <c r="Q7025" t="n">
        <v>0</v>
      </c>
      <c r="R7025" s="2" t="inlineStr"/>
    </row>
    <row r="7026" ht="15" customHeight="1">
      <c r="A7026" t="inlineStr">
        <is>
          <t>A 50267-2025</t>
        </is>
      </c>
      <c r="B7026" s="1" t="n">
        <v>45944.34914351852</v>
      </c>
      <c r="C7026" s="1" t="n">
        <v>45962</v>
      </c>
      <c r="D7026" t="inlineStr">
        <is>
          <t>JÖNKÖPINGS LÄN</t>
        </is>
      </c>
      <c r="E7026" t="inlineStr">
        <is>
          <t>EKSJÖ</t>
        </is>
      </c>
      <c r="G7026" t="n">
        <v>3.9</v>
      </c>
      <c r="H7026" t="n">
        <v>0</v>
      </c>
      <c r="I7026" t="n">
        <v>0</v>
      </c>
      <c r="J7026" t="n">
        <v>0</v>
      </c>
      <c r="K7026" t="n">
        <v>0</v>
      </c>
      <c r="L7026" t="n">
        <v>0</v>
      </c>
      <c r="M7026" t="n">
        <v>0</v>
      </c>
      <c r="N7026" t="n">
        <v>0</v>
      </c>
      <c r="O7026" t="n">
        <v>0</v>
      </c>
      <c r="P7026" t="n">
        <v>0</v>
      </c>
      <c r="Q7026" t="n">
        <v>0</v>
      </c>
      <c r="R7026" s="2" t="inlineStr"/>
    </row>
    <row r="7027" ht="15" customHeight="1">
      <c r="A7027" t="inlineStr">
        <is>
          <t>A 13815-2025</t>
        </is>
      </c>
      <c r="B7027" s="1" t="n">
        <v>45737.51153935185</v>
      </c>
      <c r="C7027" s="1" t="n">
        <v>45962</v>
      </c>
      <c r="D7027" t="inlineStr">
        <is>
          <t>JÖNKÖPINGS LÄN</t>
        </is>
      </c>
      <c r="E7027" t="inlineStr">
        <is>
          <t>VETLANDA</t>
        </is>
      </c>
      <c r="G7027" t="n">
        <v>1.4</v>
      </c>
      <c r="H7027" t="n">
        <v>0</v>
      </c>
      <c r="I7027" t="n">
        <v>0</v>
      </c>
      <c r="J7027" t="n">
        <v>0</v>
      </c>
      <c r="K7027" t="n">
        <v>0</v>
      </c>
      <c r="L7027" t="n">
        <v>0</v>
      </c>
      <c r="M7027" t="n">
        <v>0</v>
      </c>
      <c r="N7027" t="n">
        <v>0</v>
      </c>
      <c r="O7027" t="n">
        <v>0</v>
      </c>
      <c r="P7027" t="n">
        <v>0</v>
      </c>
      <c r="Q7027" t="n">
        <v>0</v>
      </c>
      <c r="R7027" s="2" t="inlineStr"/>
    </row>
    <row r="7028" ht="15" customHeight="1">
      <c r="A7028" t="inlineStr">
        <is>
          <t>A 47389-2024</t>
        </is>
      </c>
      <c r="B7028" s="1" t="n">
        <v>45587.46966435185</v>
      </c>
      <c r="C7028" s="1" t="n">
        <v>45962</v>
      </c>
      <c r="D7028" t="inlineStr">
        <is>
          <t>JÖNKÖPINGS LÄN</t>
        </is>
      </c>
      <c r="E7028" t="inlineStr">
        <is>
          <t>VETLANDA</t>
        </is>
      </c>
      <c r="G7028" t="n">
        <v>1.2</v>
      </c>
      <c r="H7028" t="n">
        <v>0</v>
      </c>
      <c r="I7028" t="n">
        <v>0</v>
      </c>
      <c r="J7028" t="n">
        <v>0</v>
      </c>
      <c r="K7028" t="n">
        <v>0</v>
      </c>
      <c r="L7028" t="n">
        <v>0</v>
      </c>
      <c r="M7028" t="n">
        <v>0</v>
      </c>
      <c r="N7028" t="n">
        <v>0</v>
      </c>
      <c r="O7028" t="n">
        <v>0</v>
      </c>
      <c r="P7028" t="n">
        <v>0</v>
      </c>
      <c r="Q7028" t="n">
        <v>0</v>
      </c>
      <c r="R7028" s="2" t="inlineStr"/>
    </row>
    <row r="7029" ht="15" customHeight="1">
      <c r="A7029" t="inlineStr">
        <is>
          <t>A 50663-2025</t>
        </is>
      </c>
      <c r="B7029" s="1" t="n">
        <v>45945.69332175926</v>
      </c>
      <c r="C7029" s="1" t="n">
        <v>45962</v>
      </c>
      <c r="D7029" t="inlineStr">
        <is>
          <t>JÖNKÖPINGS LÄN</t>
        </is>
      </c>
      <c r="E7029" t="inlineStr">
        <is>
          <t>GISLAVED</t>
        </is>
      </c>
      <c r="G7029" t="n">
        <v>0.5</v>
      </c>
      <c r="H7029" t="n">
        <v>0</v>
      </c>
      <c r="I7029" t="n">
        <v>0</v>
      </c>
      <c r="J7029" t="n">
        <v>0</v>
      </c>
      <c r="K7029" t="n">
        <v>0</v>
      </c>
      <c r="L7029" t="n">
        <v>0</v>
      </c>
      <c r="M7029" t="n">
        <v>0</v>
      </c>
      <c r="N7029" t="n">
        <v>0</v>
      </c>
      <c r="O7029" t="n">
        <v>0</v>
      </c>
      <c r="P7029" t="n">
        <v>0</v>
      </c>
      <c r="Q7029" t="n">
        <v>0</v>
      </c>
      <c r="R7029" s="2" t="inlineStr"/>
    </row>
    <row r="7030" ht="15" customHeight="1">
      <c r="A7030" t="inlineStr">
        <is>
          <t>A 41827-2025</t>
        </is>
      </c>
      <c r="B7030" s="1" t="n">
        <v>45902.67267361111</v>
      </c>
      <c r="C7030" s="1" t="n">
        <v>45962</v>
      </c>
      <c r="D7030" t="inlineStr">
        <is>
          <t>JÖNKÖPINGS LÄN</t>
        </is>
      </c>
      <c r="E7030" t="inlineStr">
        <is>
          <t>JÖNKÖPING</t>
        </is>
      </c>
      <c r="G7030" t="n">
        <v>2.9</v>
      </c>
      <c r="H7030" t="n">
        <v>0</v>
      </c>
      <c r="I7030" t="n">
        <v>0</v>
      </c>
      <c r="J7030" t="n">
        <v>0</v>
      </c>
      <c r="K7030" t="n">
        <v>0</v>
      </c>
      <c r="L7030" t="n">
        <v>0</v>
      </c>
      <c r="M7030" t="n">
        <v>0</v>
      </c>
      <c r="N7030" t="n">
        <v>0</v>
      </c>
      <c r="O7030" t="n">
        <v>0</v>
      </c>
      <c r="P7030" t="n">
        <v>0</v>
      </c>
      <c r="Q7030" t="n">
        <v>0</v>
      </c>
      <c r="R7030" s="2" t="inlineStr"/>
    </row>
    <row r="7031" ht="15" customHeight="1">
      <c r="A7031" t="inlineStr">
        <is>
          <t>A 47363-2025</t>
        </is>
      </c>
      <c r="B7031" s="1" t="n">
        <v>45930</v>
      </c>
      <c r="C7031" s="1" t="n">
        <v>45962</v>
      </c>
      <c r="D7031" t="inlineStr">
        <is>
          <t>JÖNKÖPINGS LÄN</t>
        </is>
      </c>
      <c r="E7031" t="inlineStr">
        <is>
          <t>VETLANDA</t>
        </is>
      </c>
      <c r="F7031" t="inlineStr">
        <is>
          <t>Kyrkan</t>
        </is>
      </c>
      <c r="G7031" t="n">
        <v>0.7</v>
      </c>
      <c r="H7031" t="n">
        <v>0</v>
      </c>
      <c r="I7031" t="n">
        <v>0</v>
      </c>
      <c r="J7031" t="n">
        <v>0</v>
      </c>
      <c r="K7031" t="n">
        <v>0</v>
      </c>
      <c r="L7031" t="n">
        <v>0</v>
      </c>
      <c r="M7031" t="n">
        <v>0</v>
      </c>
      <c r="N7031" t="n">
        <v>0</v>
      </c>
      <c r="O7031" t="n">
        <v>0</v>
      </c>
      <c r="P7031" t="n">
        <v>0</v>
      </c>
      <c r="Q7031" t="n">
        <v>0</v>
      </c>
      <c r="R7031" s="2" t="inlineStr"/>
    </row>
    <row r="7032" ht="15" customHeight="1">
      <c r="A7032" t="inlineStr">
        <is>
          <t>A 47372-2025</t>
        </is>
      </c>
      <c r="B7032" s="1" t="n">
        <v>45930</v>
      </c>
      <c r="C7032" s="1" t="n">
        <v>45962</v>
      </c>
      <c r="D7032" t="inlineStr">
        <is>
          <t>JÖNKÖPINGS LÄN</t>
        </is>
      </c>
      <c r="E7032" t="inlineStr">
        <is>
          <t>VETLANDA</t>
        </is>
      </c>
      <c r="F7032" t="inlineStr">
        <is>
          <t>Kyrkan</t>
        </is>
      </c>
      <c r="G7032" t="n">
        <v>0.8</v>
      </c>
      <c r="H7032" t="n">
        <v>0</v>
      </c>
      <c r="I7032" t="n">
        <v>0</v>
      </c>
      <c r="J7032" t="n">
        <v>0</v>
      </c>
      <c r="K7032" t="n">
        <v>0</v>
      </c>
      <c r="L7032" t="n">
        <v>0</v>
      </c>
      <c r="M7032" t="n">
        <v>0</v>
      </c>
      <c r="N7032" t="n">
        <v>0</v>
      </c>
      <c r="O7032" t="n">
        <v>0</v>
      </c>
      <c r="P7032" t="n">
        <v>0</v>
      </c>
      <c r="Q7032" t="n">
        <v>0</v>
      </c>
      <c r="R7032" s="2" t="inlineStr"/>
    </row>
    <row r="7033" ht="15" customHeight="1">
      <c r="A7033" t="inlineStr">
        <is>
          <t>A 50415-2025</t>
        </is>
      </c>
      <c r="B7033" s="1" t="n">
        <v>45944.64800925926</v>
      </c>
      <c r="C7033" s="1" t="n">
        <v>45962</v>
      </c>
      <c r="D7033" t="inlineStr">
        <is>
          <t>JÖNKÖPINGS LÄN</t>
        </is>
      </c>
      <c r="E7033" t="inlineStr">
        <is>
          <t>VAGGERYD</t>
        </is>
      </c>
      <c r="G7033" t="n">
        <v>1.6</v>
      </c>
      <c r="H7033" t="n">
        <v>0</v>
      </c>
      <c r="I7033" t="n">
        <v>0</v>
      </c>
      <c r="J7033" t="n">
        <v>0</v>
      </c>
      <c r="K7033" t="n">
        <v>0</v>
      </c>
      <c r="L7033" t="n">
        <v>0</v>
      </c>
      <c r="M7033" t="n">
        <v>0</v>
      </c>
      <c r="N7033" t="n">
        <v>0</v>
      </c>
      <c r="O7033" t="n">
        <v>0</v>
      </c>
      <c r="P7033" t="n">
        <v>0</v>
      </c>
      <c r="Q7033" t="n">
        <v>0</v>
      </c>
      <c r="R7033" s="2" t="inlineStr"/>
    </row>
    <row r="7034" ht="15" customHeight="1">
      <c r="A7034" t="inlineStr">
        <is>
          <t>A 50433-2025</t>
        </is>
      </c>
      <c r="B7034" s="1" t="n">
        <v>45944.69631944445</v>
      </c>
      <c r="C7034" s="1" t="n">
        <v>45962</v>
      </c>
      <c r="D7034" t="inlineStr">
        <is>
          <t>JÖNKÖPINGS LÄN</t>
        </is>
      </c>
      <c r="E7034" t="inlineStr">
        <is>
          <t>VETLANDA</t>
        </is>
      </c>
      <c r="G7034" t="n">
        <v>1.9</v>
      </c>
      <c r="H7034" t="n">
        <v>0</v>
      </c>
      <c r="I7034" t="n">
        <v>0</v>
      </c>
      <c r="J7034" t="n">
        <v>0</v>
      </c>
      <c r="K7034" t="n">
        <v>0</v>
      </c>
      <c r="L7034" t="n">
        <v>0</v>
      </c>
      <c r="M7034" t="n">
        <v>0</v>
      </c>
      <c r="N7034" t="n">
        <v>0</v>
      </c>
      <c r="O7034" t="n">
        <v>0</v>
      </c>
      <c r="P7034" t="n">
        <v>0</v>
      </c>
      <c r="Q7034" t="n">
        <v>0</v>
      </c>
      <c r="R7034" s="2" t="inlineStr"/>
    </row>
    <row r="7035" ht="15" customHeight="1">
      <c r="A7035" t="inlineStr">
        <is>
          <t>A 39826-2022</t>
        </is>
      </c>
      <c r="B7035" s="1" t="n">
        <v>44819</v>
      </c>
      <c r="C7035" s="1" t="n">
        <v>45962</v>
      </c>
      <c r="D7035" t="inlineStr">
        <is>
          <t>JÖNKÖPINGS LÄN</t>
        </is>
      </c>
      <c r="E7035" t="inlineStr">
        <is>
          <t>VETLANDA</t>
        </is>
      </c>
      <c r="F7035" t="inlineStr">
        <is>
          <t>Övriga Aktiebolag</t>
        </is>
      </c>
      <c r="G7035" t="n">
        <v>3.4</v>
      </c>
      <c r="H7035" t="n">
        <v>0</v>
      </c>
      <c r="I7035" t="n">
        <v>0</v>
      </c>
      <c r="J7035" t="n">
        <v>0</v>
      </c>
      <c r="K7035" t="n">
        <v>0</v>
      </c>
      <c r="L7035" t="n">
        <v>0</v>
      </c>
      <c r="M7035" t="n">
        <v>0</v>
      </c>
      <c r="N7035" t="n">
        <v>0</v>
      </c>
      <c r="O7035" t="n">
        <v>0</v>
      </c>
      <c r="P7035" t="n">
        <v>0</v>
      </c>
      <c r="Q7035" t="n">
        <v>0</v>
      </c>
      <c r="R7035" s="2" t="inlineStr"/>
    </row>
    <row r="7036" ht="15" customHeight="1">
      <c r="A7036" t="inlineStr">
        <is>
          <t>A 41962-2025</t>
        </is>
      </c>
      <c r="B7036" s="1" t="n">
        <v>45903.46984953704</v>
      </c>
      <c r="C7036" s="1" t="n">
        <v>45962</v>
      </c>
      <c r="D7036" t="inlineStr">
        <is>
          <t>JÖNKÖPINGS LÄN</t>
        </is>
      </c>
      <c r="E7036" t="inlineStr">
        <is>
          <t>HABO</t>
        </is>
      </c>
      <c r="G7036" t="n">
        <v>0.7</v>
      </c>
      <c r="H7036" t="n">
        <v>0</v>
      </c>
      <c r="I7036" t="n">
        <v>0</v>
      </c>
      <c r="J7036" t="n">
        <v>0</v>
      </c>
      <c r="K7036" t="n">
        <v>0</v>
      </c>
      <c r="L7036" t="n">
        <v>0</v>
      </c>
      <c r="M7036" t="n">
        <v>0</v>
      </c>
      <c r="N7036" t="n">
        <v>0</v>
      </c>
      <c r="O7036" t="n">
        <v>0</v>
      </c>
      <c r="P7036" t="n">
        <v>0</v>
      </c>
      <c r="Q7036" t="n">
        <v>0</v>
      </c>
      <c r="R7036" s="2" t="inlineStr"/>
    </row>
    <row r="7037" ht="15" customHeight="1">
      <c r="A7037" t="inlineStr">
        <is>
          <t>A 41902-2025</t>
        </is>
      </c>
      <c r="B7037" s="1" t="n">
        <v>45903.39982638889</v>
      </c>
      <c r="C7037" s="1" t="n">
        <v>45962</v>
      </c>
      <c r="D7037" t="inlineStr">
        <is>
          <t>JÖNKÖPINGS LÄN</t>
        </is>
      </c>
      <c r="E7037" t="inlineStr">
        <is>
          <t>VETLANDA</t>
        </is>
      </c>
      <c r="G7037" t="n">
        <v>1</v>
      </c>
      <c r="H7037" t="n">
        <v>0</v>
      </c>
      <c r="I7037" t="n">
        <v>0</v>
      </c>
      <c r="J7037" t="n">
        <v>0</v>
      </c>
      <c r="K7037" t="n">
        <v>0</v>
      </c>
      <c r="L7037" t="n">
        <v>0</v>
      </c>
      <c r="M7037" t="n">
        <v>0</v>
      </c>
      <c r="N7037" t="n">
        <v>0</v>
      </c>
      <c r="O7037" t="n">
        <v>0</v>
      </c>
      <c r="P7037" t="n">
        <v>0</v>
      </c>
      <c r="Q7037" t="n">
        <v>0</v>
      </c>
      <c r="R7037" s="2" t="inlineStr"/>
    </row>
    <row r="7038" ht="15" customHeight="1">
      <c r="A7038" t="inlineStr">
        <is>
          <t>A 41904-2025</t>
        </is>
      </c>
      <c r="B7038" s="1" t="n">
        <v>45903.40201388889</v>
      </c>
      <c r="C7038" s="1" t="n">
        <v>45962</v>
      </c>
      <c r="D7038" t="inlineStr">
        <is>
          <t>JÖNKÖPINGS LÄN</t>
        </is>
      </c>
      <c r="E7038" t="inlineStr">
        <is>
          <t>VETLANDA</t>
        </is>
      </c>
      <c r="G7038" t="n">
        <v>1.1</v>
      </c>
      <c r="H7038" t="n">
        <v>0</v>
      </c>
      <c r="I7038" t="n">
        <v>0</v>
      </c>
      <c r="J7038" t="n">
        <v>0</v>
      </c>
      <c r="K7038" t="n">
        <v>0</v>
      </c>
      <c r="L7038" t="n">
        <v>0</v>
      </c>
      <c r="M7038" t="n">
        <v>0</v>
      </c>
      <c r="N7038" t="n">
        <v>0</v>
      </c>
      <c r="O7038" t="n">
        <v>0</v>
      </c>
      <c r="P7038" t="n">
        <v>0</v>
      </c>
      <c r="Q7038" t="n">
        <v>0</v>
      </c>
      <c r="R7038" s="2" t="inlineStr"/>
    </row>
    <row r="7039" ht="15" customHeight="1">
      <c r="A7039" t="inlineStr">
        <is>
          <t>A 41914-2025</t>
        </is>
      </c>
      <c r="B7039" s="1" t="n">
        <v>45903.41489583333</v>
      </c>
      <c r="C7039" s="1" t="n">
        <v>45962</v>
      </c>
      <c r="D7039" t="inlineStr">
        <is>
          <t>JÖNKÖPINGS LÄN</t>
        </is>
      </c>
      <c r="E7039" t="inlineStr">
        <is>
          <t>SÄVSJÖ</t>
        </is>
      </c>
      <c r="G7039" t="n">
        <v>0.9</v>
      </c>
      <c r="H7039" t="n">
        <v>0</v>
      </c>
      <c r="I7039" t="n">
        <v>0</v>
      </c>
      <c r="J7039" t="n">
        <v>0</v>
      </c>
      <c r="K7039" t="n">
        <v>0</v>
      </c>
      <c r="L7039" t="n">
        <v>0</v>
      </c>
      <c r="M7039" t="n">
        <v>0</v>
      </c>
      <c r="N7039" t="n">
        <v>0</v>
      </c>
      <c r="O7039" t="n">
        <v>0</v>
      </c>
      <c r="P7039" t="n">
        <v>0</v>
      </c>
      <c r="Q7039" t="n">
        <v>0</v>
      </c>
      <c r="R7039" s="2" t="inlineStr"/>
    </row>
    <row r="7040" ht="15" customHeight="1">
      <c r="A7040" t="inlineStr">
        <is>
          <t>A 50439-2025</t>
        </is>
      </c>
      <c r="B7040" s="1" t="n">
        <v>45944.81758101852</v>
      </c>
      <c r="C7040" s="1" t="n">
        <v>45962</v>
      </c>
      <c r="D7040" t="inlineStr">
        <is>
          <t>JÖNKÖPINGS LÄN</t>
        </is>
      </c>
      <c r="E7040" t="inlineStr">
        <is>
          <t>NÄSSJÖ</t>
        </is>
      </c>
      <c r="G7040" t="n">
        <v>0.9</v>
      </c>
      <c r="H7040" t="n">
        <v>0</v>
      </c>
      <c r="I7040" t="n">
        <v>0</v>
      </c>
      <c r="J7040" t="n">
        <v>0</v>
      </c>
      <c r="K7040" t="n">
        <v>0</v>
      </c>
      <c r="L7040" t="n">
        <v>0</v>
      </c>
      <c r="M7040" t="n">
        <v>0</v>
      </c>
      <c r="N7040" t="n">
        <v>0</v>
      </c>
      <c r="O7040" t="n">
        <v>0</v>
      </c>
      <c r="P7040" t="n">
        <v>0</v>
      </c>
      <c r="Q7040" t="n">
        <v>0</v>
      </c>
      <c r="R7040" s="2" t="inlineStr"/>
    </row>
    <row r="7041" ht="15" customHeight="1">
      <c r="A7041" t="inlineStr">
        <is>
          <t>A 50644-2025</t>
        </is>
      </c>
      <c r="B7041" s="1" t="n">
        <v>45945.65668981482</v>
      </c>
      <c r="C7041" s="1" t="n">
        <v>45962</v>
      </c>
      <c r="D7041" t="inlineStr">
        <is>
          <t>JÖNKÖPINGS LÄN</t>
        </is>
      </c>
      <c r="E7041" t="inlineStr">
        <is>
          <t>VÄRNAMO</t>
        </is>
      </c>
      <c r="G7041" t="n">
        <v>2.1</v>
      </c>
      <c r="H7041" t="n">
        <v>0</v>
      </c>
      <c r="I7041" t="n">
        <v>0</v>
      </c>
      <c r="J7041" t="n">
        <v>0</v>
      </c>
      <c r="K7041" t="n">
        <v>0</v>
      </c>
      <c r="L7041" t="n">
        <v>0</v>
      </c>
      <c r="M7041" t="n">
        <v>0</v>
      </c>
      <c r="N7041" t="n">
        <v>0</v>
      </c>
      <c r="O7041" t="n">
        <v>0</v>
      </c>
      <c r="P7041" t="n">
        <v>0</v>
      </c>
      <c r="Q7041" t="n">
        <v>0</v>
      </c>
      <c r="R7041" s="2" t="inlineStr"/>
    </row>
    <row r="7042" ht="15" customHeight="1">
      <c r="A7042" t="inlineStr">
        <is>
          <t>A 38767-2025</t>
        </is>
      </c>
      <c r="B7042" s="1" t="n">
        <v>45887.41344907408</v>
      </c>
      <c r="C7042" s="1" t="n">
        <v>45962</v>
      </c>
      <c r="D7042" t="inlineStr">
        <is>
          <t>JÖNKÖPINGS LÄN</t>
        </is>
      </c>
      <c r="E7042" t="inlineStr">
        <is>
          <t>VÄRNAMO</t>
        </is>
      </c>
      <c r="G7042" t="n">
        <v>0.7</v>
      </c>
      <c r="H7042" t="n">
        <v>0</v>
      </c>
      <c r="I7042" t="n">
        <v>0</v>
      </c>
      <c r="J7042" t="n">
        <v>0</v>
      </c>
      <c r="K7042" t="n">
        <v>0</v>
      </c>
      <c r="L7042" t="n">
        <v>0</v>
      </c>
      <c r="M7042" t="n">
        <v>0</v>
      </c>
      <c r="N7042" t="n">
        <v>0</v>
      </c>
      <c r="O7042" t="n">
        <v>0</v>
      </c>
      <c r="P7042" t="n">
        <v>0</v>
      </c>
      <c r="Q7042" t="n">
        <v>0</v>
      </c>
      <c r="R7042" s="2" t="inlineStr"/>
    </row>
    <row r="7043" ht="15" customHeight="1">
      <c r="A7043" t="inlineStr">
        <is>
          <t>A 45911-2023</t>
        </is>
      </c>
      <c r="B7043" s="1" t="n">
        <v>45195.79671296296</v>
      </c>
      <c r="C7043" s="1" t="n">
        <v>45962</v>
      </c>
      <c r="D7043" t="inlineStr">
        <is>
          <t>JÖNKÖPINGS LÄN</t>
        </is>
      </c>
      <c r="E7043" t="inlineStr">
        <is>
          <t>EKSJÖ</t>
        </is>
      </c>
      <c r="G7043" t="n">
        <v>1.5</v>
      </c>
      <c r="H7043" t="n">
        <v>0</v>
      </c>
      <c r="I7043" t="n">
        <v>0</v>
      </c>
      <c r="J7043" t="n">
        <v>0</v>
      </c>
      <c r="K7043" t="n">
        <v>0</v>
      </c>
      <c r="L7043" t="n">
        <v>0</v>
      </c>
      <c r="M7043" t="n">
        <v>0</v>
      </c>
      <c r="N7043" t="n">
        <v>0</v>
      </c>
      <c r="O7043" t="n">
        <v>0</v>
      </c>
      <c r="P7043" t="n">
        <v>0</v>
      </c>
      <c r="Q7043" t="n">
        <v>0</v>
      </c>
      <c r="R7043" s="2" t="inlineStr"/>
    </row>
    <row r="7044" ht="15" customHeight="1">
      <c r="A7044" t="inlineStr">
        <is>
          <t>A 50525-2025</t>
        </is>
      </c>
      <c r="B7044" s="1" t="n">
        <v>45945.46814814815</v>
      </c>
      <c r="C7044" s="1" t="n">
        <v>45962</v>
      </c>
      <c r="D7044" t="inlineStr">
        <is>
          <t>JÖNKÖPINGS LÄN</t>
        </is>
      </c>
      <c r="E7044" t="inlineStr">
        <is>
          <t>GISLAVED</t>
        </is>
      </c>
      <c r="G7044" t="n">
        <v>1</v>
      </c>
      <c r="H7044" t="n">
        <v>0</v>
      </c>
      <c r="I7044" t="n">
        <v>0</v>
      </c>
      <c r="J7044" t="n">
        <v>0</v>
      </c>
      <c r="K7044" t="n">
        <v>0</v>
      </c>
      <c r="L7044" t="n">
        <v>0</v>
      </c>
      <c r="M7044" t="n">
        <v>0</v>
      </c>
      <c r="N7044" t="n">
        <v>0</v>
      </c>
      <c r="O7044" t="n">
        <v>0</v>
      </c>
      <c r="P7044" t="n">
        <v>0</v>
      </c>
      <c r="Q7044" t="n">
        <v>0</v>
      </c>
      <c r="R7044" s="2" t="inlineStr"/>
    </row>
    <row r="7045" ht="15" customHeight="1">
      <c r="A7045" t="inlineStr">
        <is>
          <t>A 50640-2025</t>
        </is>
      </c>
      <c r="B7045" s="1" t="n">
        <v>45945.6556712963</v>
      </c>
      <c r="C7045" s="1" t="n">
        <v>45962</v>
      </c>
      <c r="D7045" t="inlineStr">
        <is>
          <t>JÖNKÖPINGS LÄN</t>
        </is>
      </c>
      <c r="E7045" t="inlineStr">
        <is>
          <t>VÄRNAMO</t>
        </is>
      </c>
      <c r="G7045" t="n">
        <v>0.6</v>
      </c>
      <c r="H7045" t="n">
        <v>0</v>
      </c>
      <c r="I7045" t="n">
        <v>0</v>
      </c>
      <c r="J7045" t="n">
        <v>0</v>
      </c>
      <c r="K7045" t="n">
        <v>0</v>
      </c>
      <c r="L7045" t="n">
        <v>0</v>
      </c>
      <c r="M7045" t="n">
        <v>0</v>
      </c>
      <c r="N7045" t="n">
        <v>0</v>
      </c>
      <c r="O7045" t="n">
        <v>0</v>
      </c>
      <c r="P7045" t="n">
        <v>0</v>
      </c>
      <c r="Q7045" t="n">
        <v>0</v>
      </c>
      <c r="R7045" s="2" t="inlineStr"/>
    </row>
    <row r="7046" ht="15" customHeight="1">
      <c r="A7046" t="inlineStr">
        <is>
          <t>A 42071-2025</t>
        </is>
      </c>
      <c r="B7046" s="1" t="n">
        <v>45903.66241898148</v>
      </c>
      <c r="C7046" s="1" t="n">
        <v>45962</v>
      </c>
      <c r="D7046" t="inlineStr">
        <is>
          <t>JÖNKÖPINGS LÄN</t>
        </is>
      </c>
      <c r="E7046" t="inlineStr">
        <is>
          <t>ANEBY</t>
        </is>
      </c>
      <c r="G7046" t="n">
        <v>2</v>
      </c>
      <c r="H7046" t="n">
        <v>0</v>
      </c>
      <c r="I7046" t="n">
        <v>0</v>
      </c>
      <c r="J7046" t="n">
        <v>0</v>
      </c>
      <c r="K7046" t="n">
        <v>0</v>
      </c>
      <c r="L7046" t="n">
        <v>0</v>
      </c>
      <c r="M7046" t="n">
        <v>0</v>
      </c>
      <c r="N7046" t="n">
        <v>0</v>
      </c>
      <c r="O7046" t="n">
        <v>0</v>
      </c>
      <c r="P7046" t="n">
        <v>0</v>
      </c>
      <c r="Q7046" t="n">
        <v>0</v>
      </c>
      <c r="R7046" s="2" t="inlineStr"/>
    </row>
    <row r="7047" ht="15" customHeight="1">
      <c r="A7047" t="inlineStr">
        <is>
          <t>A 61254-2024</t>
        </is>
      </c>
      <c r="B7047" s="1" t="n">
        <v>45645.70311342592</v>
      </c>
      <c r="C7047" s="1" t="n">
        <v>45962</v>
      </c>
      <c r="D7047" t="inlineStr">
        <is>
          <t>JÖNKÖPINGS LÄN</t>
        </is>
      </c>
      <c r="E7047" t="inlineStr">
        <is>
          <t>VETLANDA</t>
        </is>
      </c>
      <c r="G7047" t="n">
        <v>2.3</v>
      </c>
      <c r="H7047" t="n">
        <v>0</v>
      </c>
      <c r="I7047" t="n">
        <v>0</v>
      </c>
      <c r="J7047" t="n">
        <v>0</v>
      </c>
      <c r="K7047" t="n">
        <v>0</v>
      </c>
      <c r="L7047" t="n">
        <v>0</v>
      </c>
      <c r="M7047" t="n">
        <v>0</v>
      </c>
      <c r="N7047" t="n">
        <v>0</v>
      </c>
      <c r="O7047" t="n">
        <v>0</v>
      </c>
      <c r="P7047" t="n">
        <v>0</v>
      </c>
      <c r="Q7047" t="n">
        <v>0</v>
      </c>
      <c r="R7047" s="2" t="inlineStr"/>
    </row>
    <row r="7048" ht="15" customHeight="1">
      <c r="A7048" t="inlineStr">
        <is>
          <t>A 41686-2025</t>
        </is>
      </c>
      <c r="B7048" s="1" t="n">
        <v>45902.38627314815</v>
      </c>
      <c r="C7048" s="1" t="n">
        <v>45962</v>
      </c>
      <c r="D7048" t="inlineStr">
        <is>
          <t>JÖNKÖPINGS LÄN</t>
        </is>
      </c>
      <c r="E7048" t="inlineStr">
        <is>
          <t>VETLANDA</t>
        </is>
      </c>
      <c r="G7048" t="n">
        <v>3.3</v>
      </c>
      <c r="H7048" t="n">
        <v>0</v>
      </c>
      <c r="I7048" t="n">
        <v>0</v>
      </c>
      <c r="J7048" t="n">
        <v>0</v>
      </c>
      <c r="K7048" t="n">
        <v>0</v>
      </c>
      <c r="L7048" t="n">
        <v>0</v>
      </c>
      <c r="M7048" t="n">
        <v>0</v>
      </c>
      <c r="N7048" t="n">
        <v>0</v>
      </c>
      <c r="O7048" t="n">
        <v>0</v>
      </c>
      <c r="P7048" t="n">
        <v>0</v>
      </c>
      <c r="Q7048" t="n">
        <v>0</v>
      </c>
      <c r="R7048" s="2" t="inlineStr"/>
    </row>
    <row r="7049" ht="15" customHeight="1">
      <c r="A7049" t="inlineStr">
        <is>
          <t>A 41689-2025</t>
        </is>
      </c>
      <c r="B7049" s="1" t="n">
        <v>45902.40195601852</v>
      </c>
      <c r="C7049" s="1" t="n">
        <v>45962</v>
      </c>
      <c r="D7049" t="inlineStr">
        <is>
          <t>JÖNKÖPINGS LÄN</t>
        </is>
      </c>
      <c r="E7049" t="inlineStr">
        <is>
          <t>VETLANDA</t>
        </is>
      </c>
      <c r="G7049" t="n">
        <v>1.3</v>
      </c>
      <c r="H7049" t="n">
        <v>0</v>
      </c>
      <c r="I7049" t="n">
        <v>0</v>
      </c>
      <c r="J7049" t="n">
        <v>0</v>
      </c>
      <c r="K7049" t="n">
        <v>0</v>
      </c>
      <c r="L7049" t="n">
        <v>0</v>
      </c>
      <c r="M7049" t="n">
        <v>0</v>
      </c>
      <c r="N7049" t="n">
        <v>0</v>
      </c>
      <c r="O7049" t="n">
        <v>0</v>
      </c>
      <c r="P7049" t="n">
        <v>0</v>
      </c>
      <c r="Q7049" t="n">
        <v>0</v>
      </c>
      <c r="R7049" s="2" t="inlineStr"/>
    </row>
    <row r="7050" ht="15" customHeight="1">
      <c r="A7050" t="inlineStr">
        <is>
          <t>A 50621-2025</t>
        </is>
      </c>
      <c r="B7050" s="1" t="n">
        <v>45945.63202546296</v>
      </c>
      <c r="C7050" s="1" t="n">
        <v>45962</v>
      </c>
      <c r="D7050" t="inlineStr">
        <is>
          <t>JÖNKÖPINGS LÄN</t>
        </is>
      </c>
      <c r="E7050" t="inlineStr">
        <is>
          <t>TRANÅS</t>
        </is>
      </c>
      <c r="G7050" t="n">
        <v>1.7</v>
      </c>
      <c r="H7050" t="n">
        <v>0</v>
      </c>
      <c r="I7050" t="n">
        <v>0</v>
      </c>
      <c r="J7050" t="n">
        <v>0</v>
      </c>
      <c r="K7050" t="n">
        <v>0</v>
      </c>
      <c r="L7050" t="n">
        <v>0</v>
      </c>
      <c r="M7050" t="n">
        <v>0</v>
      </c>
      <c r="N7050" t="n">
        <v>0</v>
      </c>
      <c r="O7050" t="n">
        <v>0</v>
      </c>
      <c r="P7050" t="n">
        <v>0</v>
      </c>
      <c r="Q7050" t="n">
        <v>0</v>
      </c>
      <c r="R7050" s="2" t="inlineStr"/>
    </row>
    <row r="7051" ht="15" customHeight="1">
      <c r="A7051" t="inlineStr">
        <is>
          <t>A 42320-2025</t>
        </is>
      </c>
      <c r="B7051" s="1" t="n">
        <v>45903</v>
      </c>
      <c r="C7051" s="1" t="n">
        <v>45962</v>
      </c>
      <c r="D7051" t="inlineStr">
        <is>
          <t>JÖNKÖPINGS LÄN</t>
        </is>
      </c>
      <c r="E7051" t="inlineStr">
        <is>
          <t>NÄSSJÖ</t>
        </is>
      </c>
      <c r="G7051" t="n">
        <v>4.8</v>
      </c>
      <c r="H7051" t="n">
        <v>0</v>
      </c>
      <c r="I7051" t="n">
        <v>0</v>
      </c>
      <c r="J7051" t="n">
        <v>0</v>
      </c>
      <c r="K7051" t="n">
        <v>0</v>
      </c>
      <c r="L7051" t="n">
        <v>0</v>
      </c>
      <c r="M7051" t="n">
        <v>0</v>
      </c>
      <c r="N7051" t="n">
        <v>0</v>
      </c>
      <c r="O7051" t="n">
        <v>0</v>
      </c>
      <c r="P7051" t="n">
        <v>0</v>
      </c>
      <c r="Q7051" t="n">
        <v>0</v>
      </c>
      <c r="R7051" s="2" t="inlineStr"/>
    </row>
    <row r="7052" ht="15" customHeight="1">
      <c r="A7052" t="inlineStr">
        <is>
          <t>A 41738-2025</t>
        </is>
      </c>
      <c r="B7052" s="1" t="n">
        <v>45902.47337962963</v>
      </c>
      <c r="C7052" s="1" t="n">
        <v>45962</v>
      </c>
      <c r="D7052" t="inlineStr">
        <is>
          <t>JÖNKÖPINGS LÄN</t>
        </is>
      </c>
      <c r="E7052" t="inlineStr">
        <is>
          <t>GISLAVED</t>
        </is>
      </c>
      <c r="G7052" t="n">
        <v>1.5</v>
      </c>
      <c r="H7052" t="n">
        <v>0</v>
      </c>
      <c r="I7052" t="n">
        <v>0</v>
      </c>
      <c r="J7052" t="n">
        <v>0</v>
      </c>
      <c r="K7052" t="n">
        <v>0</v>
      </c>
      <c r="L7052" t="n">
        <v>0</v>
      </c>
      <c r="M7052" t="n">
        <v>0</v>
      </c>
      <c r="N7052" t="n">
        <v>0</v>
      </c>
      <c r="O7052" t="n">
        <v>0</v>
      </c>
      <c r="P7052" t="n">
        <v>0</v>
      </c>
      <c r="Q7052" t="n">
        <v>0</v>
      </c>
      <c r="R7052" s="2" t="inlineStr"/>
    </row>
    <row r="7053" ht="15" customHeight="1">
      <c r="A7053" t="inlineStr">
        <is>
          <t>A 38766-2025</t>
        </is>
      </c>
      <c r="B7053" s="1" t="n">
        <v>45887.40935185185</v>
      </c>
      <c r="C7053" s="1" t="n">
        <v>45962</v>
      </c>
      <c r="D7053" t="inlineStr">
        <is>
          <t>JÖNKÖPINGS LÄN</t>
        </is>
      </c>
      <c r="E7053" t="inlineStr">
        <is>
          <t>VÄRNAMO</t>
        </is>
      </c>
      <c r="G7053" t="n">
        <v>2.3</v>
      </c>
      <c r="H7053" t="n">
        <v>0</v>
      </c>
      <c r="I7053" t="n">
        <v>0</v>
      </c>
      <c r="J7053" t="n">
        <v>0</v>
      </c>
      <c r="K7053" t="n">
        <v>0</v>
      </c>
      <c r="L7053" t="n">
        <v>0</v>
      </c>
      <c r="M7053" t="n">
        <v>0</v>
      </c>
      <c r="N7053" t="n">
        <v>0</v>
      </c>
      <c r="O7053" t="n">
        <v>0</v>
      </c>
      <c r="P7053" t="n">
        <v>0</v>
      </c>
      <c r="Q7053" t="n">
        <v>0</v>
      </c>
      <c r="R7053" s="2" t="inlineStr"/>
    </row>
    <row r="7054" ht="15" customHeight="1">
      <c r="A7054" t="inlineStr">
        <is>
          <t>A 41700-2025</t>
        </is>
      </c>
      <c r="B7054" s="1" t="n">
        <v>45902.4108449074</v>
      </c>
      <c r="C7054" s="1" t="n">
        <v>45962</v>
      </c>
      <c r="D7054" t="inlineStr">
        <is>
          <t>JÖNKÖPINGS LÄN</t>
        </is>
      </c>
      <c r="E7054" t="inlineStr">
        <is>
          <t>VETLANDA</t>
        </is>
      </c>
      <c r="G7054" t="n">
        <v>0.5</v>
      </c>
      <c r="H7054" t="n">
        <v>0</v>
      </c>
      <c r="I7054" t="n">
        <v>0</v>
      </c>
      <c r="J7054" t="n">
        <v>0</v>
      </c>
      <c r="K7054" t="n">
        <v>0</v>
      </c>
      <c r="L7054" t="n">
        <v>0</v>
      </c>
      <c r="M7054" t="n">
        <v>0</v>
      </c>
      <c r="N7054" t="n">
        <v>0</v>
      </c>
      <c r="O7054" t="n">
        <v>0</v>
      </c>
      <c r="P7054" t="n">
        <v>0</v>
      </c>
      <c r="Q7054" t="n">
        <v>0</v>
      </c>
      <c r="R7054" s="2" t="inlineStr"/>
    </row>
    <row r="7055" ht="15" customHeight="1">
      <c r="A7055" t="inlineStr">
        <is>
          <t>A 48842-2025</t>
        </is>
      </c>
      <c r="B7055" s="1" t="n">
        <v>45937.42376157407</v>
      </c>
      <c r="C7055" s="1" t="n">
        <v>45962</v>
      </c>
      <c r="D7055" t="inlineStr">
        <is>
          <t>JÖNKÖPINGS LÄN</t>
        </is>
      </c>
      <c r="E7055" t="inlineStr">
        <is>
          <t>VÄRNAMO</t>
        </is>
      </c>
      <c r="G7055" t="n">
        <v>0.8</v>
      </c>
      <c r="H7055" t="n">
        <v>0</v>
      </c>
      <c r="I7055" t="n">
        <v>0</v>
      </c>
      <c r="J7055" t="n">
        <v>0</v>
      </c>
      <c r="K7055" t="n">
        <v>0</v>
      </c>
      <c r="L7055" t="n">
        <v>0</v>
      </c>
      <c r="M7055" t="n">
        <v>0</v>
      </c>
      <c r="N7055" t="n">
        <v>0</v>
      </c>
      <c r="O7055" t="n">
        <v>0</v>
      </c>
      <c r="P7055" t="n">
        <v>0</v>
      </c>
      <c r="Q7055" t="n">
        <v>0</v>
      </c>
      <c r="R7055" s="2" t="inlineStr"/>
    </row>
    <row r="7056" ht="15" customHeight="1">
      <c r="A7056" t="inlineStr">
        <is>
          <t>A 50628-2025</t>
        </is>
      </c>
      <c r="B7056" s="1" t="n">
        <v>45945.64072916667</v>
      </c>
      <c r="C7056" s="1" t="n">
        <v>45962</v>
      </c>
      <c r="D7056" t="inlineStr">
        <is>
          <t>JÖNKÖPINGS LÄN</t>
        </is>
      </c>
      <c r="E7056" t="inlineStr">
        <is>
          <t>JÖNKÖPING</t>
        </is>
      </c>
      <c r="G7056" t="n">
        <v>3.4</v>
      </c>
      <c r="H7056" t="n">
        <v>0</v>
      </c>
      <c r="I7056" t="n">
        <v>0</v>
      </c>
      <c r="J7056" t="n">
        <v>0</v>
      </c>
      <c r="K7056" t="n">
        <v>0</v>
      </c>
      <c r="L7056" t="n">
        <v>0</v>
      </c>
      <c r="M7056" t="n">
        <v>0</v>
      </c>
      <c r="N7056" t="n">
        <v>0</v>
      </c>
      <c r="O7056" t="n">
        <v>0</v>
      </c>
      <c r="P7056" t="n">
        <v>0</v>
      </c>
      <c r="Q7056" t="n">
        <v>0</v>
      </c>
      <c r="R7056" s="2" t="inlineStr"/>
    </row>
    <row r="7057" ht="15" customHeight="1">
      <c r="A7057" t="inlineStr">
        <is>
          <t>A 32361-2025</t>
        </is>
      </c>
      <c r="B7057" s="1" t="n">
        <v>45837.63300925926</v>
      </c>
      <c r="C7057" s="1" t="n">
        <v>45962</v>
      </c>
      <c r="D7057" t="inlineStr">
        <is>
          <t>JÖNKÖPINGS LÄN</t>
        </is>
      </c>
      <c r="E7057" t="inlineStr">
        <is>
          <t>EKSJÖ</t>
        </is>
      </c>
      <c r="G7057" t="n">
        <v>1.3</v>
      </c>
      <c r="H7057" t="n">
        <v>0</v>
      </c>
      <c r="I7057" t="n">
        <v>0</v>
      </c>
      <c r="J7057" t="n">
        <v>0</v>
      </c>
      <c r="K7057" t="n">
        <v>0</v>
      </c>
      <c r="L7057" t="n">
        <v>0</v>
      </c>
      <c r="M7057" t="n">
        <v>0</v>
      </c>
      <c r="N7057" t="n">
        <v>0</v>
      </c>
      <c r="O7057" t="n">
        <v>0</v>
      </c>
      <c r="P7057" t="n">
        <v>0</v>
      </c>
      <c r="Q7057" t="n">
        <v>0</v>
      </c>
      <c r="R7057" s="2" t="inlineStr"/>
    </row>
    <row r="7058" ht="15" customHeight="1">
      <c r="A7058" t="inlineStr">
        <is>
          <t>A 46884-2024</t>
        </is>
      </c>
      <c r="B7058" s="1" t="n">
        <v>45583.65795138889</v>
      </c>
      <c r="C7058" s="1" t="n">
        <v>45962</v>
      </c>
      <c r="D7058" t="inlineStr">
        <is>
          <t>JÖNKÖPINGS LÄN</t>
        </is>
      </c>
      <c r="E7058" t="inlineStr">
        <is>
          <t>VETLANDA</t>
        </is>
      </c>
      <c r="G7058" t="n">
        <v>2.4</v>
      </c>
      <c r="H7058" t="n">
        <v>0</v>
      </c>
      <c r="I7058" t="n">
        <v>0</v>
      </c>
      <c r="J7058" t="n">
        <v>0</v>
      </c>
      <c r="K7058" t="n">
        <v>0</v>
      </c>
      <c r="L7058" t="n">
        <v>0</v>
      </c>
      <c r="M7058" t="n">
        <v>0</v>
      </c>
      <c r="N7058" t="n">
        <v>0</v>
      </c>
      <c r="O7058" t="n">
        <v>0</v>
      </c>
      <c r="P7058" t="n">
        <v>0</v>
      </c>
      <c r="Q7058" t="n">
        <v>0</v>
      </c>
      <c r="R7058" s="2" t="inlineStr"/>
    </row>
    <row r="7059" ht="15" customHeight="1">
      <c r="A7059" t="inlineStr">
        <is>
          <t>A 41801-2025</t>
        </is>
      </c>
      <c r="B7059" s="1" t="n">
        <v>45902.6129050926</v>
      </c>
      <c r="C7059" s="1" t="n">
        <v>45962</v>
      </c>
      <c r="D7059" t="inlineStr">
        <is>
          <t>JÖNKÖPINGS LÄN</t>
        </is>
      </c>
      <c r="E7059" t="inlineStr">
        <is>
          <t>GISLAVED</t>
        </is>
      </c>
      <c r="G7059" t="n">
        <v>1.7</v>
      </c>
      <c r="H7059" t="n">
        <v>0</v>
      </c>
      <c r="I7059" t="n">
        <v>0</v>
      </c>
      <c r="J7059" t="n">
        <v>0</v>
      </c>
      <c r="K7059" t="n">
        <v>0</v>
      </c>
      <c r="L7059" t="n">
        <v>0</v>
      </c>
      <c r="M7059" t="n">
        <v>0</v>
      </c>
      <c r="N7059" t="n">
        <v>0</v>
      </c>
      <c r="O7059" t="n">
        <v>0</v>
      </c>
      <c r="P7059" t="n">
        <v>0</v>
      </c>
      <c r="Q7059" t="n">
        <v>0</v>
      </c>
      <c r="R7059" s="2" t="inlineStr"/>
    </row>
    <row r="7060" ht="15" customHeight="1">
      <c r="A7060" t="inlineStr">
        <is>
          <t>A 41747-2025</t>
        </is>
      </c>
      <c r="B7060" s="1" t="n">
        <v>45902.48900462963</v>
      </c>
      <c r="C7060" s="1" t="n">
        <v>45962</v>
      </c>
      <c r="D7060" t="inlineStr">
        <is>
          <t>JÖNKÖPINGS LÄN</t>
        </is>
      </c>
      <c r="E7060" t="inlineStr">
        <is>
          <t>VAGGERYD</t>
        </is>
      </c>
      <c r="G7060" t="n">
        <v>1.9</v>
      </c>
      <c r="H7060" t="n">
        <v>0</v>
      </c>
      <c r="I7060" t="n">
        <v>0</v>
      </c>
      <c r="J7060" t="n">
        <v>0</v>
      </c>
      <c r="K7060" t="n">
        <v>0</v>
      </c>
      <c r="L7060" t="n">
        <v>0</v>
      </c>
      <c r="M7060" t="n">
        <v>0</v>
      </c>
      <c r="N7060" t="n">
        <v>0</v>
      </c>
      <c r="O7060" t="n">
        <v>0</v>
      </c>
      <c r="P7060" t="n">
        <v>0</v>
      </c>
      <c r="Q7060" t="n">
        <v>0</v>
      </c>
      <c r="R7060" s="2" t="inlineStr"/>
    </row>
    <row r="7061" ht="15" customHeight="1">
      <c r="A7061" t="inlineStr">
        <is>
          <t>A 50289-2025</t>
        </is>
      </c>
      <c r="B7061" s="1" t="n">
        <v>45944.40170138889</v>
      </c>
      <c r="C7061" s="1" t="n">
        <v>45962</v>
      </c>
      <c r="D7061" t="inlineStr">
        <is>
          <t>JÖNKÖPINGS LÄN</t>
        </is>
      </c>
      <c r="E7061" t="inlineStr">
        <is>
          <t>EKSJÖ</t>
        </is>
      </c>
      <c r="G7061" t="n">
        <v>3.8</v>
      </c>
      <c r="H7061" t="n">
        <v>0</v>
      </c>
      <c r="I7061" t="n">
        <v>0</v>
      </c>
      <c r="J7061" t="n">
        <v>0</v>
      </c>
      <c r="K7061" t="n">
        <v>0</v>
      </c>
      <c r="L7061" t="n">
        <v>0</v>
      </c>
      <c r="M7061" t="n">
        <v>0</v>
      </c>
      <c r="N7061" t="n">
        <v>0</v>
      </c>
      <c r="O7061" t="n">
        <v>0</v>
      </c>
      <c r="P7061" t="n">
        <v>0</v>
      </c>
      <c r="Q7061" t="n">
        <v>0</v>
      </c>
      <c r="R7061" s="2" t="inlineStr"/>
    </row>
    <row r="7062" ht="15" customHeight="1">
      <c r="A7062" t="inlineStr">
        <is>
          <t>A 41667-2025</t>
        </is>
      </c>
      <c r="B7062" s="1" t="n">
        <v>45902.35972222222</v>
      </c>
      <c r="C7062" s="1" t="n">
        <v>45962</v>
      </c>
      <c r="D7062" t="inlineStr">
        <is>
          <t>JÖNKÖPINGS LÄN</t>
        </is>
      </c>
      <c r="E7062" t="inlineStr">
        <is>
          <t>VÄRNAMO</t>
        </is>
      </c>
      <c r="G7062" t="n">
        <v>3.1</v>
      </c>
      <c r="H7062" t="n">
        <v>0</v>
      </c>
      <c r="I7062" t="n">
        <v>0</v>
      </c>
      <c r="J7062" t="n">
        <v>0</v>
      </c>
      <c r="K7062" t="n">
        <v>0</v>
      </c>
      <c r="L7062" t="n">
        <v>0</v>
      </c>
      <c r="M7062" t="n">
        <v>0</v>
      </c>
      <c r="N7062" t="n">
        <v>0</v>
      </c>
      <c r="O7062" t="n">
        <v>0</v>
      </c>
      <c r="P7062" t="n">
        <v>0</v>
      </c>
      <c r="Q7062" t="n">
        <v>0</v>
      </c>
      <c r="R7062" s="2" t="inlineStr"/>
    </row>
    <row r="7063" ht="15" customHeight="1">
      <c r="A7063" t="inlineStr">
        <is>
          <t>A 41832-2025</t>
        </is>
      </c>
      <c r="B7063" s="1" t="n">
        <v>45902.68703703704</v>
      </c>
      <c r="C7063" s="1" t="n">
        <v>45962</v>
      </c>
      <c r="D7063" t="inlineStr">
        <is>
          <t>JÖNKÖPINGS LÄN</t>
        </is>
      </c>
      <c r="E7063" t="inlineStr">
        <is>
          <t>GNOSJÖ</t>
        </is>
      </c>
      <c r="G7063" t="n">
        <v>2.1</v>
      </c>
      <c r="H7063" t="n">
        <v>0</v>
      </c>
      <c r="I7063" t="n">
        <v>0</v>
      </c>
      <c r="J7063" t="n">
        <v>0</v>
      </c>
      <c r="K7063" t="n">
        <v>0</v>
      </c>
      <c r="L7063" t="n">
        <v>0</v>
      </c>
      <c r="M7063" t="n">
        <v>0</v>
      </c>
      <c r="N7063" t="n">
        <v>0</v>
      </c>
      <c r="O7063" t="n">
        <v>0</v>
      </c>
      <c r="P7063" t="n">
        <v>0</v>
      </c>
      <c r="Q7063" t="n">
        <v>0</v>
      </c>
      <c r="R7063" s="2" t="inlineStr"/>
    </row>
    <row r="7064" ht="15" customHeight="1">
      <c r="A7064" t="inlineStr">
        <is>
          <t>A 50550-2025</t>
        </is>
      </c>
      <c r="B7064" s="1" t="n">
        <v>45945.51461805555</v>
      </c>
      <c r="C7064" s="1" t="n">
        <v>45962</v>
      </c>
      <c r="D7064" t="inlineStr">
        <is>
          <t>JÖNKÖPINGS LÄN</t>
        </is>
      </c>
      <c r="E7064" t="inlineStr">
        <is>
          <t>VÄRNAMO</t>
        </is>
      </c>
      <c r="G7064" t="n">
        <v>2</v>
      </c>
      <c r="H7064" t="n">
        <v>0</v>
      </c>
      <c r="I7064" t="n">
        <v>0</v>
      </c>
      <c r="J7064" t="n">
        <v>0</v>
      </c>
      <c r="K7064" t="n">
        <v>0</v>
      </c>
      <c r="L7064" t="n">
        <v>0</v>
      </c>
      <c r="M7064" t="n">
        <v>0</v>
      </c>
      <c r="N7064" t="n">
        <v>0</v>
      </c>
      <c r="O7064" t="n">
        <v>0</v>
      </c>
      <c r="P7064" t="n">
        <v>0</v>
      </c>
      <c r="Q7064" t="n">
        <v>0</v>
      </c>
      <c r="R7064" s="2" t="inlineStr"/>
    </row>
    <row r="7065" ht="15" customHeight="1">
      <c r="A7065" t="inlineStr">
        <is>
          <t>A 50418-2025</t>
        </is>
      </c>
      <c r="B7065" s="1" t="n">
        <v>45944.65075231482</v>
      </c>
      <c r="C7065" s="1" t="n">
        <v>45962</v>
      </c>
      <c r="D7065" t="inlineStr">
        <is>
          <t>JÖNKÖPINGS LÄN</t>
        </is>
      </c>
      <c r="E7065" t="inlineStr">
        <is>
          <t>VAGGERYD</t>
        </is>
      </c>
      <c r="G7065" t="n">
        <v>0.8</v>
      </c>
      <c r="H7065" t="n">
        <v>0</v>
      </c>
      <c r="I7065" t="n">
        <v>0</v>
      </c>
      <c r="J7065" t="n">
        <v>0</v>
      </c>
      <c r="K7065" t="n">
        <v>0</v>
      </c>
      <c r="L7065" t="n">
        <v>0</v>
      </c>
      <c r="M7065" t="n">
        <v>0</v>
      </c>
      <c r="N7065" t="n">
        <v>0</v>
      </c>
      <c r="O7065" t="n">
        <v>0</v>
      </c>
      <c r="P7065" t="n">
        <v>0</v>
      </c>
      <c r="Q7065" t="n">
        <v>0</v>
      </c>
      <c r="R7065" s="2" t="inlineStr"/>
    </row>
    <row r="7066" ht="15" customHeight="1">
      <c r="A7066" t="inlineStr">
        <is>
          <t>A 50686-2025</t>
        </is>
      </c>
      <c r="B7066" s="1" t="n">
        <v>45945.82383101852</v>
      </c>
      <c r="C7066" s="1" t="n">
        <v>45962</v>
      </c>
      <c r="D7066" t="inlineStr">
        <is>
          <t>JÖNKÖPINGS LÄN</t>
        </is>
      </c>
      <c r="E7066" t="inlineStr">
        <is>
          <t>TRANÅS</t>
        </is>
      </c>
      <c r="G7066" t="n">
        <v>1.1</v>
      </c>
      <c r="H7066" t="n">
        <v>0</v>
      </c>
      <c r="I7066" t="n">
        <v>0</v>
      </c>
      <c r="J7066" t="n">
        <v>0</v>
      </c>
      <c r="K7066" t="n">
        <v>0</v>
      </c>
      <c r="L7066" t="n">
        <v>0</v>
      </c>
      <c r="M7066" t="n">
        <v>0</v>
      </c>
      <c r="N7066" t="n">
        <v>0</v>
      </c>
      <c r="O7066" t="n">
        <v>0</v>
      </c>
      <c r="P7066" t="n">
        <v>0</v>
      </c>
      <c r="Q7066" t="n">
        <v>0</v>
      </c>
      <c r="R7066" s="2" t="inlineStr"/>
    </row>
    <row r="7067" ht="15" customHeight="1">
      <c r="A7067" t="inlineStr">
        <is>
          <t>A 41826-2025</t>
        </is>
      </c>
      <c r="B7067" s="1" t="n">
        <v>45902.67114583333</v>
      </c>
      <c r="C7067" s="1" t="n">
        <v>45962</v>
      </c>
      <c r="D7067" t="inlineStr">
        <is>
          <t>JÖNKÖPINGS LÄN</t>
        </is>
      </c>
      <c r="E7067" t="inlineStr">
        <is>
          <t>GNOSJÖ</t>
        </is>
      </c>
      <c r="G7067" t="n">
        <v>0.7</v>
      </c>
      <c r="H7067" t="n">
        <v>0</v>
      </c>
      <c r="I7067" t="n">
        <v>0</v>
      </c>
      <c r="J7067" t="n">
        <v>0</v>
      </c>
      <c r="K7067" t="n">
        <v>0</v>
      </c>
      <c r="L7067" t="n">
        <v>0</v>
      </c>
      <c r="M7067" t="n">
        <v>0</v>
      </c>
      <c r="N7067" t="n">
        <v>0</v>
      </c>
      <c r="O7067" t="n">
        <v>0</v>
      </c>
      <c r="P7067" t="n">
        <v>0</v>
      </c>
      <c r="Q7067" t="n">
        <v>0</v>
      </c>
      <c r="R7067" s="2" t="inlineStr"/>
    </row>
    <row r="7068" ht="15" customHeight="1">
      <c r="A7068" t="inlineStr">
        <is>
          <t>A 50330-2025</t>
        </is>
      </c>
      <c r="B7068" s="1" t="n">
        <v>45944.46826388889</v>
      </c>
      <c r="C7068" s="1" t="n">
        <v>45962</v>
      </c>
      <c r="D7068" t="inlineStr">
        <is>
          <t>JÖNKÖPINGS LÄN</t>
        </is>
      </c>
      <c r="E7068" t="inlineStr">
        <is>
          <t>VETLANDA</t>
        </is>
      </c>
      <c r="G7068" t="n">
        <v>1.7</v>
      </c>
      <c r="H7068" t="n">
        <v>0</v>
      </c>
      <c r="I7068" t="n">
        <v>0</v>
      </c>
      <c r="J7068" t="n">
        <v>0</v>
      </c>
      <c r="K7068" t="n">
        <v>0</v>
      </c>
      <c r="L7068" t="n">
        <v>0</v>
      </c>
      <c r="M7068" t="n">
        <v>0</v>
      </c>
      <c r="N7068" t="n">
        <v>0</v>
      </c>
      <c r="O7068" t="n">
        <v>0</v>
      </c>
      <c r="P7068" t="n">
        <v>0</v>
      </c>
      <c r="Q7068" t="n">
        <v>0</v>
      </c>
      <c r="R7068" s="2" t="inlineStr"/>
    </row>
    <row r="7069" ht="15" customHeight="1">
      <c r="A7069" t="inlineStr">
        <is>
          <t>A 51244-2025</t>
        </is>
      </c>
      <c r="B7069" s="1" t="n">
        <v>45947.80585648148</v>
      </c>
      <c r="C7069" s="1" t="n">
        <v>45962</v>
      </c>
      <c r="D7069" t="inlineStr">
        <is>
          <t>JÖNKÖPINGS LÄN</t>
        </is>
      </c>
      <c r="E7069" t="inlineStr">
        <is>
          <t>EKSJÖ</t>
        </is>
      </c>
      <c r="G7069" t="n">
        <v>2.1</v>
      </c>
      <c r="H7069" t="n">
        <v>0</v>
      </c>
      <c r="I7069" t="n">
        <v>0</v>
      </c>
      <c r="J7069" t="n">
        <v>0</v>
      </c>
      <c r="K7069" t="n">
        <v>0</v>
      </c>
      <c r="L7069" t="n">
        <v>0</v>
      </c>
      <c r="M7069" t="n">
        <v>0</v>
      </c>
      <c r="N7069" t="n">
        <v>0</v>
      </c>
      <c r="O7069" t="n">
        <v>0</v>
      </c>
      <c r="P7069" t="n">
        <v>0</v>
      </c>
      <c r="Q7069" t="n">
        <v>0</v>
      </c>
      <c r="R7069" s="2" t="inlineStr"/>
    </row>
    <row r="7070" ht="15" customHeight="1">
      <c r="A7070" t="inlineStr">
        <is>
          <t>A 21017-2025</t>
        </is>
      </c>
      <c r="B7070" s="1" t="n">
        <v>45777.50512731481</v>
      </c>
      <c r="C7070" s="1" t="n">
        <v>45962</v>
      </c>
      <c r="D7070" t="inlineStr">
        <is>
          <t>JÖNKÖPINGS LÄN</t>
        </is>
      </c>
      <c r="E7070" t="inlineStr">
        <is>
          <t>JÖNKÖPING</t>
        </is>
      </c>
      <c r="G7070" t="n">
        <v>3.5</v>
      </c>
      <c r="H7070" t="n">
        <v>0</v>
      </c>
      <c r="I7070" t="n">
        <v>0</v>
      </c>
      <c r="J7070" t="n">
        <v>0</v>
      </c>
      <c r="K7070" t="n">
        <v>0</v>
      </c>
      <c r="L7070" t="n">
        <v>0</v>
      </c>
      <c r="M7070" t="n">
        <v>0</v>
      </c>
      <c r="N7070" t="n">
        <v>0</v>
      </c>
      <c r="O7070" t="n">
        <v>0</v>
      </c>
      <c r="P7070" t="n">
        <v>0</v>
      </c>
      <c r="Q7070" t="n">
        <v>0</v>
      </c>
      <c r="R7070" s="2" t="inlineStr"/>
    </row>
    <row r="7071" ht="15" customHeight="1">
      <c r="A7071" t="inlineStr">
        <is>
          <t>A 50831-2025</t>
        </is>
      </c>
      <c r="B7071" s="1" t="n">
        <v>45946.55384259259</v>
      </c>
      <c r="C7071" s="1" t="n">
        <v>45962</v>
      </c>
      <c r="D7071" t="inlineStr">
        <is>
          <t>JÖNKÖPINGS LÄN</t>
        </is>
      </c>
      <c r="E7071" t="inlineStr">
        <is>
          <t>VÄRNAMO</t>
        </is>
      </c>
      <c r="G7071" t="n">
        <v>0.8</v>
      </c>
      <c r="H7071" t="n">
        <v>0</v>
      </c>
      <c r="I7071" t="n">
        <v>0</v>
      </c>
      <c r="J7071" t="n">
        <v>0</v>
      </c>
      <c r="K7071" t="n">
        <v>0</v>
      </c>
      <c r="L7071" t="n">
        <v>0</v>
      </c>
      <c r="M7071" t="n">
        <v>0</v>
      </c>
      <c r="N7071" t="n">
        <v>0</v>
      </c>
      <c r="O7071" t="n">
        <v>0</v>
      </c>
      <c r="P7071" t="n">
        <v>0</v>
      </c>
      <c r="Q7071" t="n">
        <v>0</v>
      </c>
      <c r="R7071" s="2" t="inlineStr"/>
    </row>
    <row r="7072" ht="15" customHeight="1">
      <c r="A7072" t="inlineStr">
        <is>
          <t>A 50855-2025</t>
        </is>
      </c>
      <c r="B7072" s="1" t="n">
        <v>45946.58961805556</v>
      </c>
      <c r="C7072" s="1" t="n">
        <v>45962</v>
      </c>
      <c r="D7072" t="inlineStr">
        <is>
          <t>JÖNKÖPINGS LÄN</t>
        </is>
      </c>
      <c r="E7072" t="inlineStr">
        <is>
          <t>JÖNKÖPING</t>
        </is>
      </c>
      <c r="G7072" t="n">
        <v>1.9</v>
      </c>
      <c r="H7072" t="n">
        <v>0</v>
      </c>
      <c r="I7072" t="n">
        <v>0</v>
      </c>
      <c r="J7072" t="n">
        <v>0</v>
      </c>
      <c r="K7072" t="n">
        <v>0</v>
      </c>
      <c r="L7072" t="n">
        <v>0</v>
      </c>
      <c r="M7072" t="n">
        <v>0</v>
      </c>
      <c r="N7072" t="n">
        <v>0</v>
      </c>
      <c r="O7072" t="n">
        <v>0</v>
      </c>
      <c r="P7072" t="n">
        <v>0</v>
      </c>
      <c r="Q7072" t="n">
        <v>0</v>
      </c>
      <c r="R7072" s="2" t="inlineStr"/>
    </row>
    <row r="7073" ht="15" customHeight="1">
      <c r="A7073" t="inlineStr">
        <is>
          <t>A 42357-2025</t>
        </is>
      </c>
      <c r="B7073" s="1" t="n">
        <v>45905.29668981482</v>
      </c>
      <c r="C7073" s="1" t="n">
        <v>45962</v>
      </c>
      <c r="D7073" t="inlineStr">
        <is>
          <t>JÖNKÖPINGS LÄN</t>
        </is>
      </c>
      <c r="E7073" t="inlineStr">
        <is>
          <t>JÖNKÖPING</t>
        </is>
      </c>
      <c r="G7073" t="n">
        <v>0.9</v>
      </c>
      <c r="H7073" t="n">
        <v>0</v>
      </c>
      <c r="I7073" t="n">
        <v>0</v>
      </c>
      <c r="J7073" t="n">
        <v>0</v>
      </c>
      <c r="K7073" t="n">
        <v>0</v>
      </c>
      <c r="L7073" t="n">
        <v>0</v>
      </c>
      <c r="M7073" t="n">
        <v>0</v>
      </c>
      <c r="N7073" t="n">
        <v>0</v>
      </c>
      <c r="O7073" t="n">
        <v>0</v>
      </c>
      <c r="P7073" t="n">
        <v>0</v>
      </c>
      <c r="Q7073" t="n">
        <v>0</v>
      </c>
      <c r="R7073" s="2" t="inlineStr"/>
    </row>
    <row r="7074" ht="15" customHeight="1">
      <c r="A7074" t="inlineStr">
        <is>
          <t>A 42358-2025</t>
        </is>
      </c>
      <c r="B7074" s="1" t="n">
        <v>45905.2990162037</v>
      </c>
      <c r="C7074" s="1" t="n">
        <v>45962</v>
      </c>
      <c r="D7074" t="inlineStr">
        <is>
          <t>JÖNKÖPINGS LÄN</t>
        </is>
      </c>
      <c r="E7074" t="inlineStr">
        <is>
          <t>JÖNKÖPING</t>
        </is>
      </c>
      <c r="G7074" t="n">
        <v>0.8</v>
      </c>
      <c r="H7074" t="n">
        <v>0</v>
      </c>
      <c r="I7074" t="n">
        <v>0</v>
      </c>
      <c r="J7074" t="n">
        <v>0</v>
      </c>
      <c r="K7074" t="n">
        <v>0</v>
      </c>
      <c r="L7074" t="n">
        <v>0</v>
      </c>
      <c r="M7074" t="n">
        <v>0</v>
      </c>
      <c r="N7074" t="n">
        <v>0</v>
      </c>
      <c r="O7074" t="n">
        <v>0</v>
      </c>
      <c r="P7074" t="n">
        <v>0</v>
      </c>
      <c r="Q7074" t="n">
        <v>0</v>
      </c>
      <c r="R7074" s="2" t="inlineStr"/>
    </row>
    <row r="7075" ht="15" customHeight="1">
      <c r="A7075" t="inlineStr">
        <is>
          <t>A 42502-2025</t>
        </is>
      </c>
      <c r="B7075" s="1" t="n">
        <v>45905.52668981482</v>
      </c>
      <c r="C7075" s="1" t="n">
        <v>45962</v>
      </c>
      <c r="D7075" t="inlineStr">
        <is>
          <t>JÖNKÖPINGS LÄN</t>
        </is>
      </c>
      <c r="E7075" t="inlineStr">
        <is>
          <t>NÄSSJÖ</t>
        </is>
      </c>
      <c r="G7075" t="n">
        <v>0.8</v>
      </c>
      <c r="H7075" t="n">
        <v>0</v>
      </c>
      <c r="I7075" t="n">
        <v>0</v>
      </c>
      <c r="J7075" t="n">
        <v>0</v>
      </c>
      <c r="K7075" t="n">
        <v>0</v>
      </c>
      <c r="L7075" t="n">
        <v>0</v>
      </c>
      <c r="M7075" t="n">
        <v>0</v>
      </c>
      <c r="N7075" t="n">
        <v>0</v>
      </c>
      <c r="O7075" t="n">
        <v>0</v>
      </c>
      <c r="P7075" t="n">
        <v>0</v>
      </c>
      <c r="Q7075" t="n">
        <v>0</v>
      </c>
      <c r="R7075" s="2" t="inlineStr"/>
    </row>
    <row r="7076" ht="15" customHeight="1">
      <c r="A7076" t="inlineStr">
        <is>
          <t>A 42135-2025</t>
        </is>
      </c>
      <c r="B7076" s="1" t="n">
        <v>45904.34918981481</v>
      </c>
      <c r="C7076" s="1" t="n">
        <v>45962</v>
      </c>
      <c r="D7076" t="inlineStr">
        <is>
          <t>JÖNKÖPINGS LÄN</t>
        </is>
      </c>
      <c r="E7076" t="inlineStr">
        <is>
          <t>EKSJÖ</t>
        </is>
      </c>
      <c r="G7076" t="n">
        <v>2.4</v>
      </c>
      <c r="H7076" t="n">
        <v>0</v>
      </c>
      <c r="I7076" t="n">
        <v>0</v>
      </c>
      <c r="J7076" t="n">
        <v>0</v>
      </c>
      <c r="K7076" t="n">
        <v>0</v>
      </c>
      <c r="L7076" t="n">
        <v>0</v>
      </c>
      <c r="M7076" t="n">
        <v>0</v>
      </c>
      <c r="N7076" t="n">
        <v>0</v>
      </c>
      <c r="O7076" t="n">
        <v>0</v>
      </c>
      <c r="P7076" t="n">
        <v>0</v>
      </c>
      <c r="Q7076" t="n">
        <v>0</v>
      </c>
      <c r="R7076" s="2" t="inlineStr"/>
    </row>
    <row r="7077" ht="15" customHeight="1">
      <c r="A7077" t="inlineStr">
        <is>
          <t>A 42148-2025</t>
        </is>
      </c>
      <c r="B7077" s="1" t="n">
        <v>45904</v>
      </c>
      <c r="C7077" s="1" t="n">
        <v>45962</v>
      </c>
      <c r="D7077" t="inlineStr">
        <is>
          <t>JÖNKÖPINGS LÄN</t>
        </is>
      </c>
      <c r="E7077" t="inlineStr">
        <is>
          <t>VETLANDA</t>
        </is>
      </c>
      <c r="G7077" t="n">
        <v>0.9</v>
      </c>
      <c r="H7077" t="n">
        <v>0</v>
      </c>
      <c r="I7077" t="n">
        <v>0</v>
      </c>
      <c r="J7077" t="n">
        <v>0</v>
      </c>
      <c r="K7077" t="n">
        <v>0</v>
      </c>
      <c r="L7077" t="n">
        <v>0</v>
      </c>
      <c r="M7077" t="n">
        <v>0</v>
      </c>
      <c r="N7077" t="n">
        <v>0</v>
      </c>
      <c r="O7077" t="n">
        <v>0</v>
      </c>
      <c r="P7077" t="n">
        <v>0</v>
      </c>
      <c r="Q7077" t="n">
        <v>0</v>
      </c>
      <c r="R7077" s="2" t="inlineStr"/>
    </row>
    <row r="7078" ht="15" customHeight="1">
      <c r="A7078" t="inlineStr">
        <is>
          <t>A 42387-2025</t>
        </is>
      </c>
      <c r="B7078" s="1" t="n">
        <v>45905.35075231481</v>
      </c>
      <c r="C7078" s="1" t="n">
        <v>45962</v>
      </c>
      <c r="D7078" t="inlineStr">
        <is>
          <t>JÖNKÖPINGS LÄN</t>
        </is>
      </c>
      <c r="E7078" t="inlineStr">
        <is>
          <t>SÄVSJÖ</t>
        </is>
      </c>
      <c r="G7078" t="n">
        <v>2.9</v>
      </c>
      <c r="H7078" t="n">
        <v>0</v>
      </c>
      <c r="I7078" t="n">
        <v>0</v>
      </c>
      <c r="J7078" t="n">
        <v>0</v>
      </c>
      <c r="K7078" t="n">
        <v>0</v>
      </c>
      <c r="L7078" t="n">
        <v>0</v>
      </c>
      <c r="M7078" t="n">
        <v>0</v>
      </c>
      <c r="N7078" t="n">
        <v>0</v>
      </c>
      <c r="O7078" t="n">
        <v>0</v>
      </c>
      <c r="P7078" t="n">
        <v>0</v>
      </c>
      <c r="Q7078" t="n">
        <v>0</v>
      </c>
      <c r="R7078" s="2" t="inlineStr"/>
    </row>
    <row r="7079" ht="15" customHeight="1">
      <c r="A7079" t="inlineStr">
        <is>
          <t>A 50966-2025</t>
        </is>
      </c>
      <c r="B7079" s="1" t="n">
        <v>45946.9609375</v>
      </c>
      <c r="C7079" s="1" t="n">
        <v>45962</v>
      </c>
      <c r="D7079" t="inlineStr">
        <is>
          <t>JÖNKÖPINGS LÄN</t>
        </is>
      </c>
      <c r="E7079" t="inlineStr">
        <is>
          <t>NÄSSJÖ</t>
        </is>
      </c>
      <c r="G7079" t="n">
        <v>1.1</v>
      </c>
      <c r="H7079" t="n">
        <v>0</v>
      </c>
      <c r="I7079" t="n">
        <v>0</v>
      </c>
      <c r="J7079" t="n">
        <v>0</v>
      </c>
      <c r="K7079" t="n">
        <v>0</v>
      </c>
      <c r="L7079" t="n">
        <v>0</v>
      </c>
      <c r="M7079" t="n">
        <v>0</v>
      </c>
      <c r="N7079" t="n">
        <v>0</v>
      </c>
      <c r="O7079" t="n">
        <v>0</v>
      </c>
      <c r="P7079" t="n">
        <v>0</v>
      </c>
      <c r="Q7079" t="n">
        <v>0</v>
      </c>
      <c r="R7079" s="2" t="inlineStr"/>
    </row>
    <row r="7080" ht="15" customHeight="1">
      <c r="A7080" t="inlineStr">
        <is>
          <t>A 51011-2025</t>
        </is>
      </c>
      <c r="B7080" s="1" t="n">
        <v>45947.37923611111</v>
      </c>
      <c r="C7080" s="1" t="n">
        <v>45962</v>
      </c>
      <c r="D7080" t="inlineStr">
        <is>
          <t>JÖNKÖPINGS LÄN</t>
        </is>
      </c>
      <c r="E7080" t="inlineStr">
        <is>
          <t>NÄSSJÖ</t>
        </is>
      </c>
      <c r="G7080" t="n">
        <v>0.6</v>
      </c>
      <c r="H7080" t="n">
        <v>0</v>
      </c>
      <c r="I7080" t="n">
        <v>0</v>
      </c>
      <c r="J7080" t="n">
        <v>0</v>
      </c>
      <c r="K7080" t="n">
        <v>0</v>
      </c>
      <c r="L7080" t="n">
        <v>0</v>
      </c>
      <c r="M7080" t="n">
        <v>0</v>
      </c>
      <c r="N7080" t="n">
        <v>0</v>
      </c>
      <c r="O7080" t="n">
        <v>0</v>
      </c>
      <c r="P7080" t="n">
        <v>0</v>
      </c>
      <c r="Q7080" t="n">
        <v>0</v>
      </c>
      <c r="R7080" s="2" t="inlineStr"/>
    </row>
    <row r="7081" ht="15" customHeight="1">
      <c r="A7081" t="inlineStr">
        <is>
          <t>A 42119-2025</t>
        </is>
      </c>
      <c r="B7081" s="1" t="n">
        <v>45904.33833333333</v>
      </c>
      <c r="C7081" s="1" t="n">
        <v>45962</v>
      </c>
      <c r="D7081" t="inlineStr">
        <is>
          <t>JÖNKÖPINGS LÄN</t>
        </is>
      </c>
      <c r="E7081" t="inlineStr">
        <is>
          <t>NÄSSJÖ</t>
        </is>
      </c>
      <c r="G7081" t="n">
        <v>1.7</v>
      </c>
      <c r="H7081" t="n">
        <v>0</v>
      </c>
      <c r="I7081" t="n">
        <v>0</v>
      </c>
      <c r="J7081" t="n">
        <v>0</v>
      </c>
      <c r="K7081" t="n">
        <v>0</v>
      </c>
      <c r="L7081" t="n">
        <v>0</v>
      </c>
      <c r="M7081" t="n">
        <v>0</v>
      </c>
      <c r="N7081" t="n">
        <v>0</v>
      </c>
      <c r="O7081" t="n">
        <v>0</v>
      </c>
      <c r="P7081" t="n">
        <v>0</v>
      </c>
      <c r="Q7081" t="n">
        <v>0</v>
      </c>
      <c r="R7081" s="2" t="inlineStr"/>
    </row>
    <row r="7082" ht="15" customHeight="1">
      <c r="A7082" t="inlineStr">
        <is>
          <t>A 42184-2025</t>
        </is>
      </c>
      <c r="B7082" s="1" t="n">
        <v>45904.45391203704</v>
      </c>
      <c r="C7082" s="1" t="n">
        <v>45962</v>
      </c>
      <c r="D7082" t="inlineStr">
        <is>
          <t>JÖNKÖPINGS LÄN</t>
        </is>
      </c>
      <c r="E7082" t="inlineStr">
        <is>
          <t>GISLAVED</t>
        </is>
      </c>
      <c r="G7082" t="n">
        <v>1.2</v>
      </c>
      <c r="H7082" t="n">
        <v>0</v>
      </c>
      <c r="I7082" t="n">
        <v>0</v>
      </c>
      <c r="J7082" t="n">
        <v>0</v>
      </c>
      <c r="K7082" t="n">
        <v>0</v>
      </c>
      <c r="L7082" t="n">
        <v>0</v>
      </c>
      <c r="M7082" t="n">
        <v>0</v>
      </c>
      <c r="N7082" t="n">
        <v>0</v>
      </c>
      <c r="O7082" t="n">
        <v>0</v>
      </c>
      <c r="P7082" t="n">
        <v>0</v>
      </c>
      <c r="Q7082" t="n">
        <v>0</v>
      </c>
      <c r="R7082" s="2" t="inlineStr"/>
    </row>
    <row r="7083" ht="15" customHeight="1">
      <c r="A7083" t="inlineStr">
        <is>
          <t>A 50791-2025</t>
        </is>
      </c>
      <c r="B7083" s="1" t="n">
        <v>45946.47351851852</v>
      </c>
      <c r="C7083" s="1" t="n">
        <v>45962</v>
      </c>
      <c r="D7083" t="inlineStr">
        <is>
          <t>JÖNKÖPINGS LÄN</t>
        </is>
      </c>
      <c r="E7083" t="inlineStr">
        <is>
          <t>SÄVSJÖ</t>
        </is>
      </c>
      <c r="G7083" t="n">
        <v>1.5</v>
      </c>
      <c r="H7083" t="n">
        <v>0</v>
      </c>
      <c r="I7083" t="n">
        <v>0</v>
      </c>
      <c r="J7083" t="n">
        <v>0</v>
      </c>
      <c r="K7083" t="n">
        <v>0</v>
      </c>
      <c r="L7083" t="n">
        <v>0</v>
      </c>
      <c r="M7083" t="n">
        <v>0</v>
      </c>
      <c r="N7083" t="n">
        <v>0</v>
      </c>
      <c r="O7083" t="n">
        <v>0</v>
      </c>
      <c r="P7083" t="n">
        <v>0</v>
      </c>
      <c r="Q7083" t="n">
        <v>0</v>
      </c>
      <c r="R7083" s="2" t="inlineStr"/>
    </row>
    <row r="7084" ht="15" customHeight="1">
      <c r="A7084" t="inlineStr">
        <is>
          <t>A 50744-2025</t>
        </is>
      </c>
      <c r="B7084" s="1" t="n">
        <v>45946.3859375</v>
      </c>
      <c r="C7084" s="1" t="n">
        <v>45962</v>
      </c>
      <c r="D7084" t="inlineStr">
        <is>
          <t>JÖNKÖPINGS LÄN</t>
        </is>
      </c>
      <c r="E7084" t="inlineStr">
        <is>
          <t>ANEBY</t>
        </is>
      </c>
      <c r="G7084" t="n">
        <v>1.6</v>
      </c>
      <c r="H7084" t="n">
        <v>0</v>
      </c>
      <c r="I7084" t="n">
        <v>0</v>
      </c>
      <c r="J7084" t="n">
        <v>0</v>
      </c>
      <c r="K7084" t="n">
        <v>0</v>
      </c>
      <c r="L7084" t="n">
        <v>0</v>
      </c>
      <c r="M7084" t="n">
        <v>0</v>
      </c>
      <c r="N7084" t="n">
        <v>0</v>
      </c>
      <c r="O7084" t="n">
        <v>0</v>
      </c>
      <c r="P7084" t="n">
        <v>0</v>
      </c>
      <c r="Q7084" t="n">
        <v>0</v>
      </c>
      <c r="R7084" s="2" t="inlineStr"/>
    </row>
    <row r="7085" ht="15" customHeight="1">
      <c r="A7085" t="inlineStr">
        <is>
          <t>A 50749-2025</t>
        </is>
      </c>
      <c r="B7085" s="1" t="n">
        <v>45946.389375</v>
      </c>
      <c r="C7085" s="1" t="n">
        <v>45962</v>
      </c>
      <c r="D7085" t="inlineStr">
        <is>
          <t>JÖNKÖPINGS LÄN</t>
        </is>
      </c>
      <c r="E7085" t="inlineStr">
        <is>
          <t>TRANÅS</t>
        </is>
      </c>
      <c r="G7085" t="n">
        <v>0.8</v>
      </c>
      <c r="H7085" t="n">
        <v>0</v>
      </c>
      <c r="I7085" t="n">
        <v>0</v>
      </c>
      <c r="J7085" t="n">
        <v>0</v>
      </c>
      <c r="K7085" t="n">
        <v>0</v>
      </c>
      <c r="L7085" t="n">
        <v>0</v>
      </c>
      <c r="M7085" t="n">
        <v>0</v>
      </c>
      <c r="N7085" t="n">
        <v>0</v>
      </c>
      <c r="O7085" t="n">
        <v>0</v>
      </c>
      <c r="P7085" t="n">
        <v>0</v>
      </c>
      <c r="Q7085" t="n">
        <v>0</v>
      </c>
      <c r="R7085" s="2" t="inlineStr"/>
    </row>
    <row r="7086" ht="15" customHeight="1">
      <c r="A7086" t="inlineStr">
        <is>
          <t>A 50728-2025</t>
        </is>
      </c>
      <c r="B7086" s="1" t="n">
        <v>45946.35024305555</v>
      </c>
      <c r="C7086" s="1" t="n">
        <v>45962</v>
      </c>
      <c r="D7086" t="inlineStr">
        <is>
          <t>JÖNKÖPINGS LÄN</t>
        </is>
      </c>
      <c r="E7086" t="inlineStr">
        <is>
          <t>GNOSJÖ</t>
        </is>
      </c>
      <c r="G7086" t="n">
        <v>15.2</v>
      </c>
      <c r="H7086" t="n">
        <v>0</v>
      </c>
      <c r="I7086" t="n">
        <v>0</v>
      </c>
      <c r="J7086" t="n">
        <v>0</v>
      </c>
      <c r="K7086" t="n">
        <v>0</v>
      </c>
      <c r="L7086" t="n">
        <v>0</v>
      </c>
      <c r="M7086" t="n">
        <v>0</v>
      </c>
      <c r="N7086" t="n">
        <v>0</v>
      </c>
      <c r="O7086" t="n">
        <v>0</v>
      </c>
      <c r="P7086" t="n">
        <v>0</v>
      </c>
      <c r="Q7086" t="n">
        <v>0</v>
      </c>
      <c r="R7086" s="2" t="inlineStr"/>
    </row>
    <row r="7087" ht="15" customHeight="1">
      <c r="A7087" t="inlineStr">
        <is>
          <t>A 54833-2024</t>
        </is>
      </c>
      <c r="B7087" s="1" t="n">
        <v>45618</v>
      </c>
      <c r="C7087" s="1" t="n">
        <v>45962</v>
      </c>
      <c r="D7087" t="inlineStr">
        <is>
          <t>JÖNKÖPINGS LÄN</t>
        </is>
      </c>
      <c r="E7087" t="inlineStr">
        <is>
          <t>GNOSJÖ</t>
        </is>
      </c>
      <c r="F7087" t="inlineStr">
        <is>
          <t>Kyrkan</t>
        </is>
      </c>
      <c r="G7087" t="n">
        <v>1.6</v>
      </c>
      <c r="H7087" t="n">
        <v>0</v>
      </c>
      <c r="I7087" t="n">
        <v>0</v>
      </c>
      <c r="J7087" t="n">
        <v>0</v>
      </c>
      <c r="K7087" t="n">
        <v>0</v>
      </c>
      <c r="L7087" t="n">
        <v>0</v>
      </c>
      <c r="M7087" t="n">
        <v>0</v>
      </c>
      <c r="N7087" t="n">
        <v>0</v>
      </c>
      <c r="O7087" t="n">
        <v>0</v>
      </c>
      <c r="P7087" t="n">
        <v>0</v>
      </c>
      <c r="Q7087" t="n">
        <v>0</v>
      </c>
      <c r="R7087" s="2" t="inlineStr"/>
    </row>
    <row r="7088" ht="15" customHeight="1">
      <c r="A7088" t="inlineStr">
        <is>
          <t>A 51185-2025</t>
        </is>
      </c>
      <c r="B7088" s="1" t="n">
        <v>45947.62277777777</v>
      </c>
      <c r="C7088" s="1" t="n">
        <v>45962</v>
      </c>
      <c r="D7088" t="inlineStr">
        <is>
          <t>JÖNKÖPINGS LÄN</t>
        </is>
      </c>
      <c r="E7088" t="inlineStr">
        <is>
          <t>EKSJÖ</t>
        </is>
      </c>
      <c r="G7088" t="n">
        <v>4.3</v>
      </c>
      <c r="H7088" t="n">
        <v>0</v>
      </c>
      <c r="I7088" t="n">
        <v>0</v>
      </c>
      <c r="J7088" t="n">
        <v>0</v>
      </c>
      <c r="K7088" t="n">
        <v>0</v>
      </c>
      <c r="L7088" t="n">
        <v>0</v>
      </c>
      <c r="M7088" t="n">
        <v>0</v>
      </c>
      <c r="N7088" t="n">
        <v>0</v>
      </c>
      <c r="O7088" t="n">
        <v>0</v>
      </c>
      <c r="P7088" t="n">
        <v>0</v>
      </c>
      <c r="Q7088" t="n">
        <v>0</v>
      </c>
      <c r="R7088" s="2" t="inlineStr"/>
    </row>
    <row r="7089" ht="15" customHeight="1">
      <c r="A7089" t="inlineStr">
        <is>
          <t>A 42115-2025</t>
        </is>
      </c>
      <c r="B7089" s="1" t="n">
        <v>45904.33302083334</v>
      </c>
      <c r="C7089" s="1" t="n">
        <v>45962</v>
      </c>
      <c r="D7089" t="inlineStr">
        <is>
          <t>JÖNKÖPINGS LÄN</t>
        </is>
      </c>
      <c r="E7089" t="inlineStr">
        <is>
          <t>NÄSSJÖ</t>
        </is>
      </c>
      <c r="G7089" t="n">
        <v>5.5</v>
      </c>
      <c r="H7089" t="n">
        <v>0</v>
      </c>
      <c r="I7089" t="n">
        <v>0</v>
      </c>
      <c r="J7089" t="n">
        <v>0</v>
      </c>
      <c r="K7089" t="n">
        <v>0</v>
      </c>
      <c r="L7089" t="n">
        <v>0</v>
      </c>
      <c r="M7089" t="n">
        <v>0</v>
      </c>
      <c r="N7089" t="n">
        <v>0</v>
      </c>
      <c r="O7089" t="n">
        <v>0</v>
      </c>
      <c r="P7089" t="n">
        <v>0</v>
      </c>
      <c r="Q7089" t="n">
        <v>0</v>
      </c>
      <c r="R7089" s="2" t="inlineStr"/>
    </row>
    <row r="7090" ht="15" customHeight="1">
      <c r="A7090" t="inlineStr">
        <is>
          <t>A 50804-2025</t>
        </is>
      </c>
      <c r="B7090" s="1" t="n">
        <v>45946.49811342593</v>
      </c>
      <c r="C7090" s="1" t="n">
        <v>45962</v>
      </c>
      <c r="D7090" t="inlineStr">
        <is>
          <t>JÖNKÖPINGS LÄN</t>
        </is>
      </c>
      <c r="E7090" t="inlineStr">
        <is>
          <t>EKSJÖ</t>
        </is>
      </c>
      <c r="F7090" t="inlineStr">
        <is>
          <t>Övriga Aktiebolag</t>
        </is>
      </c>
      <c r="G7090" t="n">
        <v>1.1</v>
      </c>
      <c r="H7090" t="n">
        <v>0</v>
      </c>
      <c r="I7090" t="n">
        <v>0</v>
      </c>
      <c r="J7090" t="n">
        <v>0</v>
      </c>
      <c r="K7090" t="n">
        <v>0</v>
      </c>
      <c r="L7090" t="n">
        <v>0</v>
      </c>
      <c r="M7090" t="n">
        <v>0</v>
      </c>
      <c r="N7090" t="n">
        <v>0</v>
      </c>
      <c r="O7090" t="n">
        <v>0</v>
      </c>
      <c r="P7090" t="n">
        <v>0</v>
      </c>
      <c r="Q7090" t="n">
        <v>0</v>
      </c>
      <c r="R7090" s="2" t="inlineStr"/>
    </row>
    <row r="7091" ht="15" customHeight="1">
      <c r="A7091" t="inlineStr">
        <is>
          <t>A 51027-2025</t>
        </is>
      </c>
      <c r="B7091" s="1" t="n">
        <v>45947.39905092592</v>
      </c>
      <c r="C7091" s="1" t="n">
        <v>45962</v>
      </c>
      <c r="D7091" t="inlineStr">
        <is>
          <t>JÖNKÖPINGS LÄN</t>
        </is>
      </c>
      <c r="E7091" t="inlineStr">
        <is>
          <t>EKSJÖ</t>
        </is>
      </c>
      <c r="G7091" t="n">
        <v>1.1</v>
      </c>
      <c r="H7091" t="n">
        <v>0</v>
      </c>
      <c r="I7091" t="n">
        <v>0</v>
      </c>
      <c r="J7091" t="n">
        <v>0</v>
      </c>
      <c r="K7091" t="n">
        <v>0</v>
      </c>
      <c r="L7091" t="n">
        <v>0</v>
      </c>
      <c r="M7091" t="n">
        <v>0</v>
      </c>
      <c r="N7091" t="n">
        <v>0</v>
      </c>
      <c r="O7091" t="n">
        <v>0</v>
      </c>
      <c r="P7091" t="n">
        <v>0</v>
      </c>
      <c r="Q7091" t="n">
        <v>0</v>
      </c>
      <c r="R7091" s="2" t="inlineStr"/>
    </row>
    <row r="7092" ht="15" customHeight="1">
      <c r="A7092" t="inlineStr">
        <is>
          <t>A 42359-2025</t>
        </is>
      </c>
      <c r="B7092" s="1" t="n">
        <v>45905.30106481481</v>
      </c>
      <c r="C7092" s="1" t="n">
        <v>45962</v>
      </c>
      <c r="D7092" t="inlineStr">
        <is>
          <t>JÖNKÖPINGS LÄN</t>
        </is>
      </c>
      <c r="E7092" t="inlineStr">
        <is>
          <t>JÖNKÖPING</t>
        </is>
      </c>
      <c r="G7092" t="n">
        <v>1.1</v>
      </c>
      <c r="H7092" t="n">
        <v>0</v>
      </c>
      <c r="I7092" t="n">
        <v>0</v>
      </c>
      <c r="J7092" t="n">
        <v>0</v>
      </c>
      <c r="K7092" t="n">
        <v>0</v>
      </c>
      <c r="L7092" t="n">
        <v>0</v>
      </c>
      <c r="M7092" t="n">
        <v>0</v>
      </c>
      <c r="N7092" t="n">
        <v>0</v>
      </c>
      <c r="O7092" t="n">
        <v>0</v>
      </c>
      <c r="P7092" t="n">
        <v>0</v>
      </c>
      <c r="Q7092" t="n">
        <v>0</v>
      </c>
      <c r="R7092" s="2" t="inlineStr"/>
    </row>
    <row r="7093" ht="15" customHeight="1">
      <c r="A7093" t="inlineStr">
        <is>
          <t>A 42389-2025</t>
        </is>
      </c>
      <c r="B7093" s="1" t="n">
        <v>45905.35149305555</v>
      </c>
      <c r="C7093" s="1" t="n">
        <v>45962</v>
      </c>
      <c r="D7093" t="inlineStr">
        <is>
          <t>JÖNKÖPINGS LÄN</t>
        </is>
      </c>
      <c r="E7093" t="inlineStr">
        <is>
          <t>SÄVSJÖ</t>
        </is>
      </c>
      <c r="G7093" t="n">
        <v>0.8</v>
      </c>
      <c r="H7093" t="n">
        <v>0</v>
      </c>
      <c r="I7093" t="n">
        <v>0</v>
      </c>
      <c r="J7093" t="n">
        <v>0</v>
      </c>
      <c r="K7093" t="n">
        <v>0</v>
      </c>
      <c r="L7093" t="n">
        <v>0</v>
      </c>
      <c r="M7093" t="n">
        <v>0</v>
      </c>
      <c r="N7093" t="n">
        <v>0</v>
      </c>
      <c r="O7093" t="n">
        <v>0</v>
      </c>
      <c r="P7093" t="n">
        <v>0</v>
      </c>
      <c r="Q7093" t="n">
        <v>0</v>
      </c>
      <c r="R7093" s="2" t="inlineStr"/>
    </row>
    <row r="7094" ht="15" customHeight="1">
      <c r="A7094" t="inlineStr">
        <is>
          <t>A 42361-2025</t>
        </is>
      </c>
      <c r="B7094" s="1" t="n">
        <v>45905.30556712963</v>
      </c>
      <c r="C7094" s="1" t="n">
        <v>45962</v>
      </c>
      <c r="D7094" t="inlineStr">
        <is>
          <t>JÖNKÖPINGS LÄN</t>
        </is>
      </c>
      <c r="E7094" t="inlineStr">
        <is>
          <t>JÖNKÖPING</t>
        </is>
      </c>
      <c r="G7094" t="n">
        <v>1.3</v>
      </c>
      <c r="H7094" t="n">
        <v>0</v>
      </c>
      <c r="I7094" t="n">
        <v>0</v>
      </c>
      <c r="J7094" t="n">
        <v>0</v>
      </c>
      <c r="K7094" t="n">
        <v>0</v>
      </c>
      <c r="L7094" t="n">
        <v>0</v>
      </c>
      <c r="M7094" t="n">
        <v>0</v>
      </c>
      <c r="N7094" t="n">
        <v>0</v>
      </c>
      <c r="O7094" t="n">
        <v>0</v>
      </c>
      <c r="P7094" t="n">
        <v>0</v>
      </c>
      <c r="Q7094" t="n">
        <v>0</v>
      </c>
      <c r="R7094" s="2" t="inlineStr"/>
    </row>
    <row r="7095" ht="15" customHeight="1">
      <c r="A7095" t="inlineStr">
        <is>
          <t>A 42384-2025</t>
        </is>
      </c>
      <c r="B7095" s="1" t="n">
        <v>45905.34934027777</v>
      </c>
      <c r="C7095" s="1" t="n">
        <v>45962</v>
      </c>
      <c r="D7095" t="inlineStr">
        <is>
          <t>JÖNKÖPINGS LÄN</t>
        </is>
      </c>
      <c r="E7095" t="inlineStr">
        <is>
          <t>SÄVSJÖ</t>
        </is>
      </c>
      <c r="G7095" t="n">
        <v>0.5</v>
      </c>
      <c r="H7095" t="n">
        <v>0</v>
      </c>
      <c r="I7095" t="n">
        <v>0</v>
      </c>
      <c r="J7095" t="n">
        <v>0</v>
      </c>
      <c r="K7095" t="n">
        <v>0</v>
      </c>
      <c r="L7095" t="n">
        <v>0</v>
      </c>
      <c r="M7095" t="n">
        <v>0</v>
      </c>
      <c r="N7095" t="n">
        <v>0</v>
      </c>
      <c r="O7095" t="n">
        <v>0</v>
      </c>
      <c r="P7095" t="n">
        <v>0</v>
      </c>
      <c r="Q7095" t="n">
        <v>0</v>
      </c>
      <c r="R7095" s="2" t="inlineStr"/>
    </row>
    <row r="7096" ht="15" customHeight="1">
      <c r="A7096" t="inlineStr">
        <is>
          <t>A 42596-2025</t>
        </is>
      </c>
      <c r="B7096" s="1" t="n">
        <v>45905.66164351852</v>
      </c>
      <c r="C7096" s="1" t="n">
        <v>45962</v>
      </c>
      <c r="D7096" t="inlineStr">
        <is>
          <t>JÖNKÖPINGS LÄN</t>
        </is>
      </c>
      <c r="E7096" t="inlineStr">
        <is>
          <t>VETLANDA</t>
        </is>
      </c>
      <c r="G7096" t="n">
        <v>2.5</v>
      </c>
      <c r="H7096" t="n">
        <v>0</v>
      </c>
      <c r="I7096" t="n">
        <v>0</v>
      </c>
      <c r="J7096" t="n">
        <v>0</v>
      </c>
      <c r="K7096" t="n">
        <v>0</v>
      </c>
      <c r="L7096" t="n">
        <v>0</v>
      </c>
      <c r="M7096" t="n">
        <v>0</v>
      </c>
      <c r="N7096" t="n">
        <v>0</v>
      </c>
      <c r="O7096" t="n">
        <v>0</v>
      </c>
      <c r="P7096" t="n">
        <v>0</v>
      </c>
      <c r="Q7096" t="n">
        <v>0</v>
      </c>
      <c r="R7096" s="2" t="inlineStr"/>
    </row>
    <row r="7097" ht="15" customHeight="1">
      <c r="A7097" t="inlineStr">
        <is>
          <t>A 42615-2025</t>
        </is>
      </c>
      <c r="B7097" s="1" t="n">
        <v>45905.71422453703</v>
      </c>
      <c r="C7097" s="1" t="n">
        <v>45962</v>
      </c>
      <c r="D7097" t="inlineStr">
        <is>
          <t>JÖNKÖPINGS LÄN</t>
        </is>
      </c>
      <c r="E7097" t="inlineStr">
        <is>
          <t>GNOSJÖ</t>
        </is>
      </c>
      <c r="G7097" t="n">
        <v>0.6</v>
      </c>
      <c r="H7097" t="n">
        <v>0</v>
      </c>
      <c r="I7097" t="n">
        <v>0</v>
      </c>
      <c r="J7097" t="n">
        <v>0</v>
      </c>
      <c r="K7097" t="n">
        <v>0</v>
      </c>
      <c r="L7097" t="n">
        <v>0</v>
      </c>
      <c r="M7097" t="n">
        <v>0</v>
      </c>
      <c r="N7097" t="n">
        <v>0</v>
      </c>
      <c r="O7097" t="n">
        <v>0</v>
      </c>
      <c r="P7097" t="n">
        <v>0</v>
      </c>
      <c r="Q7097" t="n">
        <v>0</v>
      </c>
      <c r="R7097" s="2" t="inlineStr"/>
    </row>
    <row r="7098" ht="15" customHeight="1">
      <c r="A7098" t="inlineStr">
        <is>
          <t>A 42618-2025</t>
        </is>
      </c>
      <c r="B7098" s="1" t="n">
        <v>45905.72167824074</v>
      </c>
      <c r="C7098" s="1" t="n">
        <v>45962</v>
      </c>
      <c r="D7098" t="inlineStr">
        <is>
          <t>JÖNKÖPINGS LÄN</t>
        </is>
      </c>
      <c r="E7098" t="inlineStr">
        <is>
          <t>GNOSJÖ</t>
        </is>
      </c>
      <c r="G7098" t="n">
        <v>1.1</v>
      </c>
      <c r="H7098" t="n">
        <v>0</v>
      </c>
      <c r="I7098" t="n">
        <v>0</v>
      </c>
      <c r="J7098" t="n">
        <v>0</v>
      </c>
      <c r="K7098" t="n">
        <v>0</v>
      </c>
      <c r="L7098" t="n">
        <v>0</v>
      </c>
      <c r="M7098" t="n">
        <v>0</v>
      </c>
      <c r="N7098" t="n">
        <v>0</v>
      </c>
      <c r="O7098" t="n">
        <v>0</v>
      </c>
      <c r="P7098" t="n">
        <v>0</v>
      </c>
      <c r="Q7098" t="n">
        <v>0</v>
      </c>
      <c r="R7098" s="2" t="inlineStr"/>
    </row>
    <row r="7099" ht="15" customHeight="1">
      <c r="A7099" t="inlineStr">
        <is>
          <t>A 42620-2025</t>
        </is>
      </c>
      <c r="B7099" s="1" t="n">
        <v>45905.72809027778</v>
      </c>
      <c r="C7099" s="1" t="n">
        <v>45962</v>
      </c>
      <c r="D7099" t="inlineStr">
        <is>
          <t>JÖNKÖPINGS LÄN</t>
        </is>
      </c>
      <c r="E7099" t="inlineStr">
        <is>
          <t>GNOSJÖ</t>
        </is>
      </c>
      <c r="G7099" t="n">
        <v>1.2</v>
      </c>
      <c r="H7099" t="n">
        <v>0</v>
      </c>
      <c r="I7099" t="n">
        <v>0</v>
      </c>
      <c r="J7099" t="n">
        <v>0</v>
      </c>
      <c r="K7099" t="n">
        <v>0</v>
      </c>
      <c r="L7099" t="n">
        <v>0</v>
      </c>
      <c r="M7099" t="n">
        <v>0</v>
      </c>
      <c r="N7099" t="n">
        <v>0</v>
      </c>
      <c r="O7099" t="n">
        <v>0</v>
      </c>
      <c r="P7099" t="n">
        <v>0</v>
      </c>
      <c r="Q7099" t="n">
        <v>0</v>
      </c>
      <c r="R7099" s="2" t="inlineStr"/>
    </row>
    <row r="7100" ht="15" customHeight="1">
      <c r="A7100" t="inlineStr">
        <is>
          <t>A 42390-2025</t>
        </is>
      </c>
      <c r="B7100" s="1" t="n">
        <v>45905.35217592592</v>
      </c>
      <c r="C7100" s="1" t="n">
        <v>45962</v>
      </c>
      <c r="D7100" t="inlineStr">
        <is>
          <t>JÖNKÖPINGS LÄN</t>
        </is>
      </c>
      <c r="E7100" t="inlineStr">
        <is>
          <t>SÄVSJÖ</t>
        </is>
      </c>
      <c r="G7100" t="n">
        <v>1.8</v>
      </c>
      <c r="H7100" t="n">
        <v>0</v>
      </c>
      <c r="I7100" t="n">
        <v>0</v>
      </c>
      <c r="J7100" t="n">
        <v>0</v>
      </c>
      <c r="K7100" t="n">
        <v>0</v>
      </c>
      <c r="L7100" t="n">
        <v>0</v>
      </c>
      <c r="M7100" t="n">
        <v>0</v>
      </c>
      <c r="N7100" t="n">
        <v>0</v>
      </c>
      <c r="O7100" t="n">
        <v>0</v>
      </c>
      <c r="P7100" t="n">
        <v>0</v>
      </c>
      <c r="Q7100" t="n">
        <v>0</v>
      </c>
      <c r="R7100" s="2" t="inlineStr"/>
    </row>
    <row r="7101" ht="15" customHeight="1">
      <c r="A7101" t="inlineStr">
        <is>
          <t>A 42475-2025</t>
        </is>
      </c>
      <c r="B7101" s="1" t="n">
        <v>45905.46733796296</v>
      </c>
      <c r="C7101" s="1" t="n">
        <v>45962</v>
      </c>
      <c r="D7101" t="inlineStr">
        <is>
          <t>JÖNKÖPINGS LÄN</t>
        </is>
      </c>
      <c r="E7101" t="inlineStr">
        <is>
          <t>VÄRNAMO</t>
        </is>
      </c>
      <c r="G7101" t="n">
        <v>4.5</v>
      </c>
      <c r="H7101" t="n">
        <v>0</v>
      </c>
      <c r="I7101" t="n">
        <v>0</v>
      </c>
      <c r="J7101" t="n">
        <v>0</v>
      </c>
      <c r="K7101" t="n">
        <v>0</v>
      </c>
      <c r="L7101" t="n">
        <v>0</v>
      </c>
      <c r="M7101" t="n">
        <v>0</v>
      </c>
      <c r="N7101" t="n">
        <v>0</v>
      </c>
      <c r="O7101" t="n">
        <v>0</v>
      </c>
      <c r="P7101" t="n">
        <v>0</v>
      </c>
      <c r="Q7101" t="n">
        <v>0</v>
      </c>
      <c r="R7101" s="2" t="inlineStr"/>
    </row>
    <row r="7102" ht="15" customHeight="1">
      <c r="A7102" t="inlineStr">
        <is>
          <t>A 42505-2025</t>
        </is>
      </c>
      <c r="B7102" s="1" t="n">
        <v>45905.52935185185</v>
      </c>
      <c r="C7102" s="1" t="n">
        <v>45962</v>
      </c>
      <c r="D7102" t="inlineStr">
        <is>
          <t>JÖNKÖPINGS LÄN</t>
        </is>
      </c>
      <c r="E7102" t="inlineStr">
        <is>
          <t>NÄSSJÖ</t>
        </is>
      </c>
      <c r="G7102" t="n">
        <v>0.8</v>
      </c>
      <c r="H7102" t="n">
        <v>0</v>
      </c>
      <c r="I7102" t="n">
        <v>0</v>
      </c>
      <c r="J7102" t="n">
        <v>0</v>
      </c>
      <c r="K7102" t="n">
        <v>0</v>
      </c>
      <c r="L7102" t="n">
        <v>0</v>
      </c>
      <c r="M7102" t="n">
        <v>0</v>
      </c>
      <c r="N7102" t="n">
        <v>0</v>
      </c>
      <c r="O7102" t="n">
        <v>0</v>
      </c>
      <c r="P7102" t="n">
        <v>0</v>
      </c>
      <c r="Q7102" t="n">
        <v>0</v>
      </c>
      <c r="R7102" s="2" t="inlineStr"/>
    </row>
    <row r="7103" ht="15" customHeight="1">
      <c r="A7103" t="inlineStr">
        <is>
          <t>A 42087-2025</t>
        </is>
      </c>
      <c r="B7103" s="1" t="n">
        <v>45903</v>
      </c>
      <c r="C7103" s="1" t="n">
        <v>45962</v>
      </c>
      <c r="D7103" t="inlineStr">
        <is>
          <t>JÖNKÖPINGS LÄN</t>
        </is>
      </c>
      <c r="E7103" t="inlineStr">
        <is>
          <t>VETLANDA</t>
        </is>
      </c>
      <c r="G7103" t="n">
        <v>0.8</v>
      </c>
      <c r="H7103" t="n">
        <v>0</v>
      </c>
      <c r="I7103" t="n">
        <v>0</v>
      </c>
      <c r="J7103" t="n">
        <v>0</v>
      </c>
      <c r="K7103" t="n">
        <v>0</v>
      </c>
      <c r="L7103" t="n">
        <v>0</v>
      </c>
      <c r="M7103" t="n">
        <v>0</v>
      </c>
      <c r="N7103" t="n">
        <v>0</v>
      </c>
      <c r="O7103" t="n">
        <v>0</v>
      </c>
      <c r="P7103" t="n">
        <v>0</v>
      </c>
      <c r="Q7103" t="n">
        <v>0</v>
      </c>
      <c r="R7103" s="2" t="inlineStr"/>
    </row>
    <row r="7104" ht="15" customHeight="1">
      <c r="A7104" t="inlineStr">
        <is>
          <t>A 23981-2025</t>
        </is>
      </c>
      <c r="B7104" s="1" t="n">
        <v>45796.39119212963</v>
      </c>
      <c r="C7104" s="1" t="n">
        <v>45962</v>
      </c>
      <c r="D7104" t="inlineStr">
        <is>
          <t>JÖNKÖPINGS LÄN</t>
        </is>
      </c>
      <c r="E7104" t="inlineStr">
        <is>
          <t>TRANÅS</t>
        </is>
      </c>
      <c r="G7104" t="n">
        <v>2.9</v>
      </c>
      <c r="H7104" t="n">
        <v>0</v>
      </c>
      <c r="I7104" t="n">
        <v>0</v>
      </c>
      <c r="J7104" t="n">
        <v>0</v>
      </c>
      <c r="K7104" t="n">
        <v>0</v>
      </c>
      <c r="L7104" t="n">
        <v>0</v>
      </c>
      <c r="M7104" t="n">
        <v>0</v>
      </c>
      <c r="N7104" t="n">
        <v>0</v>
      </c>
      <c r="O7104" t="n">
        <v>0</v>
      </c>
      <c r="P7104" t="n">
        <v>0</v>
      </c>
      <c r="Q7104" t="n">
        <v>0</v>
      </c>
      <c r="R7104" s="2" t="inlineStr"/>
    </row>
    <row r="7105" ht="15" customHeight="1">
      <c r="A7105" t="inlineStr">
        <is>
          <t>A 50896-2025</t>
        </is>
      </c>
      <c r="B7105" s="1" t="n">
        <v>45946.64105324074</v>
      </c>
      <c r="C7105" s="1" t="n">
        <v>45962</v>
      </c>
      <c r="D7105" t="inlineStr">
        <is>
          <t>JÖNKÖPINGS LÄN</t>
        </is>
      </c>
      <c r="E7105" t="inlineStr">
        <is>
          <t>JÖNKÖPING</t>
        </is>
      </c>
      <c r="G7105" t="n">
        <v>3.3</v>
      </c>
      <c r="H7105" t="n">
        <v>0</v>
      </c>
      <c r="I7105" t="n">
        <v>0</v>
      </c>
      <c r="J7105" t="n">
        <v>0</v>
      </c>
      <c r="K7105" t="n">
        <v>0</v>
      </c>
      <c r="L7105" t="n">
        <v>0</v>
      </c>
      <c r="M7105" t="n">
        <v>0</v>
      </c>
      <c r="N7105" t="n">
        <v>0</v>
      </c>
      <c r="O7105" t="n">
        <v>0</v>
      </c>
      <c r="P7105" t="n">
        <v>0</v>
      </c>
      <c r="Q7105" t="n">
        <v>0</v>
      </c>
      <c r="R7105" s="2" t="inlineStr"/>
    </row>
    <row r="7106" ht="15" customHeight="1">
      <c r="A7106" t="inlineStr">
        <is>
          <t>A 50760-2025</t>
        </is>
      </c>
      <c r="B7106" s="1" t="n">
        <v>45946.42328703704</v>
      </c>
      <c r="C7106" s="1" t="n">
        <v>45962</v>
      </c>
      <c r="D7106" t="inlineStr">
        <is>
          <t>JÖNKÖPINGS LÄN</t>
        </is>
      </c>
      <c r="E7106" t="inlineStr">
        <is>
          <t>VAGGERYD</t>
        </is>
      </c>
      <c r="G7106" t="n">
        <v>0.7</v>
      </c>
      <c r="H7106" t="n">
        <v>0</v>
      </c>
      <c r="I7106" t="n">
        <v>0</v>
      </c>
      <c r="J7106" t="n">
        <v>0</v>
      </c>
      <c r="K7106" t="n">
        <v>0</v>
      </c>
      <c r="L7106" t="n">
        <v>0</v>
      </c>
      <c r="M7106" t="n">
        <v>0</v>
      </c>
      <c r="N7106" t="n">
        <v>0</v>
      </c>
      <c r="O7106" t="n">
        <v>0</v>
      </c>
      <c r="P7106" t="n">
        <v>0</v>
      </c>
      <c r="Q7106" t="n">
        <v>0</v>
      </c>
      <c r="R7106" s="2" t="inlineStr"/>
    </row>
    <row r="7107" ht="15" customHeight="1">
      <c r="A7107" t="inlineStr">
        <is>
          <t>A 50787-2025</t>
        </is>
      </c>
      <c r="B7107" s="1" t="n">
        <v>45946.46989583333</v>
      </c>
      <c r="C7107" s="1" t="n">
        <v>45962</v>
      </c>
      <c r="D7107" t="inlineStr">
        <is>
          <t>JÖNKÖPINGS LÄN</t>
        </is>
      </c>
      <c r="E7107" t="inlineStr">
        <is>
          <t>JÖNKÖPING</t>
        </is>
      </c>
      <c r="G7107" t="n">
        <v>1.8</v>
      </c>
      <c r="H7107" t="n">
        <v>0</v>
      </c>
      <c r="I7107" t="n">
        <v>0</v>
      </c>
      <c r="J7107" t="n">
        <v>0</v>
      </c>
      <c r="K7107" t="n">
        <v>0</v>
      </c>
      <c r="L7107" t="n">
        <v>0</v>
      </c>
      <c r="M7107" t="n">
        <v>0</v>
      </c>
      <c r="N7107" t="n">
        <v>0</v>
      </c>
      <c r="O7107" t="n">
        <v>0</v>
      </c>
      <c r="P7107" t="n">
        <v>0</v>
      </c>
      <c r="Q7107" t="n">
        <v>0</v>
      </c>
      <c r="R7107" s="2" t="inlineStr"/>
    </row>
    <row r="7108" ht="15" customHeight="1">
      <c r="A7108" t="inlineStr">
        <is>
          <t>A 50795-2025</t>
        </is>
      </c>
      <c r="B7108" s="1" t="n">
        <v>45946.48068287037</v>
      </c>
      <c r="C7108" s="1" t="n">
        <v>45962</v>
      </c>
      <c r="D7108" t="inlineStr">
        <is>
          <t>JÖNKÖPINGS LÄN</t>
        </is>
      </c>
      <c r="E7108" t="inlineStr">
        <is>
          <t>VETLANDA</t>
        </is>
      </c>
      <c r="G7108" t="n">
        <v>2.8</v>
      </c>
      <c r="H7108" t="n">
        <v>0</v>
      </c>
      <c r="I7108" t="n">
        <v>0</v>
      </c>
      <c r="J7108" t="n">
        <v>0</v>
      </c>
      <c r="K7108" t="n">
        <v>0</v>
      </c>
      <c r="L7108" t="n">
        <v>0</v>
      </c>
      <c r="M7108" t="n">
        <v>0</v>
      </c>
      <c r="N7108" t="n">
        <v>0</v>
      </c>
      <c r="O7108" t="n">
        <v>0</v>
      </c>
      <c r="P7108" t="n">
        <v>0</v>
      </c>
      <c r="Q7108" t="n">
        <v>0</v>
      </c>
      <c r="R7108" s="2" t="inlineStr"/>
    </row>
    <row r="7109" ht="15" customHeight="1">
      <c r="A7109" t="inlineStr">
        <is>
          <t>A 50913-2025</t>
        </is>
      </c>
      <c r="B7109" s="1" t="n">
        <v>45946.6571412037</v>
      </c>
      <c r="C7109" s="1" t="n">
        <v>45962</v>
      </c>
      <c r="D7109" t="inlineStr">
        <is>
          <t>JÖNKÖPINGS LÄN</t>
        </is>
      </c>
      <c r="E7109" t="inlineStr">
        <is>
          <t>JÖNKÖPING</t>
        </is>
      </c>
      <c r="G7109" t="n">
        <v>0.6</v>
      </c>
      <c r="H7109" t="n">
        <v>0</v>
      </c>
      <c r="I7109" t="n">
        <v>0</v>
      </c>
      <c r="J7109" t="n">
        <v>0</v>
      </c>
      <c r="K7109" t="n">
        <v>0</v>
      </c>
      <c r="L7109" t="n">
        <v>0</v>
      </c>
      <c r="M7109" t="n">
        <v>0</v>
      </c>
      <c r="N7109" t="n">
        <v>0</v>
      </c>
      <c r="O7109" t="n">
        <v>0</v>
      </c>
      <c r="P7109" t="n">
        <v>0</v>
      </c>
      <c r="Q7109" t="n">
        <v>0</v>
      </c>
      <c r="R7109" s="2" t="inlineStr"/>
    </row>
    <row r="7110" ht="15" customHeight="1">
      <c r="A7110" t="inlineStr">
        <is>
          <t>A 51032-2025</t>
        </is>
      </c>
      <c r="B7110" s="1" t="n">
        <v>45947</v>
      </c>
      <c r="C7110" s="1" t="n">
        <v>45962</v>
      </c>
      <c r="D7110" t="inlineStr">
        <is>
          <t>JÖNKÖPINGS LÄN</t>
        </is>
      </c>
      <c r="E7110" t="inlineStr">
        <is>
          <t>JÖNKÖPING</t>
        </is>
      </c>
      <c r="G7110" t="n">
        <v>7.8</v>
      </c>
      <c r="H7110" t="n">
        <v>0</v>
      </c>
      <c r="I7110" t="n">
        <v>0</v>
      </c>
      <c r="J7110" t="n">
        <v>0</v>
      </c>
      <c r="K7110" t="n">
        <v>0</v>
      </c>
      <c r="L7110" t="n">
        <v>0</v>
      </c>
      <c r="M7110" t="n">
        <v>0</v>
      </c>
      <c r="N7110" t="n">
        <v>0</v>
      </c>
      <c r="O7110" t="n">
        <v>0</v>
      </c>
      <c r="P7110" t="n">
        <v>0</v>
      </c>
      <c r="Q7110" t="n">
        <v>0</v>
      </c>
      <c r="R7110" s="2" t="inlineStr"/>
    </row>
    <row r="7111" ht="15" customHeight="1">
      <c r="A7111" t="inlineStr">
        <is>
          <t>A 42140-2025</t>
        </is>
      </c>
      <c r="B7111" s="1" t="n">
        <v>45904.36304398148</v>
      </c>
      <c r="C7111" s="1" t="n">
        <v>45962</v>
      </c>
      <c r="D7111" t="inlineStr">
        <is>
          <t>JÖNKÖPINGS LÄN</t>
        </is>
      </c>
      <c r="E7111" t="inlineStr">
        <is>
          <t>VAGGERYD</t>
        </is>
      </c>
      <c r="G7111" t="n">
        <v>2.9</v>
      </c>
      <c r="H7111" t="n">
        <v>0</v>
      </c>
      <c r="I7111" t="n">
        <v>0</v>
      </c>
      <c r="J7111" t="n">
        <v>0</v>
      </c>
      <c r="K7111" t="n">
        <v>0</v>
      </c>
      <c r="L7111" t="n">
        <v>0</v>
      </c>
      <c r="M7111" t="n">
        <v>0</v>
      </c>
      <c r="N7111" t="n">
        <v>0</v>
      </c>
      <c r="O7111" t="n">
        <v>0</v>
      </c>
      <c r="P7111" t="n">
        <v>0</v>
      </c>
      <c r="Q7111" t="n">
        <v>0</v>
      </c>
      <c r="R7111" s="2" t="inlineStr"/>
    </row>
    <row r="7112" ht="15" customHeight="1">
      <c r="A7112" t="inlineStr">
        <is>
          <t>A 42186-2025</t>
        </is>
      </c>
      <c r="B7112" s="1" t="n">
        <v>45904.45729166667</v>
      </c>
      <c r="C7112" s="1" t="n">
        <v>45962</v>
      </c>
      <c r="D7112" t="inlineStr">
        <is>
          <t>JÖNKÖPINGS LÄN</t>
        </is>
      </c>
      <c r="E7112" t="inlineStr">
        <is>
          <t>NÄSSJÖ</t>
        </is>
      </c>
      <c r="G7112" t="n">
        <v>2.4</v>
      </c>
      <c r="H7112" t="n">
        <v>0</v>
      </c>
      <c r="I7112" t="n">
        <v>0</v>
      </c>
      <c r="J7112" t="n">
        <v>0</v>
      </c>
      <c r="K7112" t="n">
        <v>0</v>
      </c>
      <c r="L7112" t="n">
        <v>0</v>
      </c>
      <c r="M7112" t="n">
        <v>0</v>
      </c>
      <c r="N7112" t="n">
        <v>0</v>
      </c>
      <c r="O7112" t="n">
        <v>0</v>
      </c>
      <c r="P7112" t="n">
        <v>0</v>
      </c>
      <c r="Q7112" t="n">
        <v>0</v>
      </c>
      <c r="R7112" s="2" t="inlineStr"/>
    </row>
    <row r="7113" ht="15" customHeight="1">
      <c r="A7113" t="inlineStr">
        <is>
          <t>A 36698-2025</t>
        </is>
      </c>
      <c r="B7113" s="1" t="n">
        <v>45873.44144675926</v>
      </c>
      <c r="C7113" s="1" t="n">
        <v>45962</v>
      </c>
      <c r="D7113" t="inlineStr">
        <is>
          <t>JÖNKÖPINGS LÄN</t>
        </is>
      </c>
      <c r="E7113" t="inlineStr">
        <is>
          <t>NÄSSJÖ</t>
        </is>
      </c>
      <c r="G7113" t="n">
        <v>1.6</v>
      </c>
      <c r="H7113" t="n">
        <v>0</v>
      </c>
      <c r="I7113" t="n">
        <v>0</v>
      </c>
      <c r="J7113" t="n">
        <v>0</v>
      </c>
      <c r="K7113" t="n">
        <v>0</v>
      </c>
      <c r="L7113" t="n">
        <v>0</v>
      </c>
      <c r="M7113" t="n">
        <v>0</v>
      </c>
      <c r="N7113" t="n">
        <v>0</v>
      </c>
      <c r="O7113" t="n">
        <v>0</v>
      </c>
      <c r="P7113" t="n">
        <v>0</v>
      </c>
      <c r="Q7113" t="n">
        <v>0</v>
      </c>
      <c r="R7113" s="2" t="inlineStr"/>
    </row>
    <row r="7114" ht="15" customHeight="1">
      <c r="A7114" t="inlineStr">
        <is>
          <t>A 42146-2025</t>
        </is>
      </c>
      <c r="B7114" s="1" t="n">
        <v>45904</v>
      </c>
      <c r="C7114" s="1" t="n">
        <v>45962</v>
      </c>
      <c r="D7114" t="inlineStr">
        <is>
          <t>JÖNKÖPINGS LÄN</t>
        </is>
      </c>
      <c r="E7114" t="inlineStr">
        <is>
          <t>VETLANDA</t>
        </is>
      </c>
      <c r="G7114" t="n">
        <v>0.7</v>
      </c>
      <c r="H7114" t="n">
        <v>0</v>
      </c>
      <c r="I7114" t="n">
        <v>0</v>
      </c>
      <c r="J7114" t="n">
        <v>0</v>
      </c>
      <c r="K7114" t="n">
        <v>0</v>
      </c>
      <c r="L7114" t="n">
        <v>0</v>
      </c>
      <c r="M7114" t="n">
        <v>0</v>
      </c>
      <c r="N7114" t="n">
        <v>0</v>
      </c>
      <c r="O7114" t="n">
        <v>0</v>
      </c>
      <c r="P7114" t="n">
        <v>0</v>
      </c>
      <c r="Q7114" t="n">
        <v>0</v>
      </c>
      <c r="R7114" s="2" t="inlineStr"/>
    </row>
    <row r="7115" ht="15" customHeight="1">
      <c r="A7115" t="inlineStr">
        <is>
          <t>A 42150-2025</t>
        </is>
      </c>
      <c r="B7115" s="1" t="n">
        <v>45904</v>
      </c>
      <c r="C7115" s="1" t="n">
        <v>45962</v>
      </c>
      <c r="D7115" t="inlineStr">
        <is>
          <t>JÖNKÖPINGS LÄN</t>
        </is>
      </c>
      <c r="E7115" t="inlineStr">
        <is>
          <t>VETLANDA</t>
        </is>
      </c>
      <c r="G7115" t="n">
        <v>0.8</v>
      </c>
      <c r="H7115" t="n">
        <v>0</v>
      </c>
      <c r="I7115" t="n">
        <v>0</v>
      </c>
      <c r="J7115" t="n">
        <v>0</v>
      </c>
      <c r="K7115" t="n">
        <v>0</v>
      </c>
      <c r="L7115" t="n">
        <v>0</v>
      </c>
      <c r="M7115" t="n">
        <v>0</v>
      </c>
      <c r="N7115" t="n">
        <v>0</v>
      </c>
      <c r="O7115" t="n">
        <v>0</v>
      </c>
      <c r="P7115" t="n">
        <v>0</v>
      </c>
      <c r="Q7115" t="n">
        <v>0</v>
      </c>
      <c r="R7115" s="2" t="inlineStr"/>
    </row>
    <row r="7116" ht="15" customHeight="1">
      <c r="A7116" t="inlineStr">
        <is>
          <t>A 42444-2025</t>
        </is>
      </c>
      <c r="B7116" s="1" t="n">
        <v>45905.43704861111</v>
      </c>
      <c r="C7116" s="1" t="n">
        <v>45962</v>
      </c>
      <c r="D7116" t="inlineStr">
        <is>
          <t>JÖNKÖPINGS LÄN</t>
        </is>
      </c>
      <c r="E7116" t="inlineStr">
        <is>
          <t>GISLAVED</t>
        </is>
      </c>
      <c r="G7116" t="n">
        <v>3.9</v>
      </c>
      <c r="H7116" t="n">
        <v>0</v>
      </c>
      <c r="I7116" t="n">
        <v>0</v>
      </c>
      <c r="J7116" t="n">
        <v>0</v>
      </c>
      <c r="K7116" t="n">
        <v>0</v>
      </c>
      <c r="L7116" t="n">
        <v>0</v>
      </c>
      <c r="M7116" t="n">
        <v>0</v>
      </c>
      <c r="N7116" t="n">
        <v>0</v>
      </c>
      <c r="O7116" t="n">
        <v>0</v>
      </c>
      <c r="P7116" t="n">
        <v>0</v>
      </c>
      <c r="Q7116" t="n">
        <v>0</v>
      </c>
      <c r="R7116" s="2" t="inlineStr"/>
    </row>
    <row r="7117" ht="15" customHeight="1">
      <c r="A7117" t="inlineStr">
        <is>
          <t>A 42162-2025</t>
        </is>
      </c>
      <c r="B7117" s="1" t="n">
        <v>45904.41447916667</v>
      </c>
      <c r="C7117" s="1" t="n">
        <v>45962</v>
      </c>
      <c r="D7117" t="inlineStr">
        <is>
          <t>JÖNKÖPINGS LÄN</t>
        </is>
      </c>
      <c r="E7117" t="inlineStr">
        <is>
          <t>VAGGERYD</t>
        </is>
      </c>
      <c r="G7117" t="n">
        <v>0.9</v>
      </c>
      <c r="H7117" t="n">
        <v>0</v>
      </c>
      <c r="I7117" t="n">
        <v>0</v>
      </c>
      <c r="J7117" t="n">
        <v>0</v>
      </c>
      <c r="K7117" t="n">
        <v>0</v>
      </c>
      <c r="L7117" t="n">
        <v>0</v>
      </c>
      <c r="M7117" t="n">
        <v>0</v>
      </c>
      <c r="N7117" t="n">
        <v>0</v>
      </c>
      <c r="O7117" t="n">
        <v>0</v>
      </c>
      <c r="P7117" t="n">
        <v>0</v>
      </c>
      <c r="Q7117" t="n">
        <v>0</v>
      </c>
      <c r="R7117" s="2" t="inlineStr"/>
    </row>
    <row r="7118" ht="15" customHeight="1">
      <c r="A7118" t="inlineStr">
        <is>
          <t>A 42155-2025</t>
        </is>
      </c>
      <c r="B7118" s="1" t="n">
        <v>45904.40079861111</v>
      </c>
      <c r="C7118" s="1" t="n">
        <v>45962</v>
      </c>
      <c r="D7118" t="inlineStr">
        <is>
          <t>JÖNKÖPINGS LÄN</t>
        </is>
      </c>
      <c r="E7118" t="inlineStr">
        <is>
          <t>MULLSJÖ</t>
        </is>
      </c>
      <c r="F7118" t="inlineStr">
        <is>
          <t>Kyrkan</t>
        </is>
      </c>
      <c r="G7118" t="n">
        <v>0.4</v>
      </c>
      <c r="H7118" t="n">
        <v>0</v>
      </c>
      <c r="I7118" t="n">
        <v>0</v>
      </c>
      <c r="J7118" t="n">
        <v>0</v>
      </c>
      <c r="K7118" t="n">
        <v>0</v>
      </c>
      <c r="L7118" t="n">
        <v>0</v>
      </c>
      <c r="M7118" t="n">
        <v>0</v>
      </c>
      <c r="N7118" t="n">
        <v>0</v>
      </c>
      <c r="O7118" t="n">
        <v>0</v>
      </c>
      <c r="P7118" t="n">
        <v>0</v>
      </c>
      <c r="Q7118" t="n">
        <v>0</v>
      </c>
      <c r="R7118" s="2" t="inlineStr"/>
    </row>
    <row r="7119" ht="15" customHeight="1">
      <c r="A7119" t="inlineStr">
        <is>
          <t>A 42175-2025</t>
        </is>
      </c>
      <c r="B7119" s="1" t="n">
        <v>45904.44297453704</v>
      </c>
      <c r="C7119" s="1" t="n">
        <v>45962</v>
      </c>
      <c r="D7119" t="inlineStr">
        <is>
          <t>JÖNKÖPINGS LÄN</t>
        </is>
      </c>
      <c r="E7119" t="inlineStr">
        <is>
          <t>NÄSSJÖ</t>
        </is>
      </c>
      <c r="G7119" t="n">
        <v>4.6</v>
      </c>
      <c r="H7119" t="n">
        <v>0</v>
      </c>
      <c r="I7119" t="n">
        <v>0</v>
      </c>
      <c r="J7119" t="n">
        <v>0</v>
      </c>
      <c r="K7119" t="n">
        <v>0</v>
      </c>
      <c r="L7119" t="n">
        <v>0</v>
      </c>
      <c r="M7119" t="n">
        <v>0</v>
      </c>
      <c r="N7119" t="n">
        <v>0</v>
      </c>
      <c r="O7119" t="n">
        <v>0</v>
      </c>
      <c r="P7119" t="n">
        <v>0</v>
      </c>
      <c r="Q7119" t="n">
        <v>0</v>
      </c>
      <c r="R7119" s="2" t="inlineStr"/>
    </row>
    <row r="7120" ht="15" customHeight="1">
      <c r="A7120" t="inlineStr">
        <is>
          <t>A 51446-2025</t>
        </is>
      </c>
      <c r="B7120" s="1" t="n">
        <v>45950.58693287037</v>
      </c>
      <c r="C7120" s="1" t="n">
        <v>45962</v>
      </c>
      <c r="D7120" t="inlineStr">
        <is>
          <t>JÖNKÖPINGS LÄN</t>
        </is>
      </c>
      <c r="E7120" t="inlineStr">
        <is>
          <t>HABO</t>
        </is>
      </c>
      <c r="G7120" t="n">
        <v>2.3</v>
      </c>
      <c r="H7120" t="n">
        <v>0</v>
      </c>
      <c r="I7120" t="n">
        <v>0</v>
      </c>
      <c r="J7120" t="n">
        <v>0</v>
      </c>
      <c r="K7120" t="n">
        <v>0</v>
      </c>
      <c r="L7120" t="n">
        <v>0</v>
      </c>
      <c r="M7120" t="n">
        <v>0</v>
      </c>
      <c r="N7120" t="n">
        <v>0</v>
      </c>
      <c r="O7120" t="n">
        <v>0</v>
      </c>
      <c r="P7120" t="n">
        <v>0</v>
      </c>
      <c r="Q7120" t="n">
        <v>0</v>
      </c>
      <c r="R7120" s="2" t="inlineStr"/>
    </row>
    <row r="7121" ht="15" customHeight="1">
      <c r="A7121" t="inlineStr">
        <is>
          <t>A 42819-2025</t>
        </is>
      </c>
      <c r="B7121" s="1" t="n">
        <v>45908.56534722223</v>
      </c>
      <c r="C7121" s="1" t="n">
        <v>45962</v>
      </c>
      <c r="D7121" t="inlineStr">
        <is>
          <t>JÖNKÖPINGS LÄN</t>
        </is>
      </c>
      <c r="E7121" t="inlineStr">
        <is>
          <t>GISLAVED</t>
        </is>
      </c>
      <c r="G7121" t="n">
        <v>1.2</v>
      </c>
      <c r="H7121" t="n">
        <v>0</v>
      </c>
      <c r="I7121" t="n">
        <v>0</v>
      </c>
      <c r="J7121" t="n">
        <v>0</v>
      </c>
      <c r="K7121" t="n">
        <v>0</v>
      </c>
      <c r="L7121" t="n">
        <v>0</v>
      </c>
      <c r="M7121" t="n">
        <v>0</v>
      </c>
      <c r="N7121" t="n">
        <v>0</v>
      </c>
      <c r="O7121" t="n">
        <v>0</v>
      </c>
      <c r="P7121" t="n">
        <v>0</v>
      </c>
      <c r="Q7121" t="n">
        <v>0</v>
      </c>
      <c r="R7121" s="2" t="inlineStr"/>
    </row>
    <row r="7122" ht="15" customHeight="1">
      <c r="A7122" t="inlineStr">
        <is>
          <t>A 43160-2025</t>
        </is>
      </c>
      <c r="B7122" s="1" t="n">
        <v>45909</v>
      </c>
      <c r="C7122" s="1" t="n">
        <v>45962</v>
      </c>
      <c r="D7122" t="inlineStr">
        <is>
          <t>JÖNKÖPINGS LÄN</t>
        </is>
      </c>
      <c r="E7122" t="inlineStr">
        <is>
          <t>ANEBY</t>
        </is>
      </c>
      <c r="F7122" t="inlineStr">
        <is>
          <t>Övriga Aktiebolag</t>
        </is>
      </c>
      <c r="G7122" t="n">
        <v>1.4</v>
      </c>
      <c r="H7122" t="n">
        <v>0</v>
      </c>
      <c r="I7122" t="n">
        <v>0</v>
      </c>
      <c r="J7122" t="n">
        <v>0</v>
      </c>
      <c r="K7122" t="n">
        <v>0</v>
      </c>
      <c r="L7122" t="n">
        <v>0</v>
      </c>
      <c r="M7122" t="n">
        <v>0</v>
      </c>
      <c r="N7122" t="n">
        <v>0</v>
      </c>
      <c r="O7122" t="n">
        <v>0</v>
      </c>
      <c r="P7122" t="n">
        <v>0</v>
      </c>
      <c r="Q7122" t="n">
        <v>0</v>
      </c>
      <c r="R7122" s="2" t="inlineStr"/>
    </row>
    <row r="7123" ht="15" customHeight="1">
      <c r="A7123" t="inlineStr">
        <is>
          <t>A 51447-2025</t>
        </is>
      </c>
      <c r="B7123" s="1" t="n">
        <v>45950.5884375</v>
      </c>
      <c r="C7123" s="1" t="n">
        <v>45962</v>
      </c>
      <c r="D7123" t="inlineStr">
        <is>
          <t>JÖNKÖPINGS LÄN</t>
        </is>
      </c>
      <c r="E7123" t="inlineStr">
        <is>
          <t>HABO</t>
        </is>
      </c>
      <c r="G7123" t="n">
        <v>3.8</v>
      </c>
      <c r="H7123" t="n">
        <v>0</v>
      </c>
      <c r="I7123" t="n">
        <v>0</v>
      </c>
      <c r="J7123" t="n">
        <v>0</v>
      </c>
      <c r="K7123" t="n">
        <v>0</v>
      </c>
      <c r="L7123" t="n">
        <v>0</v>
      </c>
      <c r="M7123" t="n">
        <v>0</v>
      </c>
      <c r="N7123" t="n">
        <v>0</v>
      </c>
      <c r="O7123" t="n">
        <v>0</v>
      </c>
      <c r="P7123" t="n">
        <v>0</v>
      </c>
      <c r="Q7123" t="n">
        <v>0</v>
      </c>
      <c r="R7123" s="2" t="inlineStr"/>
    </row>
    <row r="7124" ht="15" customHeight="1">
      <c r="A7124" t="inlineStr">
        <is>
          <t>A 51627-2025</t>
        </is>
      </c>
      <c r="B7124" s="1" t="n">
        <v>45951.41956018518</v>
      </c>
      <c r="C7124" s="1" t="n">
        <v>45962</v>
      </c>
      <c r="D7124" t="inlineStr">
        <is>
          <t>JÖNKÖPINGS LÄN</t>
        </is>
      </c>
      <c r="E7124" t="inlineStr">
        <is>
          <t>ANEBY</t>
        </is>
      </c>
      <c r="G7124" t="n">
        <v>3.4</v>
      </c>
      <c r="H7124" t="n">
        <v>0</v>
      </c>
      <c r="I7124" t="n">
        <v>0</v>
      </c>
      <c r="J7124" t="n">
        <v>0</v>
      </c>
      <c r="K7124" t="n">
        <v>0</v>
      </c>
      <c r="L7124" t="n">
        <v>0</v>
      </c>
      <c r="M7124" t="n">
        <v>0</v>
      </c>
      <c r="N7124" t="n">
        <v>0</v>
      </c>
      <c r="O7124" t="n">
        <v>0</v>
      </c>
      <c r="P7124" t="n">
        <v>0</v>
      </c>
      <c r="Q7124" t="n">
        <v>0</v>
      </c>
      <c r="R7124" s="2" t="inlineStr"/>
    </row>
    <row r="7125" ht="15" customHeight="1">
      <c r="A7125" t="inlineStr">
        <is>
          <t>A 51676-2025</t>
        </is>
      </c>
      <c r="B7125" s="1" t="n">
        <v>45951.50607638889</v>
      </c>
      <c r="C7125" s="1" t="n">
        <v>45962</v>
      </c>
      <c r="D7125" t="inlineStr">
        <is>
          <t>JÖNKÖPINGS LÄN</t>
        </is>
      </c>
      <c r="E7125" t="inlineStr">
        <is>
          <t>HABO</t>
        </is>
      </c>
      <c r="G7125" t="n">
        <v>2.3</v>
      </c>
      <c r="H7125" t="n">
        <v>0</v>
      </c>
      <c r="I7125" t="n">
        <v>0</v>
      </c>
      <c r="J7125" t="n">
        <v>0</v>
      </c>
      <c r="K7125" t="n">
        <v>0</v>
      </c>
      <c r="L7125" t="n">
        <v>0</v>
      </c>
      <c r="M7125" t="n">
        <v>0</v>
      </c>
      <c r="N7125" t="n">
        <v>0</v>
      </c>
      <c r="O7125" t="n">
        <v>0</v>
      </c>
      <c r="P7125" t="n">
        <v>0</v>
      </c>
      <c r="Q7125" t="n">
        <v>0</v>
      </c>
      <c r="R7125" s="2" t="inlineStr"/>
    </row>
    <row r="7126" ht="15" customHeight="1">
      <c r="A7126" t="inlineStr">
        <is>
          <t>A 49029-2025</t>
        </is>
      </c>
      <c r="B7126" s="1" t="n">
        <v>45937.62362268518</v>
      </c>
      <c r="C7126" s="1" t="n">
        <v>45962</v>
      </c>
      <c r="D7126" t="inlineStr">
        <is>
          <t>JÖNKÖPINGS LÄN</t>
        </is>
      </c>
      <c r="E7126" t="inlineStr">
        <is>
          <t>GISLAVED</t>
        </is>
      </c>
      <c r="G7126" t="n">
        <v>0.5</v>
      </c>
      <c r="H7126" t="n">
        <v>0</v>
      </c>
      <c r="I7126" t="n">
        <v>0</v>
      </c>
      <c r="J7126" t="n">
        <v>0</v>
      </c>
      <c r="K7126" t="n">
        <v>0</v>
      </c>
      <c r="L7126" t="n">
        <v>0</v>
      </c>
      <c r="M7126" t="n">
        <v>0</v>
      </c>
      <c r="N7126" t="n">
        <v>0</v>
      </c>
      <c r="O7126" t="n">
        <v>0</v>
      </c>
      <c r="P7126" t="n">
        <v>0</v>
      </c>
      <c r="Q7126" t="n">
        <v>0</v>
      </c>
      <c r="R7126" s="2" t="inlineStr"/>
    </row>
    <row r="7127" ht="15" customHeight="1">
      <c r="A7127" t="inlineStr">
        <is>
          <t>A 42885-2025</t>
        </is>
      </c>
      <c r="B7127" s="1" t="n">
        <v>45908.65194444444</v>
      </c>
      <c r="C7127" s="1" t="n">
        <v>45962</v>
      </c>
      <c r="D7127" t="inlineStr">
        <is>
          <t>JÖNKÖPINGS LÄN</t>
        </is>
      </c>
      <c r="E7127" t="inlineStr">
        <is>
          <t>TRANÅS</t>
        </is>
      </c>
      <c r="G7127" t="n">
        <v>1.3</v>
      </c>
      <c r="H7127" t="n">
        <v>0</v>
      </c>
      <c r="I7127" t="n">
        <v>0</v>
      </c>
      <c r="J7127" t="n">
        <v>0</v>
      </c>
      <c r="K7127" t="n">
        <v>0</v>
      </c>
      <c r="L7127" t="n">
        <v>0</v>
      </c>
      <c r="M7127" t="n">
        <v>0</v>
      </c>
      <c r="N7127" t="n">
        <v>0</v>
      </c>
      <c r="O7127" t="n">
        <v>0</v>
      </c>
      <c r="P7127" t="n">
        <v>0</v>
      </c>
      <c r="Q7127" t="n">
        <v>0</v>
      </c>
      <c r="R7127" s="2" t="inlineStr"/>
    </row>
    <row r="7128" ht="15" customHeight="1">
      <c r="A7128" t="inlineStr">
        <is>
          <t>A 42922-2025</t>
        </is>
      </c>
      <c r="B7128" s="1" t="n">
        <v>45908.90319444444</v>
      </c>
      <c r="C7128" s="1" t="n">
        <v>45962</v>
      </c>
      <c r="D7128" t="inlineStr">
        <is>
          <t>JÖNKÖPINGS LÄN</t>
        </is>
      </c>
      <c r="E7128" t="inlineStr">
        <is>
          <t>JÖNKÖPING</t>
        </is>
      </c>
      <c r="G7128" t="n">
        <v>0.7</v>
      </c>
      <c r="H7128" t="n">
        <v>0</v>
      </c>
      <c r="I7128" t="n">
        <v>0</v>
      </c>
      <c r="J7128" t="n">
        <v>0</v>
      </c>
      <c r="K7128" t="n">
        <v>0</v>
      </c>
      <c r="L7128" t="n">
        <v>0</v>
      </c>
      <c r="M7128" t="n">
        <v>0</v>
      </c>
      <c r="N7128" t="n">
        <v>0</v>
      </c>
      <c r="O7128" t="n">
        <v>0</v>
      </c>
      <c r="P7128" t="n">
        <v>0</v>
      </c>
      <c r="Q7128" t="n">
        <v>0</v>
      </c>
      <c r="R7128" s="2" t="inlineStr"/>
    </row>
    <row r="7129" ht="15" customHeight="1">
      <c r="A7129" t="inlineStr">
        <is>
          <t>A 42924-2025</t>
        </is>
      </c>
      <c r="B7129" s="1" t="n">
        <v>45908.92039351852</v>
      </c>
      <c r="C7129" s="1" t="n">
        <v>45962</v>
      </c>
      <c r="D7129" t="inlineStr">
        <is>
          <t>JÖNKÖPINGS LÄN</t>
        </is>
      </c>
      <c r="E7129" t="inlineStr">
        <is>
          <t>JÖNKÖPING</t>
        </is>
      </c>
      <c r="G7129" t="n">
        <v>2.1</v>
      </c>
      <c r="H7129" t="n">
        <v>0</v>
      </c>
      <c r="I7129" t="n">
        <v>0</v>
      </c>
      <c r="J7129" t="n">
        <v>0</v>
      </c>
      <c r="K7129" t="n">
        <v>0</v>
      </c>
      <c r="L7129" t="n">
        <v>0</v>
      </c>
      <c r="M7129" t="n">
        <v>0</v>
      </c>
      <c r="N7129" t="n">
        <v>0</v>
      </c>
      <c r="O7129" t="n">
        <v>0</v>
      </c>
      <c r="P7129" t="n">
        <v>0</v>
      </c>
      <c r="Q7129" t="n">
        <v>0</v>
      </c>
      <c r="R7129" s="2" t="inlineStr"/>
    </row>
    <row r="7130" ht="15" customHeight="1">
      <c r="A7130" t="inlineStr">
        <is>
          <t>A 42753-2025</t>
        </is>
      </c>
      <c r="B7130" s="1" t="n">
        <v>45908</v>
      </c>
      <c r="C7130" s="1" t="n">
        <v>45962</v>
      </c>
      <c r="D7130" t="inlineStr">
        <is>
          <t>JÖNKÖPINGS LÄN</t>
        </is>
      </c>
      <c r="E7130" t="inlineStr">
        <is>
          <t>VETLANDA</t>
        </is>
      </c>
      <c r="G7130" t="n">
        <v>1.6</v>
      </c>
      <c r="H7130" t="n">
        <v>0</v>
      </c>
      <c r="I7130" t="n">
        <v>0</v>
      </c>
      <c r="J7130" t="n">
        <v>0</v>
      </c>
      <c r="K7130" t="n">
        <v>0</v>
      </c>
      <c r="L7130" t="n">
        <v>0</v>
      </c>
      <c r="M7130" t="n">
        <v>0</v>
      </c>
      <c r="N7130" t="n">
        <v>0</v>
      </c>
      <c r="O7130" t="n">
        <v>0</v>
      </c>
      <c r="P7130" t="n">
        <v>0</v>
      </c>
      <c r="Q7130" t="n">
        <v>0</v>
      </c>
      <c r="R7130" s="2" t="inlineStr"/>
    </row>
    <row r="7131" ht="15" customHeight="1">
      <c r="A7131" t="inlineStr">
        <is>
          <t>A 42870-2025</t>
        </is>
      </c>
      <c r="B7131" s="1" t="n">
        <v>45908</v>
      </c>
      <c r="C7131" s="1" t="n">
        <v>45962</v>
      </c>
      <c r="D7131" t="inlineStr">
        <is>
          <t>JÖNKÖPINGS LÄN</t>
        </is>
      </c>
      <c r="E7131" t="inlineStr">
        <is>
          <t>ANEBY</t>
        </is>
      </c>
      <c r="G7131" t="n">
        <v>1.5</v>
      </c>
      <c r="H7131" t="n">
        <v>0</v>
      </c>
      <c r="I7131" t="n">
        <v>0</v>
      </c>
      <c r="J7131" t="n">
        <v>0</v>
      </c>
      <c r="K7131" t="n">
        <v>0</v>
      </c>
      <c r="L7131" t="n">
        <v>0</v>
      </c>
      <c r="M7131" t="n">
        <v>0</v>
      </c>
      <c r="N7131" t="n">
        <v>0</v>
      </c>
      <c r="O7131" t="n">
        <v>0</v>
      </c>
      <c r="P7131" t="n">
        <v>0</v>
      </c>
      <c r="Q7131" t="n">
        <v>0</v>
      </c>
      <c r="R7131" s="2" t="inlineStr"/>
    </row>
    <row r="7132" ht="15" customHeight="1">
      <c r="A7132" t="inlineStr">
        <is>
          <t>A 42897-2025</t>
        </is>
      </c>
      <c r="B7132" s="1" t="n">
        <v>45908</v>
      </c>
      <c r="C7132" s="1" t="n">
        <v>45962</v>
      </c>
      <c r="D7132" t="inlineStr">
        <is>
          <t>JÖNKÖPINGS LÄN</t>
        </is>
      </c>
      <c r="E7132" t="inlineStr">
        <is>
          <t>EKSJÖ</t>
        </is>
      </c>
      <c r="G7132" t="n">
        <v>2.1</v>
      </c>
      <c r="H7132" t="n">
        <v>0</v>
      </c>
      <c r="I7132" t="n">
        <v>0</v>
      </c>
      <c r="J7132" t="n">
        <v>0</v>
      </c>
      <c r="K7132" t="n">
        <v>0</v>
      </c>
      <c r="L7132" t="n">
        <v>0</v>
      </c>
      <c r="M7132" t="n">
        <v>0</v>
      </c>
      <c r="N7132" t="n">
        <v>0</v>
      </c>
      <c r="O7132" t="n">
        <v>0</v>
      </c>
      <c r="P7132" t="n">
        <v>0</v>
      </c>
      <c r="Q7132" t="n">
        <v>0</v>
      </c>
      <c r="R7132" s="2" t="inlineStr"/>
    </row>
    <row r="7133" ht="15" customHeight="1">
      <c r="A7133" t="inlineStr">
        <is>
          <t>A 42916-2025</t>
        </is>
      </c>
      <c r="B7133" s="1" t="n">
        <v>45908.83310185185</v>
      </c>
      <c r="C7133" s="1" t="n">
        <v>45962</v>
      </c>
      <c r="D7133" t="inlineStr">
        <is>
          <t>JÖNKÖPINGS LÄN</t>
        </is>
      </c>
      <c r="E7133" t="inlineStr">
        <is>
          <t>NÄSSJÖ</t>
        </is>
      </c>
      <c r="G7133" t="n">
        <v>1.5</v>
      </c>
      <c r="H7133" t="n">
        <v>0</v>
      </c>
      <c r="I7133" t="n">
        <v>0</v>
      </c>
      <c r="J7133" t="n">
        <v>0</v>
      </c>
      <c r="K7133" t="n">
        <v>0</v>
      </c>
      <c r="L7133" t="n">
        <v>0</v>
      </c>
      <c r="M7133" t="n">
        <v>0</v>
      </c>
      <c r="N7133" t="n">
        <v>0</v>
      </c>
      <c r="O7133" t="n">
        <v>0</v>
      </c>
      <c r="P7133" t="n">
        <v>0</v>
      </c>
      <c r="Q7133" t="n">
        <v>0</v>
      </c>
      <c r="R7133" s="2" t="inlineStr"/>
    </row>
    <row r="7134" ht="15" customHeight="1">
      <c r="A7134" t="inlineStr">
        <is>
          <t>A 51674-2025</t>
        </is>
      </c>
      <c r="B7134" s="1" t="n">
        <v>45951.50398148148</v>
      </c>
      <c r="C7134" s="1" t="n">
        <v>45962</v>
      </c>
      <c r="D7134" t="inlineStr">
        <is>
          <t>JÖNKÖPINGS LÄN</t>
        </is>
      </c>
      <c r="E7134" t="inlineStr">
        <is>
          <t>HABO</t>
        </is>
      </c>
      <c r="G7134" t="n">
        <v>2.3</v>
      </c>
      <c r="H7134" t="n">
        <v>0</v>
      </c>
      <c r="I7134" t="n">
        <v>0</v>
      </c>
      <c r="J7134" t="n">
        <v>0</v>
      </c>
      <c r="K7134" t="n">
        <v>0</v>
      </c>
      <c r="L7134" t="n">
        <v>0</v>
      </c>
      <c r="M7134" t="n">
        <v>0</v>
      </c>
      <c r="N7134" t="n">
        <v>0</v>
      </c>
      <c r="O7134" t="n">
        <v>0</v>
      </c>
      <c r="P7134" t="n">
        <v>0</v>
      </c>
      <c r="Q7134" t="n">
        <v>0</v>
      </c>
      <c r="R7134" s="2" t="inlineStr"/>
    </row>
    <row r="7135" ht="15" customHeight="1">
      <c r="A7135" t="inlineStr">
        <is>
          <t>A 51773-2025</t>
        </is>
      </c>
      <c r="B7135" s="1" t="n">
        <v>45951.65298611111</v>
      </c>
      <c r="C7135" s="1" t="n">
        <v>45962</v>
      </c>
      <c r="D7135" t="inlineStr">
        <is>
          <t>JÖNKÖPINGS LÄN</t>
        </is>
      </c>
      <c r="E7135" t="inlineStr">
        <is>
          <t>SÄVSJÖ</t>
        </is>
      </c>
      <c r="G7135" t="n">
        <v>1.4</v>
      </c>
      <c r="H7135" t="n">
        <v>0</v>
      </c>
      <c r="I7135" t="n">
        <v>0</v>
      </c>
      <c r="J7135" t="n">
        <v>0</v>
      </c>
      <c r="K7135" t="n">
        <v>0</v>
      </c>
      <c r="L7135" t="n">
        <v>0</v>
      </c>
      <c r="M7135" t="n">
        <v>0</v>
      </c>
      <c r="N7135" t="n">
        <v>0</v>
      </c>
      <c r="O7135" t="n">
        <v>0</v>
      </c>
      <c r="P7135" t="n">
        <v>0</v>
      </c>
      <c r="Q7135" t="n">
        <v>0</v>
      </c>
      <c r="R7135" s="2" t="inlineStr"/>
    </row>
    <row r="7136" ht="15" customHeight="1">
      <c r="A7136" t="inlineStr">
        <is>
          <t>A 51628-2025</t>
        </is>
      </c>
      <c r="B7136" s="1" t="n">
        <v>45951.42040509259</v>
      </c>
      <c r="C7136" s="1" t="n">
        <v>45962</v>
      </c>
      <c r="D7136" t="inlineStr">
        <is>
          <t>JÖNKÖPINGS LÄN</t>
        </is>
      </c>
      <c r="E7136" t="inlineStr">
        <is>
          <t>VAGGERYD</t>
        </is>
      </c>
      <c r="G7136" t="n">
        <v>4.6</v>
      </c>
      <c r="H7136" t="n">
        <v>0</v>
      </c>
      <c r="I7136" t="n">
        <v>0</v>
      </c>
      <c r="J7136" t="n">
        <v>0</v>
      </c>
      <c r="K7136" t="n">
        <v>0</v>
      </c>
      <c r="L7136" t="n">
        <v>0</v>
      </c>
      <c r="M7136" t="n">
        <v>0</v>
      </c>
      <c r="N7136" t="n">
        <v>0</v>
      </c>
      <c r="O7136" t="n">
        <v>0</v>
      </c>
      <c r="P7136" t="n">
        <v>0</v>
      </c>
      <c r="Q7136" t="n">
        <v>0</v>
      </c>
      <c r="R7136" s="2" t="inlineStr"/>
    </row>
    <row r="7137" ht="15" customHeight="1">
      <c r="A7137" t="inlineStr">
        <is>
          <t>A 51684-2025</t>
        </is>
      </c>
      <c r="B7137" s="1" t="n">
        <v>45951</v>
      </c>
      <c r="C7137" s="1" t="n">
        <v>45962</v>
      </c>
      <c r="D7137" t="inlineStr">
        <is>
          <t>JÖNKÖPINGS LÄN</t>
        </is>
      </c>
      <c r="E7137" t="inlineStr">
        <is>
          <t>ANEBY</t>
        </is>
      </c>
      <c r="G7137" t="n">
        <v>1.6</v>
      </c>
      <c r="H7137" t="n">
        <v>0</v>
      </c>
      <c r="I7137" t="n">
        <v>0</v>
      </c>
      <c r="J7137" t="n">
        <v>0</v>
      </c>
      <c r="K7137" t="n">
        <v>0</v>
      </c>
      <c r="L7137" t="n">
        <v>0</v>
      </c>
      <c r="M7137" t="n">
        <v>0</v>
      </c>
      <c r="N7137" t="n">
        <v>0</v>
      </c>
      <c r="O7137" t="n">
        <v>0</v>
      </c>
      <c r="P7137" t="n">
        <v>0</v>
      </c>
      <c r="Q7137" t="n">
        <v>0</v>
      </c>
      <c r="R7137" s="2" t="inlineStr"/>
    </row>
    <row r="7138" ht="15" customHeight="1">
      <c r="A7138" t="inlineStr">
        <is>
          <t>A 51776-2025</t>
        </is>
      </c>
      <c r="B7138" s="1" t="n">
        <v>45951.65457175926</v>
      </c>
      <c r="C7138" s="1" t="n">
        <v>45962</v>
      </c>
      <c r="D7138" t="inlineStr">
        <is>
          <t>JÖNKÖPINGS LÄN</t>
        </is>
      </c>
      <c r="E7138" t="inlineStr">
        <is>
          <t>SÄVSJÖ</t>
        </is>
      </c>
      <c r="G7138" t="n">
        <v>1.2</v>
      </c>
      <c r="H7138" t="n">
        <v>0</v>
      </c>
      <c r="I7138" t="n">
        <v>0</v>
      </c>
      <c r="J7138" t="n">
        <v>0</v>
      </c>
      <c r="K7138" t="n">
        <v>0</v>
      </c>
      <c r="L7138" t="n">
        <v>0</v>
      </c>
      <c r="M7138" t="n">
        <v>0</v>
      </c>
      <c r="N7138" t="n">
        <v>0</v>
      </c>
      <c r="O7138" t="n">
        <v>0</v>
      </c>
      <c r="P7138" t="n">
        <v>0</v>
      </c>
      <c r="Q7138" t="n">
        <v>0</v>
      </c>
      <c r="R7138" s="2" t="inlineStr"/>
    </row>
    <row r="7139" ht="15" customHeight="1">
      <c r="A7139" t="inlineStr">
        <is>
          <t>A 10455-2025</t>
        </is>
      </c>
      <c r="B7139" s="1" t="n">
        <v>45720.70986111111</v>
      </c>
      <c r="C7139" s="1" t="n">
        <v>45962</v>
      </c>
      <c r="D7139" t="inlineStr">
        <is>
          <t>JÖNKÖPINGS LÄN</t>
        </is>
      </c>
      <c r="E7139" t="inlineStr">
        <is>
          <t>JÖNKÖPING</t>
        </is>
      </c>
      <c r="G7139" t="n">
        <v>3.4</v>
      </c>
      <c r="H7139" t="n">
        <v>0</v>
      </c>
      <c r="I7139" t="n">
        <v>0</v>
      </c>
      <c r="J7139" t="n">
        <v>0</v>
      </c>
      <c r="K7139" t="n">
        <v>0</v>
      </c>
      <c r="L7139" t="n">
        <v>0</v>
      </c>
      <c r="M7139" t="n">
        <v>0</v>
      </c>
      <c r="N7139" t="n">
        <v>0</v>
      </c>
      <c r="O7139" t="n">
        <v>0</v>
      </c>
      <c r="P7139" t="n">
        <v>0</v>
      </c>
      <c r="Q7139" t="n">
        <v>0</v>
      </c>
      <c r="R7139" s="2" t="inlineStr"/>
    </row>
    <row r="7140" ht="15" customHeight="1">
      <c r="A7140" t="inlineStr">
        <is>
          <t>A 42665-2025</t>
        </is>
      </c>
      <c r="B7140" s="1" t="n">
        <v>45907.87585648148</v>
      </c>
      <c r="C7140" s="1" t="n">
        <v>45962</v>
      </c>
      <c r="D7140" t="inlineStr">
        <is>
          <t>JÖNKÖPINGS LÄN</t>
        </is>
      </c>
      <c r="E7140" t="inlineStr">
        <is>
          <t>NÄSSJÖ</t>
        </is>
      </c>
      <c r="G7140" t="n">
        <v>0.8</v>
      </c>
      <c r="H7140" t="n">
        <v>0</v>
      </c>
      <c r="I7140" t="n">
        <v>0</v>
      </c>
      <c r="J7140" t="n">
        <v>0</v>
      </c>
      <c r="K7140" t="n">
        <v>0</v>
      </c>
      <c r="L7140" t="n">
        <v>0</v>
      </c>
      <c r="M7140" t="n">
        <v>0</v>
      </c>
      <c r="N7140" t="n">
        <v>0</v>
      </c>
      <c r="O7140" t="n">
        <v>0</v>
      </c>
      <c r="P7140" t="n">
        <v>0</v>
      </c>
      <c r="Q7140" t="n">
        <v>0</v>
      </c>
      <c r="R7140" s="2" t="inlineStr"/>
    </row>
    <row r="7141" ht="15" customHeight="1">
      <c r="A7141" t="inlineStr">
        <is>
          <t>A 42667-2025</t>
        </is>
      </c>
      <c r="B7141" s="1" t="n">
        <v>45907.87936342593</v>
      </c>
      <c r="C7141" s="1" t="n">
        <v>45962</v>
      </c>
      <c r="D7141" t="inlineStr">
        <is>
          <t>JÖNKÖPINGS LÄN</t>
        </is>
      </c>
      <c r="E7141" t="inlineStr">
        <is>
          <t>NÄSSJÖ</t>
        </is>
      </c>
      <c r="G7141" t="n">
        <v>3.7</v>
      </c>
      <c r="H7141" t="n">
        <v>0</v>
      </c>
      <c r="I7141" t="n">
        <v>0</v>
      </c>
      <c r="J7141" t="n">
        <v>0</v>
      </c>
      <c r="K7141" t="n">
        <v>0</v>
      </c>
      <c r="L7141" t="n">
        <v>0</v>
      </c>
      <c r="M7141" t="n">
        <v>0</v>
      </c>
      <c r="N7141" t="n">
        <v>0</v>
      </c>
      <c r="O7141" t="n">
        <v>0</v>
      </c>
      <c r="P7141" t="n">
        <v>0</v>
      </c>
      <c r="Q7141" t="n">
        <v>0</v>
      </c>
      <c r="R7141" s="2" t="inlineStr"/>
    </row>
    <row r="7142" ht="15" customHeight="1">
      <c r="A7142" t="inlineStr">
        <is>
          <t>A 42918-2025</t>
        </is>
      </c>
      <c r="B7142" s="1" t="n">
        <v>45908.84606481482</v>
      </c>
      <c r="C7142" s="1" t="n">
        <v>45962</v>
      </c>
      <c r="D7142" t="inlineStr">
        <is>
          <t>JÖNKÖPINGS LÄN</t>
        </is>
      </c>
      <c r="E7142" t="inlineStr">
        <is>
          <t>GISLAVED</t>
        </is>
      </c>
      <c r="G7142" t="n">
        <v>0.7</v>
      </c>
      <c r="H7142" t="n">
        <v>0</v>
      </c>
      <c r="I7142" t="n">
        <v>0</v>
      </c>
      <c r="J7142" t="n">
        <v>0</v>
      </c>
      <c r="K7142" t="n">
        <v>0</v>
      </c>
      <c r="L7142" t="n">
        <v>0</v>
      </c>
      <c r="M7142" t="n">
        <v>0</v>
      </c>
      <c r="N7142" t="n">
        <v>0</v>
      </c>
      <c r="O7142" t="n">
        <v>0</v>
      </c>
      <c r="P7142" t="n">
        <v>0</v>
      </c>
      <c r="Q7142" t="n">
        <v>0</v>
      </c>
      <c r="R7142" s="2" t="inlineStr"/>
    </row>
    <row r="7143" ht="15" customHeight="1">
      <c r="A7143" t="inlineStr">
        <is>
          <t>A 42923-2025</t>
        </is>
      </c>
      <c r="B7143" s="1" t="n">
        <v>45908.91429398148</v>
      </c>
      <c r="C7143" s="1" t="n">
        <v>45962</v>
      </c>
      <c r="D7143" t="inlineStr">
        <is>
          <t>JÖNKÖPINGS LÄN</t>
        </is>
      </c>
      <c r="E7143" t="inlineStr">
        <is>
          <t>JÖNKÖPING</t>
        </is>
      </c>
      <c r="G7143" t="n">
        <v>0.8</v>
      </c>
      <c r="H7143" t="n">
        <v>0</v>
      </c>
      <c r="I7143" t="n">
        <v>0</v>
      </c>
      <c r="J7143" t="n">
        <v>0</v>
      </c>
      <c r="K7143" t="n">
        <v>0</v>
      </c>
      <c r="L7143" t="n">
        <v>0</v>
      </c>
      <c r="M7143" t="n">
        <v>0</v>
      </c>
      <c r="N7143" t="n">
        <v>0</v>
      </c>
      <c r="O7143" t="n">
        <v>0</v>
      </c>
      <c r="P7143" t="n">
        <v>0</v>
      </c>
      <c r="Q7143" t="n">
        <v>0</v>
      </c>
      <c r="R7143" s="2" t="inlineStr"/>
    </row>
    <row r="7144" ht="15" customHeight="1">
      <c r="A7144" t="inlineStr">
        <is>
          <t>A 42925-2025</t>
        </is>
      </c>
      <c r="B7144" s="1" t="n">
        <v>45908.92369212963</v>
      </c>
      <c r="C7144" s="1" t="n">
        <v>45962</v>
      </c>
      <c r="D7144" t="inlineStr">
        <is>
          <t>JÖNKÖPINGS LÄN</t>
        </is>
      </c>
      <c r="E7144" t="inlineStr">
        <is>
          <t>JÖNKÖPING</t>
        </is>
      </c>
      <c r="G7144" t="n">
        <v>1.4</v>
      </c>
      <c r="H7144" t="n">
        <v>0</v>
      </c>
      <c r="I7144" t="n">
        <v>0</v>
      </c>
      <c r="J7144" t="n">
        <v>0</v>
      </c>
      <c r="K7144" t="n">
        <v>0</v>
      </c>
      <c r="L7144" t="n">
        <v>0</v>
      </c>
      <c r="M7144" t="n">
        <v>0</v>
      </c>
      <c r="N7144" t="n">
        <v>0</v>
      </c>
      <c r="O7144" t="n">
        <v>0</v>
      </c>
      <c r="P7144" t="n">
        <v>0</v>
      </c>
      <c r="Q7144" t="n">
        <v>0</v>
      </c>
      <c r="R7144" s="2" t="inlineStr"/>
    </row>
    <row r="7145" ht="15" customHeight="1">
      <c r="A7145" t="inlineStr">
        <is>
          <t>A 61258-2024</t>
        </is>
      </c>
      <c r="B7145" s="1" t="n">
        <v>45645.71140046296</v>
      </c>
      <c r="C7145" s="1" t="n">
        <v>45962</v>
      </c>
      <c r="D7145" t="inlineStr">
        <is>
          <t>JÖNKÖPINGS LÄN</t>
        </is>
      </c>
      <c r="E7145" t="inlineStr">
        <is>
          <t>VETLANDA</t>
        </is>
      </c>
      <c r="G7145" t="n">
        <v>0.9</v>
      </c>
      <c r="H7145" t="n">
        <v>0</v>
      </c>
      <c r="I7145" t="n">
        <v>0</v>
      </c>
      <c r="J7145" t="n">
        <v>0</v>
      </c>
      <c r="K7145" t="n">
        <v>0</v>
      </c>
      <c r="L7145" t="n">
        <v>0</v>
      </c>
      <c r="M7145" t="n">
        <v>0</v>
      </c>
      <c r="N7145" t="n">
        <v>0</v>
      </c>
      <c r="O7145" t="n">
        <v>0</v>
      </c>
      <c r="P7145" t="n">
        <v>0</v>
      </c>
      <c r="Q7145" t="n">
        <v>0</v>
      </c>
      <c r="R7145" s="2" t="inlineStr"/>
    </row>
    <row r="7146" ht="15" customHeight="1">
      <c r="A7146" t="inlineStr">
        <is>
          <t>A 43019-2025</t>
        </is>
      </c>
      <c r="B7146" s="1" t="n">
        <v>45909.50524305556</v>
      </c>
      <c r="C7146" s="1" t="n">
        <v>45962</v>
      </c>
      <c r="D7146" t="inlineStr">
        <is>
          <t>JÖNKÖPINGS LÄN</t>
        </is>
      </c>
      <c r="E7146" t="inlineStr">
        <is>
          <t>ANEBY</t>
        </is>
      </c>
      <c r="G7146" t="n">
        <v>1.4</v>
      </c>
      <c r="H7146" t="n">
        <v>0</v>
      </c>
      <c r="I7146" t="n">
        <v>0</v>
      </c>
      <c r="J7146" t="n">
        <v>0</v>
      </c>
      <c r="K7146" t="n">
        <v>0</v>
      </c>
      <c r="L7146" t="n">
        <v>0</v>
      </c>
      <c r="M7146" t="n">
        <v>0</v>
      </c>
      <c r="N7146" t="n">
        <v>0</v>
      </c>
      <c r="O7146" t="n">
        <v>0</v>
      </c>
      <c r="P7146" t="n">
        <v>0</v>
      </c>
      <c r="Q7146" t="n">
        <v>0</v>
      </c>
      <c r="R7146" s="2" t="inlineStr"/>
    </row>
    <row r="7147" ht="15" customHeight="1">
      <c r="A7147" t="inlineStr">
        <is>
          <t>A 43008-2025</t>
        </is>
      </c>
      <c r="B7147" s="1" t="n">
        <v>45909.48194444444</v>
      </c>
      <c r="C7147" s="1" t="n">
        <v>45962</v>
      </c>
      <c r="D7147" t="inlineStr">
        <is>
          <t>JÖNKÖPINGS LÄN</t>
        </is>
      </c>
      <c r="E7147" t="inlineStr">
        <is>
          <t>ANEBY</t>
        </is>
      </c>
      <c r="G7147" t="n">
        <v>2.2</v>
      </c>
      <c r="H7147" t="n">
        <v>0</v>
      </c>
      <c r="I7147" t="n">
        <v>0</v>
      </c>
      <c r="J7147" t="n">
        <v>0</v>
      </c>
      <c r="K7147" t="n">
        <v>0</v>
      </c>
      <c r="L7147" t="n">
        <v>0</v>
      </c>
      <c r="M7147" t="n">
        <v>0</v>
      </c>
      <c r="N7147" t="n">
        <v>0</v>
      </c>
      <c r="O7147" t="n">
        <v>0</v>
      </c>
      <c r="P7147" t="n">
        <v>0</v>
      </c>
      <c r="Q7147" t="n">
        <v>0</v>
      </c>
      <c r="R7147" s="2" t="inlineStr"/>
    </row>
    <row r="7148" ht="15" customHeight="1">
      <c r="A7148" t="inlineStr">
        <is>
          <t>A 51365-2025</t>
        </is>
      </c>
      <c r="B7148" s="1" t="n">
        <v>45950.44650462963</v>
      </c>
      <c r="C7148" s="1" t="n">
        <v>45962</v>
      </c>
      <c r="D7148" t="inlineStr">
        <is>
          <t>JÖNKÖPINGS LÄN</t>
        </is>
      </c>
      <c r="E7148" t="inlineStr">
        <is>
          <t>VETLANDA</t>
        </is>
      </c>
      <c r="G7148" t="n">
        <v>0.8</v>
      </c>
      <c r="H7148" t="n">
        <v>0</v>
      </c>
      <c r="I7148" t="n">
        <v>0</v>
      </c>
      <c r="J7148" t="n">
        <v>0</v>
      </c>
      <c r="K7148" t="n">
        <v>0</v>
      </c>
      <c r="L7148" t="n">
        <v>0</v>
      </c>
      <c r="M7148" t="n">
        <v>0</v>
      </c>
      <c r="N7148" t="n">
        <v>0</v>
      </c>
      <c r="O7148" t="n">
        <v>0</v>
      </c>
      <c r="P7148" t="n">
        <v>0</v>
      </c>
      <c r="Q7148" t="n">
        <v>0</v>
      </c>
      <c r="R7148" s="2" t="inlineStr"/>
    </row>
    <row r="7149" ht="15" customHeight="1">
      <c r="A7149" t="inlineStr">
        <is>
          <t>A 51377-2025</t>
        </is>
      </c>
      <c r="B7149" s="1" t="n">
        <v>45947</v>
      </c>
      <c r="C7149" s="1" t="n">
        <v>45962</v>
      </c>
      <c r="D7149" t="inlineStr">
        <is>
          <t>JÖNKÖPINGS LÄN</t>
        </is>
      </c>
      <c r="E7149" t="inlineStr">
        <is>
          <t>JÖNKÖPING</t>
        </is>
      </c>
      <c r="G7149" t="n">
        <v>2</v>
      </c>
      <c r="H7149" t="n">
        <v>0</v>
      </c>
      <c r="I7149" t="n">
        <v>0</v>
      </c>
      <c r="J7149" t="n">
        <v>0</v>
      </c>
      <c r="K7149" t="n">
        <v>0</v>
      </c>
      <c r="L7149" t="n">
        <v>0</v>
      </c>
      <c r="M7149" t="n">
        <v>0</v>
      </c>
      <c r="N7149" t="n">
        <v>0</v>
      </c>
      <c r="O7149" t="n">
        <v>0</v>
      </c>
      <c r="P7149" t="n">
        <v>0</v>
      </c>
      <c r="Q7149" t="n">
        <v>0</v>
      </c>
      <c r="R7149" s="2" t="inlineStr"/>
    </row>
    <row r="7150" ht="15" customHeight="1">
      <c r="A7150" t="inlineStr">
        <is>
          <t>A 43033-2025</t>
        </is>
      </c>
      <c r="B7150" s="1" t="n">
        <v>45909.54175925926</v>
      </c>
      <c r="C7150" s="1" t="n">
        <v>45962</v>
      </c>
      <c r="D7150" t="inlineStr">
        <is>
          <t>JÖNKÖPINGS LÄN</t>
        </is>
      </c>
      <c r="E7150" t="inlineStr">
        <is>
          <t>VETLANDA</t>
        </is>
      </c>
      <c r="G7150" t="n">
        <v>1.3</v>
      </c>
      <c r="H7150" t="n">
        <v>0</v>
      </c>
      <c r="I7150" t="n">
        <v>0</v>
      </c>
      <c r="J7150" t="n">
        <v>0</v>
      </c>
      <c r="K7150" t="n">
        <v>0</v>
      </c>
      <c r="L7150" t="n">
        <v>0</v>
      </c>
      <c r="M7150" t="n">
        <v>0</v>
      </c>
      <c r="N7150" t="n">
        <v>0</v>
      </c>
      <c r="O7150" t="n">
        <v>0</v>
      </c>
      <c r="P7150" t="n">
        <v>0</v>
      </c>
      <c r="Q7150" t="n">
        <v>0</v>
      </c>
      <c r="R7150" s="2" t="inlineStr"/>
    </row>
    <row r="7151" ht="15" customHeight="1">
      <c r="A7151" t="inlineStr">
        <is>
          <t>A 18519-2025</t>
        </is>
      </c>
      <c r="B7151" s="1" t="n">
        <v>45763.38950231481</v>
      </c>
      <c r="C7151" s="1" t="n">
        <v>45962</v>
      </c>
      <c r="D7151" t="inlineStr">
        <is>
          <t>JÖNKÖPINGS LÄN</t>
        </is>
      </c>
      <c r="E7151" t="inlineStr">
        <is>
          <t>VAGGERYD</t>
        </is>
      </c>
      <c r="G7151" t="n">
        <v>1</v>
      </c>
      <c r="H7151" t="n">
        <v>0</v>
      </c>
      <c r="I7151" t="n">
        <v>0</v>
      </c>
      <c r="J7151" t="n">
        <v>0</v>
      </c>
      <c r="K7151" t="n">
        <v>0</v>
      </c>
      <c r="L7151" t="n">
        <v>0</v>
      </c>
      <c r="M7151" t="n">
        <v>0</v>
      </c>
      <c r="N7151" t="n">
        <v>0</v>
      </c>
      <c r="O7151" t="n">
        <v>0</v>
      </c>
      <c r="P7151" t="n">
        <v>0</v>
      </c>
      <c r="Q7151" t="n">
        <v>0</v>
      </c>
      <c r="R7151" s="2" t="inlineStr"/>
    </row>
    <row r="7152" ht="15" customHeight="1">
      <c r="A7152" t="inlineStr">
        <is>
          <t>A 51775-2025</t>
        </is>
      </c>
      <c r="B7152" s="1" t="n">
        <v>45951.65373842593</v>
      </c>
      <c r="C7152" s="1" t="n">
        <v>45962</v>
      </c>
      <c r="D7152" t="inlineStr">
        <is>
          <t>JÖNKÖPINGS LÄN</t>
        </is>
      </c>
      <c r="E7152" t="inlineStr">
        <is>
          <t>SÄVSJÖ</t>
        </is>
      </c>
      <c r="G7152" t="n">
        <v>0.7</v>
      </c>
      <c r="H7152" t="n">
        <v>0</v>
      </c>
      <c r="I7152" t="n">
        <v>0</v>
      </c>
      <c r="J7152" t="n">
        <v>0</v>
      </c>
      <c r="K7152" t="n">
        <v>0</v>
      </c>
      <c r="L7152" t="n">
        <v>0</v>
      </c>
      <c r="M7152" t="n">
        <v>0</v>
      </c>
      <c r="N7152" t="n">
        <v>0</v>
      </c>
      <c r="O7152" t="n">
        <v>0</v>
      </c>
      <c r="P7152" t="n">
        <v>0</v>
      </c>
      <c r="Q7152" t="n">
        <v>0</v>
      </c>
      <c r="R7152" s="2" t="inlineStr"/>
    </row>
    <row r="7153" ht="15" customHeight="1">
      <c r="A7153" t="inlineStr">
        <is>
          <t>A 51404-2025</t>
        </is>
      </c>
      <c r="B7153" s="1" t="n">
        <v>45950.48333333333</v>
      </c>
      <c r="C7153" s="1" t="n">
        <v>45962</v>
      </c>
      <c r="D7153" t="inlineStr">
        <is>
          <t>JÖNKÖPINGS LÄN</t>
        </is>
      </c>
      <c r="E7153" t="inlineStr">
        <is>
          <t>GISLAVED</t>
        </is>
      </c>
      <c r="G7153" t="n">
        <v>1.2</v>
      </c>
      <c r="H7153" t="n">
        <v>0</v>
      </c>
      <c r="I7153" t="n">
        <v>0</v>
      </c>
      <c r="J7153" t="n">
        <v>0</v>
      </c>
      <c r="K7153" t="n">
        <v>0</v>
      </c>
      <c r="L7153" t="n">
        <v>0</v>
      </c>
      <c r="M7153" t="n">
        <v>0</v>
      </c>
      <c r="N7153" t="n">
        <v>0</v>
      </c>
      <c r="O7153" t="n">
        <v>0</v>
      </c>
      <c r="P7153" t="n">
        <v>0</v>
      </c>
      <c r="Q7153" t="n">
        <v>0</v>
      </c>
      <c r="R7153" s="2" t="inlineStr"/>
    </row>
    <row r="7154" ht="15" customHeight="1">
      <c r="A7154" t="inlineStr">
        <is>
          <t>A 48374-2025</t>
        </is>
      </c>
      <c r="B7154" s="1" t="n">
        <v>45933</v>
      </c>
      <c r="C7154" s="1" t="n">
        <v>45962</v>
      </c>
      <c r="D7154" t="inlineStr">
        <is>
          <t>JÖNKÖPINGS LÄN</t>
        </is>
      </c>
      <c r="E7154" t="inlineStr">
        <is>
          <t>VÄRNAMO</t>
        </is>
      </c>
      <c r="G7154" t="n">
        <v>1.5</v>
      </c>
      <c r="H7154" t="n">
        <v>0</v>
      </c>
      <c r="I7154" t="n">
        <v>0</v>
      </c>
      <c r="J7154" t="n">
        <v>0</v>
      </c>
      <c r="K7154" t="n">
        <v>0</v>
      </c>
      <c r="L7154" t="n">
        <v>0</v>
      </c>
      <c r="M7154" t="n">
        <v>0</v>
      </c>
      <c r="N7154" t="n">
        <v>0</v>
      </c>
      <c r="O7154" t="n">
        <v>0</v>
      </c>
      <c r="P7154" t="n">
        <v>0</v>
      </c>
      <c r="Q7154" t="n">
        <v>0</v>
      </c>
      <c r="R7154" s="2" t="inlineStr"/>
    </row>
    <row r="7155" ht="15" customHeight="1">
      <c r="A7155" t="inlineStr">
        <is>
          <t>A 51363-2025</t>
        </is>
      </c>
      <c r="B7155" s="1" t="n">
        <v>45947</v>
      </c>
      <c r="C7155" s="1" t="n">
        <v>45962</v>
      </c>
      <c r="D7155" t="inlineStr">
        <is>
          <t>JÖNKÖPINGS LÄN</t>
        </is>
      </c>
      <c r="E7155" t="inlineStr">
        <is>
          <t>JÖNKÖPING</t>
        </is>
      </c>
      <c r="G7155" t="n">
        <v>2.1</v>
      </c>
      <c r="H7155" t="n">
        <v>0</v>
      </c>
      <c r="I7155" t="n">
        <v>0</v>
      </c>
      <c r="J7155" t="n">
        <v>0</v>
      </c>
      <c r="K7155" t="n">
        <v>0</v>
      </c>
      <c r="L7155" t="n">
        <v>0</v>
      </c>
      <c r="M7155" t="n">
        <v>0</v>
      </c>
      <c r="N7155" t="n">
        <v>0</v>
      </c>
      <c r="O7155" t="n">
        <v>0</v>
      </c>
      <c r="P7155" t="n">
        <v>0</v>
      </c>
      <c r="Q7155" t="n">
        <v>0</v>
      </c>
      <c r="R7155" s="2" t="inlineStr"/>
    </row>
    <row r="7156" ht="15" customHeight="1">
      <c r="A7156" t="inlineStr">
        <is>
          <t>A 42744-2025</t>
        </is>
      </c>
      <c r="B7156" s="1" t="n">
        <v>45908.43222222223</v>
      </c>
      <c r="C7156" s="1" t="n">
        <v>45962</v>
      </c>
      <c r="D7156" t="inlineStr">
        <is>
          <t>JÖNKÖPINGS LÄN</t>
        </is>
      </c>
      <c r="E7156" t="inlineStr">
        <is>
          <t>VETLANDA</t>
        </is>
      </c>
      <c r="G7156" t="n">
        <v>0.7</v>
      </c>
      <c r="H7156" t="n">
        <v>0</v>
      </c>
      <c r="I7156" t="n">
        <v>0</v>
      </c>
      <c r="J7156" t="n">
        <v>0</v>
      </c>
      <c r="K7156" t="n">
        <v>0</v>
      </c>
      <c r="L7156" t="n">
        <v>0</v>
      </c>
      <c r="M7156" t="n">
        <v>0</v>
      </c>
      <c r="N7156" t="n">
        <v>0</v>
      </c>
      <c r="O7156" t="n">
        <v>0</v>
      </c>
      <c r="P7156" t="n">
        <v>0</v>
      </c>
      <c r="Q7156" t="n">
        <v>0</v>
      </c>
      <c r="R7156" s="2" t="inlineStr"/>
    </row>
    <row r="7157" ht="15" customHeight="1">
      <c r="A7157" t="inlineStr">
        <is>
          <t>A 42750-2025</t>
        </is>
      </c>
      <c r="B7157" s="1" t="n">
        <v>45908</v>
      </c>
      <c r="C7157" s="1" t="n">
        <v>45962</v>
      </c>
      <c r="D7157" t="inlineStr">
        <is>
          <t>JÖNKÖPINGS LÄN</t>
        </is>
      </c>
      <c r="E7157" t="inlineStr">
        <is>
          <t>VETLANDA</t>
        </is>
      </c>
      <c r="G7157" t="n">
        <v>2.4</v>
      </c>
      <c r="H7157" t="n">
        <v>0</v>
      </c>
      <c r="I7157" t="n">
        <v>0</v>
      </c>
      <c r="J7157" t="n">
        <v>0</v>
      </c>
      <c r="K7157" t="n">
        <v>0</v>
      </c>
      <c r="L7157" t="n">
        <v>0</v>
      </c>
      <c r="M7157" t="n">
        <v>0</v>
      </c>
      <c r="N7157" t="n">
        <v>0</v>
      </c>
      <c r="O7157" t="n">
        <v>0</v>
      </c>
      <c r="P7157" t="n">
        <v>0</v>
      </c>
      <c r="Q7157" t="n">
        <v>0</v>
      </c>
      <c r="R7157" s="2" t="inlineStr"/>
    </row>
    <row r="7158" ht="15" customHeight="1">
      <c r="A7158" t="inlineStr">
        <is>
          <t>A 42602-2025</t>
        </is>
      </c>
      <c r="B7158" s="1" t="n">
        <v>45905</v>
      </c>
      <c r="C7158" s="1" t="n">
        <v>45962</v>
      </c>
      <c r="D7158" t="inlineStr">
        <is>
          <t>JÖNKÖPINGS LÄN</t>
        </is>
      </c>
      <c r="E7158" t="inlineStr">
        <is>
          <t>GISLAVED</t>
        </is>
      </c>
      <c r="F7158" t="inlineStr">
        <is>
          <t>Kommuner</t>
        </is>
      </c>
      <c r="G7158" t="n">
        <v>0.9</v>
      </c>
      <c r="H7158" t="n">
        <v>0</v>
      </c>
      <c r="I7158" t="n">
        <v>0</v>
      </c>
      <c r="J7158" t="n">
        <v>0</v>
      </c>
      <c r="K7158" t="n">
        <v>0</v>
      </c>
      <c r="L7158" t="n">
        <v>0</v>
      </c>
      <c r="M7158" t="n">
        <v>0</v>
      </c>
      <c r="N7158" t="n">
        <v>0</v>
      </c>
      <c r="O7158" t="n">
        <v>0</v>
      </c>
      <c r="P7158" t="n">
        <v>0</v>
      </c>
      <c r="Q7158" t="n">
        <v>0</v>
      </c>
      <c r="R7158" s="2" t="inlineStr"/>
    </row>
    <row r="7159" ht="15" customHeight="1">
      <c r="A7159" t="inlineStr">
        <is>
          <t>A 30795-2025</t>
        </is>
      </c>
      <c r="B7159" s="1" t="n">
        <v>45831.64405092593</v>
      </c>
      <c r="C7159" s="1" t="n">
        <v>45962</v>
      </c>
      <c r="D7159" t="inlineStr">
        <is>
          <t>JÖNKÖPINGS LÄN</t>
        </is>
      </c>
      <c r="E7159" t="inlineStr">
        <is>
          <t>EKSJÖ</t>
        </is>
      </c>
      <c r="G7159" t="n">
        <v>3.2</v>
      </c>
      <c r="H7159" t="n">
        <v>0</v>
      </c>
      <c r="I7159" t="n">
        <v>0</v>
      </c>
      <c r="J7159" t="n">
        <v>0</v>
      </c>
      <c r="K7159" t="n">
        <v>0</v>
      </c>
      <c r="L7159" t="n">
        <v>0</v>
      </c>
      <c r="M7159" t="n">
        <v>0</v>
      </c>
      <c r="N7159" t="n">
        <v>0</v>
      </c>
      <c r="O7159" t="n">
        <v>0</v>
      </c>
      <c r="P7159" t="n">
        <v>0</v>
      </c>
      <c r="Q7159" t="n">
        <v>0</v>
      </c>
      <c r="R7159" s="2" t="inlineStr"/>
    </row>
    <row r="7160" ht="15" customHeight="1">
      <c r="A7160" t="inlineStr">
        <is>
          <t>A 42719-2025</t>
        </is>
      </c>
      <c r="B7160" s="1" t="n">
        <v>45908.39413194444</v>
      </c>
      <c r="C7160" s="1" t="n">
        <v>45962</v>
      </c>
      <c r="D7160" t="inlineStr">
        <is>
          <t>JÖNKÖPINGS LÄN</t>
        </is>
      </c>
      <c r="E7160" t="inlineStr">
        <is>
          <t>TRANÅS</t>
        </is>
      </c>
      <c r="G7160" t="n">
        <v>3.5</v>
      </c>
      <c r="H7160" t="n">
        <v>0</v>
      </c>
      <c r="I7160" t="n">
        <v>0</v>
      </c>
      <c r="J7160" t="n">
        <v>0</v>
      </c>
      <c r="K7160" t="n">
        <v>0</v>
      </c>
      <c r="L7160" t="n">
        <v>0</v>
      </c>
      <c r="M7160" t="n">
        <v>0</v>
      </c>
      <c r="N7160" t="n">
        <v>0</v>
      </c>
      <c r="O7160" t="n">
        <v>0</v>
      </c>
      <c r="P7160" t="n">
        <v>0</v>
      </c>
      <c r="Q7160" t="n">
        <v>0</v>
      </c>
      <c r="R7160" s="2" t="inlineStr"/>
    </row>
    <row r="7161" ht="15" customHeight="1">
      <c r="A7161" t="inlineStr">
        <is>
          <t>A 42666-2025</t>
        </is>
      </c>
      <c r="B7161" s="1" t="n">
        <v>45907.87704861111</v>
      </c>
      <c r="C7161" s="1" t="n">
        <v>45962</v>
      </c>
      <c r="D7161" t="inlineStr">
        <is>
          <t>JÖNKÖPINGS LÄN</t>
        </is>
      </c>
      <c r="E7161" t="inlineStr">
        <is>
          <t>NÄSSJÖ</t>
        </is>
      </c>
      <c r="G7161" t="n">
        <v>1.5</v>
      </c>
      <c r="H7161" t="n">
        <v>0</v>
      </c>
      <c r="I7161" t="n">
        <v>0</v>
      </c>
      <c r="J7161" t="n">
        <v>0</v>
      </c>
      <c r="K7161" t="n">
        <v>0</v>
      </c>
      <c r="L7161" t="n">
        <v>0</v>
      </c>
      <c r="M7161" t="n">
        <v>0</v>
      </c>
      <c r="N7161" t="n">
        <v>0</v>
      </c>
      <c r="O7161" t="n">
        <v>0</v>
      </c>
      <c r="P7161" t="n">
        <v>0</v>
      </c>
      <c r="Q7161" t="n">
        <v>0</v>
      </c>
      <c r="R7161" s="2" t="inlineStr"/>
    </row>
    <row r="7162" ht="15" customHeight="1">
      <c r="A7162" t="inlineStr">
        <is>
          <t>A 51886-2025</t>
        </is>
      </c>
      <c r="B7162" s="1" t="n">
        <v>45951</v>
      </c>
      <c r="C7162" s="1" t="n">
        <v>45962</v>
      </c>
      <c r="D7162" t="inlineStr">
        <is>
          <t>JÖNKÖPINGS LÄN</t>
        </is>
      </c>
      <c r="E7162" t="inlineStr">
        <is>
          <t>NÄSSJÖ</t>
        </is>
      </c>
      <c r="G7162" t="n">
        <v>0.6</v>
      </c>
      <c r="H7162" t="n">
        <v>0</v>
      </c>
      <c r="I7162" t="n">
        <v>0</v>
      </c>
      <c r="J7162" t="n">
        <v>0</v>
      </c>
      <c r="K7162" t="n">
        <v>0</v>
      </c>
      <c r="L7162" t="n">
        <v>0</v>
      </c>
      <c r="M7162" t="n">
        <v>0</v>
      </c>
      <c r="N7162" t="n">
        <v>0</v>
      </c>
      <c r="O7162" t="n">
        <v>0</v>
      </c>
      <c r="P7162" t="n">
        <v>0</v>
      </c>
      <c r="Q7162" t="n">
        <v>0</v>
      </c>
      <c r="R7162" s="2" t="inlineStr"/>
    </row>
    <row r="7163" ht="15" customHeight="1">
      <c r="A7163" t="inlineStr">
        <is>
          <t>A 50219-2025</t>
        </is>
      </c>
      <c r="B7163" s="1" t="n">
        <v>45943</v>
      </c>
      <c r="C7163" s="1" t="n">
        <v>45962</v>
      </c>
      <c r="D7163" t="inlineStr">
        <is>
          <t>JÖNKÖPINGS LÄN</t>
        </is>
      </c>
      <c r="E7163" t="inlineStr">
        <is>
          <t>NÄSSJÖ</t>
        </is>
      </c>
      <c r="G7163" t="n">
        <v>4.1</v>
      </c>
      <c r="H7163" t="n">
        <v>0</v>
      </c>
      <c r="I7163" t="n">
        <v>0</v>
      </c>
      <c r="J7163" t="n">
        <v>0</v>
      </c>
      <c r="K7163" t="n">
        <v>0</v>
      </c>
      <c r="L7163" t="n">
        <v>0</v>
      </c>
      <c r="M7163" t="n">
        <v>0</v>
      </c>
      <c r="N7163" t="n">
        <v>0</v>
      </c>
      <c r="O7163" t="n">
        <v>0</v>
      </c>
      <c r="P7163" t="n">
        <v>0</v>
      </c>
      <c r="Q7163" t="n">
        <v>0</v>
      </c>
      <c r="R7163" s="2" t="inlineStr"/>
    </row>
    <row r="7164" ht="15" customHeight="1">
      <c r="A7164" t="inlineStr">
        <is>
          <t>A 43275-2025</t>
        </is>
      </c>
      <c r="B7164" s="1" t="n">
        <v>45910.59189814814</v>
      </c>
      <c r="C7164" s="1" t="n">
        <v>45962</v>
      </c>
      <c r="D7164" t="inlineStr">
        <is>
          <t>JÖNKÖPINGS LÄN</t>
        </is>
      </c>
      <c r="E7164" t="inlineStr">
        <is>
          <t>GISLAVED</t>
        </is>
      </c>
      <c r="G7164" t="n">
        <v>0.7</v>
      </c>
      <c r="H7164" t="n">
        <v>0</v>
      </c>
      <c r="I7164" t="n">
        <v>0</v>
      </c>
      <c r="J7164" t="n">
        <v>0</v>
      </c>
      <c r="K7164" t="n">
        <v>0</v>
      </c>
      <c r="L7164" t="n">
        <v>0</v>
      </c>
      <c r="M7164" t="n">
        <v>0</v>
      </c>
      <c r="N7164" t="n">
        <v>0</v>
      </c>
      <c r="O7164" t="n">
        <v>0</v>
      </c>
      <c r="P7164" t="n">
        <v>0</v>
      </c>
      <c r="Q7164" t="n">
        <v>0</v>
      </c>
      <c r="R7164" s="2" t="inlineStr"/>
    </row>
    <row r="7165" ht="15" customHeight="1">
      <c r="A7165" t="inlineStr">
        <is>
          <t>A 52313-2025</t>
        </is>
      </c>
      <c r="B7165" s="1" t="n">
        <v>45953.65167824074</v>
      </c>
      <c r="C7165" s="1" t="n">
        <v>45962</v>
      </c>
      <c r="D7165" t="inlineStr">
        <is>
          <t>JÖNKÖPINGS LÄN</t>
        </is>
      </c>
      <c r="E7165" t="inlineStr">
        <is>
          <t>SÄVSJÖ</t>
        </is>
      </c>
      <c r="G7165" t="n">
        <v>0.7</v>
      </c>
      <c r="H7165" t="n">
        <v>0</v>
      </c>
      <c r="I7165" t="n">
        <v>0</v>
      </c>
      <c r="J7165" t="n">
        <v>0</v>
      </c>
      <c r="K7165" t="n">
        <v>0</v>
      </c>
      <c r="L7165" t="n">
        <v>0</v>
      </c>
      <c r="M7165" t="n">
        <v>0</v>
      </c>
      <c r="N7165" t="n">
        <v>0</v>
      </c>
      <c r="O7165" t="n">
        <v>0</v>
      </c>
      <c r="P7165" t="n">
        <v>0</v>
      </c>
      <c r="Q7165" t="n">
        <v>0</v>
      </c>
      <c r="R7165" s="2" t="inlineStr"/>
    </row>
    <row r="7166" ht="15" customHeight="1">
      <c r="A7166" t="inlineStr">
        <is>
          <t>A 52320-2025</t>
        </is>
      </c>
      <c r="B7166" s="1" t="n">
        <v>45953.66180555556</v>
      </c>
      <c r="C7166" s="1" t="n">
        <v>45962</v>
      </c>
      <c r="D7166" t="inlineStr">
        <is>
          <t>JÖNKÖPINGS LÄN</t>
        </is>
      </c>
      <c r="E7166" t="inlineStr">
        <is>
          <t>VETLANDA</t>
        </is>
      </c>
      <c r="G7166" t="n">
        <v>0.9</v>
      </c>
      <c r="H7166" t="n">
        <v>0</v>
      </c>
      <c r="I7166" t="n">
        <v>0</v>
      </c>
      <c r="J7166" t="n">
        <v>0</v>
      </c>
      <c r="K7166" t="n">
        <v>0</v>
      </c>
      <c r="L7166" t="n">
        <v>0</v>
      </c>
      <c r="M7166" t="n">
        <v>0</v>
      </c>
      <c r="N7166" t="n">
        <v>0</v>
      </c>
      <c r="O7166" t="n">
        <v>0</v>
      </c>
      <c r="P7166" t="n">
        <v>0</v>
      </c>
      <c r="Q7166" t="n">
        <v>0</v>
      </c>
      <c r="R7166" s="2" t="inlineStr"/>
    </row>
    <row r="7167" ht="15" customHeight="1">
      <c r="A7167" t="inlineStr">
        <is>
          <t>A 43264-2025</t>
        </is>
      </c>
      <c r="B7167" s="1" t="n">
        <v>45910.57027777778</v>
      </c>
      <c r="C7167" s="1" t="n">
        <v>45962</v>
      </c>
      <c r="D7167" t="inlineStr">
        <is>
          <t>JÖNKÖPINGS LÄN</t>
        </is>
      </c>
      <c r="E7167" t="inlineStr">
        <is>
          <t>GISLAVED</t>
        </is>
      </c>
      <c r="G7167" t="n">
        <v>1.3</v>
      </c>
      <c r="H7167" t="n">
        <v>0</v>
      </c>
      <c r="I7167" t="n">
        <v>0</v>
      </c>
      <c r="J7167" t="n">
        <v>0</v>
      </c>
      <c r="K7167" t="n">
        <v>0</v>
      </c>
      <c r="L7167" t="n">
        <v>0</v>
      </c>
      <c r="M7167" t="n">
        <v>0</v>
      </c>
      <c r="N7167" t="n">
        <v>0</v>
      </c>
      <c r="O7167" t="n">
        <v>0</v>
      </c>
      <c r="P7167" t="n">
        <v>0</v>
      </c>
      <c r="Q7167" t="n">
        <v>0</v>
      </c>
      <c r="R7167" s="2" t="inlineStr"/>
    </row>
    <row r="7168" ht="15" customHeight="1">
      <c r="A7168" t="inlineStr">
        <is>
          <t>A 43240-2025</t>
        </is>
      </c>
      <c r="B7168" s="1" t="n">
        <v>45910.52884259259</v>
      </c>
      <c r="C7168" s="1" t="n">
        <v>45962</v>
      </c>
      <c r="D7168" t="inlineStr">
        <is>
          <t>JÖNKÖPINGS LÄN</t>
        </is>
      </c>
      <c r="E7168" t="inlineStr">
        <is>
          <t>SÄVSJÖ</t>
        </is>
      </c>
      <c r="G7168" t="n">
        <v>4.3</v>
      </c>
      <c r="H7168" t="n">
        <v>0</v>
      </c>
      <c r="I7168" t="n">
        <v>0</v>
      </c>
      <c r="J7168" t="n">
        <v>0</v>
      </c>
      <c r="K7168" t="n">
        <v>0</v>
      </c>
      <c r="L7168" t="n">
        <v>0</v>
      </c>
      <c r="M7168" t="n">
        <v>0</v>
      </c>
      <c r="N7168" t="n">
        <v>0</v>
      </c>
      <c r="O7168" t="n">
        <v>0</v>
      </c>
      <c r="P7168" t="n">
        <v>0</v>
      </c>
      <c r="Q7168" t="n">
        <v>0</v>
      </c>
      <c r="R7168" s="2" t="inlineStr"/>
    </row>
    <row r="7169" ht="15" customHeight="1">
      <c r="A7169" t="inlineStr">
        <is>
          <t>A 32482-2025</t>
        </is>
      </c>
      <c r="B7169" s="1" t="n">
        <v>45838.43341435185</v>
      </c>
      <c r="C7169" s="1" t="n">
        <v>45962</v>
      </c>
      <c r="D7169" t="inlineStr">
        <is>
          <t>JÖNKÖPINGS LÄN</t>
        </is>
      </c>
      <c r="E7169" t="inlineStr">
        <is>
          <t>GISLAVED</t>
        </is>
      </c>
      <c r="G7169" t="n">
        <v>1.5</v>
      </c>
      <c r="H7169" t="n">
        <v>0</v>
      </c>
      <c r="I7169" t="n">
        <v>0</v>
      </c>
      <c r="J7169" t="n">
        <v>0</v>
      </c>
      <c r="K7169" t="n">
        <v>0</v>
      </c>
      <c r="L7169" t="n">
        <v>0</v>
      </c>
      <c r="M7169" t="n">
        <v>0</v>
      </c>
      <c r="N7169" t="n">
        <v>0</v>
      </c>
      <c r="O7169" t="n">
        <v>0</v>
      </c>
      <c r="P7169" t="n">
        <v>0</v>
      </c>
      <c r="Q7169" t="n">
        <v>0</v>
      </c>
      <c r="R7169" s="2" t="inlineStr"/>
    </row>
    <row r="7170" ht="15" customHeight="1">
      <c r="A7170" t="inlineStr">
        <is>
          <t>A 43407-2025</t>
        </is>
      </c>
      <c r="B7170" s="1" t="n">
        <v>45911.39255787037</v>
      </c>
      <c r="C7170" s="1" t="n">
        <v>45962</v>
      </c>
      <c r="D7170" t="inlineStr">
        <is>
          <t>JÖNKÖPINGS LÄN</t>
        </is>
      </c>
      <c r="E7170" t="inlineStr">
        <is>
          <t>EKSJÖ</t>
        </is>
      </c>
      <c r="G7170" t="n">
        <v>2.1</v>
      </c>
      <c r="H7170" t="n">
        <v>0</v>
      </c>
      <c r="I7170" t="n">
        <v>0</v>
      </c>
      <c r="J7170" t="n">
        <v>0</v>
      </c>
      <c r="K7170" t="n">
        <v>0</v>
      </c>
      <c r="L7170" t="n">
        <v>0</v>
      </c>
      <c r="M7170" t="n">
        <v>0</v>
      </c>
      <c r="N7170" t="n">
        <v>0</v>
      </c>
      <c r="O7170" t="n">
        <v>0</v>
      </c>
      <c r="P7170" t="n">
        <v>0</v>
      </c>
      <c r="Q7170" t="n">
        <v>0</v>
      </c>
      <c r="R7170" s="2" t="inlineStr"/>
    </row>
    <row r="7171" ht="15" customHeight="1">
      <c r="A7171" t="inlineStr">
        <is>
          <t>A 52174-2025</t>
        </is>
      </c>
      <c r="B7171" s="1" t="n">
        <v>45953.37413194445</v>
      </c>
      <c r="C7171" s="1" t="n">
        <v>45962</v>
      </c>
      <c r="D7171" t="inlineStr">
        <is>
          <t>JÖNKÖPINGS LÄN</t>
        </is>
      </c>
      <c r="E7171" t="inlineStr">
        <is>
          <t>TRANÅS</t>
        </is>
      </c>
      <c r="G7171" t="n">
        <v>4.2</v>
      </c>
      <c r="H7171" t="n">
        <v>0</v>
      </c>
      <c r="I7171" t="n">
        <v>0</v>
      </c>
      <c r="J7171" t="n">
        <v>0</v>
      </c>
      <c r="K7171" t="n">
        <v>0</v>
      </c>
      <c r="L7171" t="n">
        <v>0</v>
      </c>
      <c r="M7171" t="n">
        <v>0</v>
      </c>
      <c r="N7171" t="n">
        <v>0</v>
      </c>
      <c r="O7171" t="n">
        <v>0</v>
      </c>
      <c r="P7171" t="n">
        <v>0</v>
      </c>
      <c r="Q7171" t="n">
        <v>0</v>
      </c>
      <c r="R7171" s="2" t="inlineStr"/>
    </row>
    <row r="7172" ht="15" customHeight="1">
      <c r="A7172" t="inlineStr">
        <is>
          <t>A 50377-2025</t>
        </is>
      </c>
      <c r="B7172" s="1" t="n">
        <v>45944</v>
      </c>
      <c r="C7172" s="1" t="n">
        <v>45962</v>
      </c>
      <c r="D7172" t="inlineStr">
        <is>
          <t>JÖNKÖPINGS LÄN</t>
        </is>
      </c>
      <c r="E7172" t="inlineStr">
        <is>
          <t>EKSJÖ</t>
        </is>
      </c>
      <c r="G7172" t="n">
        <v>2.4</v>
      </c>
      <c r="H7172" t="n">
        <v>0</v>
      </c>
      <c r="I7172" t="n">
        <v>0</v>
      </c>
      <c r="J7172" t="n">
        <v>0</v>
      </c>
      <c r="K7172" t="n">
        <v>0</v>
      </c>
      <c r="L7172" t="n">
        <v>0</v>
      </c>
      <c r="M7172" t="n">
        <v>0</v>
      </c>
      <c r="N7172" t="n">
        <v>0</v>
      </c>
      <c r="O7172" t="n">
        <v>0</v>
      </c>
      <c r="P7172" t="n">
        <v>0</v>
      </c>
      <c r="Q7172" t="n">
        <v>0</v>
      </c>
      <c r="R7172" s="2" t="inlineStr"/>
    </row>
    <row r="7173" ht="15" customHeight="1">
      <c r="A7173" t="inlineStr">
        <is>
          <t>A 51863-2025</t>
        </is>
      </c>
      <c r="B7173" s="1" t="n">
        <v>45951</v>
      </c>
      <c r="C7173" s="1" t="n">
        <v>45962</v>
      </c>
      <c r="D7173" t="inlineStr">
        <is>
          <t>JÖNKÖPINGS LÄN</t>
        </is>
      </c>
      <c r="E7173" t="inlineStr">
        <is>
          <t>NÄSSJÖ</t>
        </is>
      </c>
      <c r="G7173" t="n">
        <v>0.5</v>
      </c>
      <c r="H7173" t="n">
        <v>0</v>
      </c>
      <c r="I7173" t="n">
        <v>0</v>
      </c>
      <c r="J7173" t="n">
        <v>0</v>
      </c>
      <c r="K7173" t="n">
        <v>0</v>
      </c>
      <c r="L7173" t="n">
        <v>0</v>
      </c>
      <c r="M7173" t="n">
        <v>0</v>
      </c>
      <c r="N7173" t="n">
        <v>0</v>
      </c>
      <c r="O7173" t="n">
        <v>0</v>
      </c>
      <c r="P7173" t="n">
        <v>0</v>
      </c>
      <c r="Q7173" t="n">
        <v>0</v>
      </c>
      <c r="R7173" s="2" t="inlineStr"/>
    </row>
    <row r="7174" ht="15" customHeight="1">
      <c r="A7174" t="inlineStr">
        <is>
          <t>A 24981-2025</t>
        </is>
      </c>
      <c r="B7174" s="1" t="n">
        <v>45799.59719907407</v>
      </c>
      <c r="C7174" s="1" t="n">
        <v>45962</v>
      </c>
      <c r="D7174" t="inlineStr">
        <is>
          <t>JÖNKÖPINGS LÄN</t>
        </is>
      </c>
      <c r="E7174" t="inlineStr">
        <is>
          <t>HABO</t>
        </is>
      </c>
      <c r="G7174" t="n">
        <v>1.6</v>
      </c>
      <c r="H7174" t="n">
        <v>0</v>
      </c>
      <c r="I7174" t="n">
        <v>0</v>
      </c>
      <c r="J7174" t="n">
        <v>0</v>
      </c>
      <c r="K7174" t="n">
        <v>0</v>
      </c>
      <c r="L7174" t="n">
        <v>0</v>
      </c>
      <c r="M7174" t="n">
        <v>0</v>
      </c>
      <c r="N7174" t="n">
        <v>0</v>
      </c>
      <c r="O7174" t="n">
        <v>0</v>
      </c>
      <c r="P7174" t="n">
        <v>0</v>
      </c>
      <c r="Q7174" t="n">
        <v>0</v>
      </c>
      <c r="R7174" s="2" t="inlineStr"/>
    </row>
    <row r="7175" ht="15" customHeight="1">
      <c r="A7175" t="inlineStr">
        <is>
          <t>A 43261-2025</t>
        </is>
      </c>
      <c r="B7175" s="1" t="n">
        <v>45910.56497685185</v>
      </c>
      <c r="C7175" s="1" t="n">
        <v>45962</v>
      </c>
      <c r="D7175" t="inlineStr">
        <is>
          <t>JÖNKÖPINGS LÄN</t>
        </is>
      </c>
      <c r="E7175" t="inlineStr">
        <is>
          <t>VAGGERYD</t>
        </is>
      </c>
      <c r="G7175" t="n">
        <v>6.5</v>
      </c>
      <c r="H7175" t="n">
        <v>0</v>
      </c>
      <c r="I7175" t="n">
        <v>0</v>
      </c>
      <c r="J7175" t="n">
        <v>0</v>
      </c>
      <c r="K7175" t="n">
        <v>0</v>
      </c>
      <c r="L7175" t="n">
        <v>0</v>
      </c>
      <c r="M7175" t="n">
        <v>0</v>
      </c>
      <c r="N7175" t="n">
        <v>0</v>
      </c>
      <c r="O7175" t="n">
        <v>0</v>
      </c>
      <c r="P7175" t="n">
        <v>0</v>
      </c>
      <c r="Q7175" t="n">
        <v>0</v>
      </c>
      <c r="R7175" s="2" t="inlineStr"/>
    </row>
    <row r="7176" ht="15" customHeight="1">
      <c r="A7176" t="inlineStr">
        <is>
          <t>A 43414-2025</t>
        </is>
      </c>
      <c r="B7176" s="1" t="n">
        <v>45911.40510416667</v>
      </c>
      <c r="C7176" s="1" t="n">
        <v>45962</v>
      </c>
      <c r="D7176" t="inlineStr">
        <is>
          <t>JÖNKÖPINGS LÄN</t>
        </is>
      </c>
      <c r="E7176" t="inlineStr">
        <is>
          <t>EKSJÖ</t>
        </is>
      </c>
      <c r="G7176" t="n">
        <v>2.3</v>
      </c>
      <c r="H7176" t="n">
        <v>0</v>
      </c>
      <c r="I7176" t="n">
        <v>0</v>
      </c>
      <c r="J7176" t="n">
        <v>0</v>
      </c>
      <c r="K7176" t="n">
        <v>0</v>
      </c>
      <c r="L7176" t="n">
        <v>0</v>
      </c>
      <c r="M7176" t="n">
        <v>0</v>
      </c>
      <c r="N7176" t="n">
        <v>0</v>
      </c>
      <c r="O7176" t="n">
        <v>0</v>
      </c>
      <c r="P7176" t="n">
        <v>0</v>
      </c>
      <c r="Q7176" t="n">
        <v>0</v>
      </c>
      <c r="R7176" s="2" t="inlineStr"/>
    </row>
    <row r="7177" ht="15" customHeight="1">
      <c r="A7177" t="inlineStr">
        <is>
          <t>A 52219-2025</t>
        </is>
      </c>
      <c r="B7177" s="1" t="n">
        <v>45953.43871527778</v>
      </c>
      <c r="C7177" s="1" t="n">
        <v>45962</v>
      </c>
      <c r="D7177" t="inlineStr">
        <is>
          <t>JÖNKÖPINGS LÄN</t>
        </is>
      </c>
      <c r="E7177" t="inlineStr">
        <is>
          <t>TRANÅS</t>
        </is>
      </c>
      <c r="G7177" t="n">
        <v>1.7</v>
      </c>
      <c r="H7177" t="n">
        <v>0</v>
      </c>
      <c r="I7177" t="n">
        <v>0</v>
      </c>
      <c r="J7177" t="n">
        <v>0</v>
      </c>
      <c r="K7177" t="n">
        <v>0</v>
      </c>
      <c r="L7177" t="n">
        <v>0</v>
      </c>
      <c r="M7177" t="n">
        <v>0</v>
      </c>
      <c r="N7177" t="n">
        <v>0</v>
      </c>
      <c r="O7177" t="n">
        <v>0</v>
      </c>
      <c r="P7177" t="n">
        <v>0</v>
      </c>
      <c r="Q7177" t="n">
        <v>0</v>
      </c>
      <c r="R7177" s="2" t="inlineStr"/>
    </row>
    <row r="7178" ht="15" customHeight="1">
      <c r="A7178" t="inlineStr">
        <is>
          <t>A 5641-2025</t>
        </is>
      </c>
      <c r="B7178" s="1" t="n">
        <v>45693.67859953704</v>
      </c>
      <c r="C7178" s="1" t="n">
        <v>45962</v>
      </c>
      <c r="D7178" t="inlineStr">
        <is>
          <t>JÖNKÖPINGS LÄN</t>
        </is>
      </c>
      <c r="E7178" t="inlineStr">
        <is>
          <t>JÖNKÖPING</t>
        </is>
      </c>
      <c r="G7178" t="n">
        <v>1.4</v>
      </c>
      <c r="H7178" t="n">
        <v>0</v>
      </c>
      <c r="I7178" t="n">
        <v>0</v>
      </c>
      <c r="J7178" t="n">
        <v>0</v>
      </c>
      <c r="K7178" t="n">
        <v>0</v>
      </c>
      <c r="L7178" t="n">
        <v>0</v>
      </c>
      <c r="M7178" t="n">
        <v>0</v>
      </c>
      <c r="N7178" t="n">
        <v>0</v>
      </c>
      <c r="O7178" t="n">
        <v>0</v>
      </c>
      <c r="P7178" t="n">
        <v>0</v>
      </c>
      <c r="Q7178" t="n">
        <v>0</v>
      </c>
      <c r="R7178" s="2" t="inlineStr"/>
    </row>
    <row r="7179" ht="15" customHeight="1">
      <c r="A7179" t="inlineStr">
        <is>
          <t>A 13937-2025</t>
        </is>
      </c>
      <c r="B7179" s="1" t="n">
        <v>45737.68915509259</v>
      </c>
      <c r="C7179" s="1" t="n">
        <v>45962</v>
      </c>
      <c r="D7179" t="inlineStr">
        <is>
          <t>JÖNKÖPINGS LÄN</t>
        </is>
      </c>
      <c r="E7179" t="inlineStr">
        <is>
          <t>NÄSSJÖ</t>
        </is>
      </c>
      <c r="G7179" t="n">
        <v>2</v>
      </c>
      <c r="H7179" t="n">
        <v>0</v>
      </c>
      <c r="I7179" t="n">
        <v>0</v>
      </c>
      <c r="J7179" t="n">
        <v>0</v>
      </c>
      <c r="K7179" t="n">
        <v>0</v>
      </c>
      <c r="L7179" t="n">
        <v>0</v>
      </c>
      <c r="M7179" t="n">
        <v>0</v>
      </c>
      <c r="N7179" t="n">
        <v>0</v>
      </c>
      <c r="O7179" t="n">
        <v>0</v>
      </c>
      <c r="P7179" t="n">
        <v>0</v>
      </c>
      <c r="Q7179" t="n">
        <v>0</v>
      </c>
      <c r="R7179" s="2" t="inlineStr"/>
    </row>
    <row r="7180" ht="15" customHeight="1">
      <c r="A7180" t="inlineStr">
        <is>
          <t>A 13938-2025</t>
        </is>
      </c>
      <c r="B7180" s="1" t="n">
        <v>45737.68998842593</v>
      </c>
      <c r="C7180" s="1" t="n">
        <v>45962</v>
      </c>
      <c r="D7180" t="inlineStr">
        <is>
          <t>JÖNKÖPINGS LÄN</t>
        </is>
      </c>
      <c r="E7180" t="inlineStr">
        <is>
          <t>NÄSSJÖ</t>
        </is>
      </c>
      <c r="G7180" t="n">
        <v>2</v>
      </c>
      <c r="H7180" t="n">
        <v>0</v>
      </c>
      <c r="I7180" t="n">
        <v>0</v>
      </c>
      <c r="J7180" t="n">
        <v>0</v>
      </c>
      <c r="K7180" t="n">
        <v>0</v>
      </c>
      <c r="L7180" t="n">
        <v>0</v>
      </c>
      <c r="M7180" t="n">
        <v>0</v>
      </c>
      <c r="N7180" t="n">
        <v>0</v>
      </c>
      <c r="O7180" t="n">
        <v>0</v>
      </c>
      <c r="P7180" t="n">
        <v>0</v>
      </c>
      <c r="Q7180" t="n">
        <v>0</v>
      </c>
      <c r="R7180" s="2" t="inlineStr"/>
    </row>
    <row r="7181" ht="15" customHeight="1">
      <c r="A7181" t="inlineStr">
        <is>
          <t>A 52301-2025</t>
        </is>
      </c>
      <c r="B7181" s="1" t="n">
        <v>45953.61858796296</v>
      </c>
      <c r="C7181" s="1" t="n">
        <v>45962</v>
      </c>
      <c r="D7181" t="inlineStr">
        <is>
          <t>JÖNKÖPINGS LÄN</t>
        </is>
      </c>
      <c r="E7181" t="inlineStr">
        <is>
          <t>VETLANDA</t>
        </is>
      </c>
      <c r="G7181" t="n">
        <v>4.8</v>
      </c>
      <c r="H7181" t="n">
        <v>0</v>
      </c>
      <c r="I7181" t="n">
        <v>0</v>
      </c>
      <c r="J7181" t="n">
        <v>0</v>
      </c>
      <c r="K7181" t="n">
        <v>0</v>
      </c>
      <c r="L7181" t="n">
        <v>0</v>
      </c>
      <c r="M7181" t="n">
        <v>0</v>
      </c>
      <c r="N7181" t="n">
        <v>0</v>
      </c>
      <c r="O7181" t="n">
        <v>0</v>
      </c>
      <c r="P7181" t="n">
        <v>0</v>
      </c>
      <c r="Q7181" t="n">
        <v>0</v>
      </c>
      <c r="R7181" s="2" t="inlineStr"/>
    </row>
    <row r="7182" ht="15" customHeight="1">
      <c r="A7182" t="inlineStr">
        <is>
          <t>A 52311-2025</t>
        </is>
      </c>
      <c r="B7182" s="1" t="n">
        <v>45953.6449537037</v>
      </c>
      <c r="C7182" s="1" t="n">
        <v>45962</v>
      </c>
      <c r="D7182" t="inlineStr">
        <is>
          <t>JÖNKÖPINGS LÄN</t>
        </is>
      </c>
      <c r="E7182" t="inlineStr">
        <is>
          <t>NÄSSJÖ</t>
        </is>
      </c>
      <c r="G7182" t="n">
        <v>1.3</v>
      </c>
      <c r="H7182" t="n">
        <v>0</v>
      </c>
      <c r="I7182" t="n">
        <v>0</v>
      </c>
      <c r="J7182" t="n">
        <v>0</v>
      </c>
      <c r="K7182" t="n">
        <v>0</v>
      </c>
      <c r="L7182" t="n">
        <v>0</v>
      </c>
      <c r="M7182" t="n">
        <v>0</v>
      </c>
      <c r="N7182" t="n">
        <v>0</v>
      </c>
      <c r="O7182" t="n">
        <v>0</v>
      </c>
      <c r="P7182" t="n">
        <v>0</v>
      </c>
      <c r="Q7182" t="n">
        <v>0</v>
      </c>
      <c r="R7182" s="2" t="inlineStr"/>
    </row>
    <row r="7183" ht="15" customHeight="1">
      <c r="A7183" t="inlineStr">
        <is>
          <t>A 52314-2025</t>
        </is>
      </c>
      <c r="B7183" s="1" t="n">
        <v>45953.65291666667</v>
      </c>
      <c r="C7183" s="1" t="n">
        <v>45962</v>
      </c>
      <c r="D7183" t="inlineStr">
        <is>
          <t>JÖNKÖPINGS LÄN</t>
        </is>
      </c>
      <c r="E7183" t="inlineStr">
        <is>
          <t>SÄVSJÖ</t>
        </is>
      </c>
      <c r="G7183" t="n">
        <v>1.3</v>
      </c>
      <c r="H7183" t="n">
        <v>0</v>
      </c>
      <c r="I7183" t="n">
        <v>0</v>
      </c>
      <c r="J7183" t="n">
        <v>0</v>
      </c>
      <c r="K7183" t="n">
        <v>0</v>
      </c>
      <c r="L7183" t="n">
        <v>0</v>
      </c>
      <c r="M7183" t="n">
        <v>0</v>
      </c>
      <c r="N7183" t="n">
        <v>0</v>
      </c>
      <c r="O7183" t="n">
        <v>0</v>
      </c>
      <c r="P7183" t="n">
        <v>0</v>
      </c>
      <c r="Q7183" t="n">
        <v>0</v>
      </c>
      <c r="R7183" s="2" t="inlineStr"/>
    </row>
    <row r="7184" ht="15" customHeight="1">
      <c r="A7184" t="inlineStr">
        <is>
          <t>A 52327-2025</t>
        </is>
      </c>
      <c r="B7184" s="1" t="n">
        <v>45953.67155092592</v>
      </c>
      <c r="C7184" s="1" t="n">
        <v>45962</v>
      </c>
      <c r="D7184" t="inlineStr">
        <is>
          <t>JÖNKÖPINGS LÄN</t>
        </is>
      </c>
      <c r="E7184" t="inlineStr">
        <is>
          <t>VETLANDA</t>
        </is>
      </c>
      <c r="G7184" t="n">
        <v>0.6</v>
      </c>
      <c r="H7184" t="n">
        <v>0</v>
      </c>
      <c r="I7184" t="n">
        <v>0</v>
      </c>
      <c r="J7184" t="n">
        <v>0</v>
      </c>
      <c r="K7184" t="n">
        <v>0</v>
      </c>
      <c r="L7184" t="n">
        <v>0</v>
      </c>
      <c r="M7184" t="n">
        <v>0</v>
      </c>
      <c r="N7184" t="n">
        <v>0</v>
      </c>
      <c r="O7184" t="n">
        <v>0</v>
      </c>
      <c r="P7184" t="n">
        <v>0</v>
      </c>
      <c r="Q7184" t="n">
        <v>0</v>
      </c>
      <c r="R7184" s="2" t="inlineStr"/>
    </row>
    <row r="7185" ht="15" customHeight="1">
      <c r="A7185" t="inlineStr">
        <is>
          <t>A 43558-2025</t>
        </is>
      </c>
      <c r="B7185" s="1" t="n">
        <v>45911.62592592592</v>
      </c>
      <c r="C7185" s="1" t="n">
        <v>45962</v>
      </c>
      <c r="D7185" t="inlineStr">
        <is>
          <t>JÖNKÖPINGS LÄN</t>
        </is>
      </c>
      <c r="E7185" t="inlineStr">
        <is>
          <t>VETLANDA</t>
        </is>
      </c>
      <c r="G7185" t="n">
        <v>2.1</v>
      </c>
      <c r="H7185" t="n">
        <v>0</v>
      </c>
      <c r="I7185" t="n">
        <v>0</v>
      </c>
      <c r="J7185" t="n">
        <v>0</v>
      </c>
      <c r="K7185" t="n">
        <v>0</v>
      </c>
      <c r="L7185" t="n">
        <v>0</v>
      </c>
      <c r="M7185" t="n">
        <v>0</v>
      </c>
      <c r="N7185" t="n">
        <v>0</v>
      </c>
      <c r="O7185" t="n">
        <v>0</v>
      </c>
      <c r="P7185" t="n">
        <v>0</v>
      </c>
      <c r="Q7185" t="n">
        <v>0</v>
      </c>
      <c r="R7185" s="2" t="inlineStr"/>
    </row>
    <row r="7186" ht="15" customHeight="1">
      <c r="A7186" t="inlineStr">
        <is>
          <t>A 52084-2025</t>
        </is>
      </c>
      <c r="B7186" s="1" t="n">
        <v>45952.66886574074</v>
      </c>
      <c r="C7186" s="1" t="n">
        <v>45962</v>
      </c>
      <c r="D7186" t="inlineStr">
        <is>
          <t>JÖNKÖPINGS LÄN</t>
        </is>
      </c>
      <c r="E7186" t="inlineStr">
        <is>
          <t>VAGGERYD</t>
        </is>
      </c>
      <c r="G7186" t="n">
        <v>2.6</v>
      </c>
      <c r="H7186" t="n">
        <v>0</v>
      </c>
      <c r="I7186" t="n">
        <v>0</v>
      </c>
      <c r="J7186" t="n">
        <v>0</v>
      </c>
      <c r="K7186" t="n">
        <v>0</v>
      </c>
      <c r="L7186" t="n">
        <v>0</v>
      </c>
      <c r="M7186" t="n">
        <v>0</v>
      </c>
      <c r="N7186" t="n">
        <v>0</v>
      </c>
      <c r="O7186" t="n">
        <v>0</v>
      </c>
      <c r="P7186" t="n">
        <v>0</v>
      </c>
      <c r="Q7186" t="n">
        <v>0</v>
      </c>
      <c r="R7186" s="2" t="inlineStr"/>
    </row>
    <row r="7187" ht="15" customHeight="1">
      <c r="A7187" t="inlineStr">
        <is>
          <t>A 54303-2021</t>
        </is>
      </c>
      <c r="B7187" s="1" t="n">
        <v>44472.45174768518</v>
      </c>
      <c r="C7187" s="1" t="n">
        <v>45962</v>
      </c>
      <c r="D7187" t="inlineStr">
        <is>
          <t>JÖNKÖPINGS LÄN</t>
        </is>
      </c>
      <c r="E7187" t="inlineStr">
        <is>
          <t>NÄSSJÖ</t>
        </is>
      </c>
      <c r="G7187" t="n">
        <v>0.4</v>
      </c>
      <c r="H7187" t="n">
        <v>0</v>
      </c>
      <c r="I7187" t="n">
        <v>0</v>
      </c>
      <c r="J7187" t="n">
        <v>0</v>
      </c>
      <c r="K7187" t="n">
        <v>0</v>
      </c>
      <c r="L7187" t="n">
        <v>0</v>
      </c>
      <c r="M7187" t="n">
        <v>0</v>
      </c>
      <c r="N7187" t="n">
        <v>0</v>
      </c>
      <c r="O7187" t="n">
        <v>0</v>
      </c>
      <c r="P7187" t="n">
        <v>0</v>
      </c>
      <c r="Q7187" t="n">
        <v>0</v>
      </c>
      <c r="R7187" s="2" t="inlineStr"/>
    </row>
    <row r="7188" ht="15" customHeight="1">
      <c r="A7188" t="inlineStr">
        <is>
          <t>A 43587-2025</t>
        </is>
      </c>
      <c r="B7188" s="1" t="n">
        <v>45911.65273148148</v>
      </c>
      <c r="C7188" s="1" t="n">
        <v>45962</v>
      </c>
      <c r="D7188" t="inlineStr">
        <is>
          <t>JÖNKÖPINGS LÄN</t>
        </is>
      </c>
      <c r="E7188" t="inlineStr">
        <is>
          <t>EKSJÖ</t>
        </is>
      </c>
      <c r="G7188" t="n">
        <v>0.9</v>
      </c>
      <c r="H7188" t="n">
        <v>0</v>
      </c>
      <c r="I7188" t="n">
        <v>0</v>
      </c>
      <c r="J7188" t="n">
        <v>0</v>
      </c>
      <c r="K7188" t="n">
        <v>0</v>
      </c>
      <c r="L7188" t="n">
        <v>0</v>
      </c>
      <c r="M7188" t="n">
        <v>0</v>
      </c>
      <c r="N7188" t="n">
        <v>0</v>
      </c>
      <c r="O7188" t="n">
        <v>0</v>
      </c>
      <c r="P7188" t="n">
        <v>0</v>
      </c>
      <c r="Q7188" t="n">
        <v>0</v>
      </c>
      <c r="R7188" s="2" t="inlineStr"/>
    </row>
    <row r="7189" ht="15" customHeight="1">
      <c r="A7189" t="inlineStr">
        <is>
          <t>A 53727-2024</t>
        </is>
      </c>
      <c r="B7189" s="1" t="n">
        <v>45615.45342592592</v>
      </c>
      <c r="C7189" s="1" t="n">
        <v>45962</v>
      </c>
      <c r="D7189" t="inlineStr">
        <is>
          <t>JÖNKÖPINGS LÄN</t>
        </is>
      </c>
      <c r="E7189" t="inlineStr">
        <is>
          <t>VETLANDA</t>
        </is>
      </c>
      <c r="G7189" t="n">
        <v>2.9</v>
      </c>
      <c r="H7189" t="n">
        <v>0</v>
      </c>
      <c r="I7189" t="n">
        <v>0</v>
      </c>
      <c r="J7189" t="n">
        <v>0</v>
      </c>
      <c r="K7189" t="n">
        <v>0</v>
      </c>
      <c r="L7189" t="n">
        <v>0</v>
      </c>
      <c r="M7189" t="n">
        <v>0</v>
      </c>
      <c r="N7189" t="n">
        <v>0</v>
      </c>
      <c r="O7189" t="n">
        <v>0</v>
      </c>
      <c r="P7189" t="n">
        <v>0</v>
      </c>
      <c r="Q7189" t="n">
        <v>0</v>
      </c>
      <c r="R7189" s="2" t="inlineStr"/>
    </row>
    <row r="7190" ht="15" customHeight="1">
      <c r="A7190" t="inlineStr">
        <is>
          <t>A 43141-2025</t>
        </is>
      </c>
      <c r="B7190" s="1" t="n">
        <v>45910.23809027778</v>
      </c>
      <c r="C7190" s="1" t="n">
        <v>45962</v>
      </c>
      <c r="D7190" t="inlineStr">
        <is>
          <t>JÖNKÖPINGS LÄN</t>
        </is>
      </c>
      <c r="E7190" t="inlineStr">
        <is>
          <t>GISLAVED</t>
        </is>
      </c>
      <c r="G7190" t="n">
        <v>2.2</v>
      </c>
      <c r="H7190" t="n">
        <v>0</v>
      </c>
      <c r="I7190" t="n">
        <v>0</v>
      </c>
      <c r="J7190" t="n">
        <v>0</v>
      </c>
      <c r="K7190" t="n">
        <v>0</v>
      </c>
      <c r="L7190" t="n">
        <v>0</v>
      </c>
      <c r="M7190" t="n">
        <v>0</v>
      </c>
      <c r="N7190" t="n">
        <v>0</v>
      </c>
      <c r="O7190" t="n">
        <v>0</v>
      </c>
      <c r="P7190" t="n">
        <v>0</v>
      </c>
      <c r="Q7190" t="n">
        <v>0</v>
      </c>
      <c r="R7190" s="2" t="inlineStr"/>
    </row>
    <row r="7191" ht="15" customHeight="1">
      <c r="A7191" t="inlineStr">
        <is>
          <t>A 52321-2025</t>
        </is>
      </c>
      <c r="B7191" s="1" t="n">
        <v>45953.66415509259</v>
      </c>
      <c r="C7191" s="1" t="n">
        <v>45962</v>
      </c>
      <c r="D7191" t="inlineStr">
        <is>
          <t>JÖNKÖPINGS LÄN</t>
        </is>
      </c>
      <c r="E7191" t="inlineStr">
        <is>
          <t>MULLSJÖ</t>
        </is>
      </c>
      <c r="G7191" t="n">
        <v>2.6</v>
      </c>
      <c r="H7191" t="n">
        <v>0</v>
      </c>
      <c r="I7191" t="n">
        <v>0</v>
      </c>
      <c r="J7191" t="n">
        <v>0</v>
      </c>
      <c r="K7191" t="n">
        <v>0</v>
      </c>
      <c r="L7191" t="n">
        <v>0</v>
      </c>
      <c r="M7191" t="n">
        <v>0</v>
      </c>
      <c r="N7191" t="n">
        <v>0</v>
      </c>
      <c r="O7191" t="n">
        <v>0</v>
      </c>
      <c r="P7191" t="n">
        <v>0</v>
      </c>
      <c r="Q7191" t="n">
        <v>0</v>
      </c>
      <c r="R7191" s="2" t="inlineStr"/>
    </row>
    <row r="7192" ht="15" customHeight="1">
      <c r="A7192" t="inlineStr">
        <is>
          <t>A 43568-2025</t>
        </is>
      </c>
      <c r="B7192" s="1" t="n">
        <v>45911.63292824074</v>
      </c>
      <c r="C7192" s="1" t="n">
        <v>45962</v>
      </c>
      <c r="D7192" t="inlineStr">
        <is>
          <t>JÖNKÖPINGS LÄN</t>
        </is>
      </c>
      <c r="E7192" t="inlineStr">
        <is>
          <t>EKSJÖ</t>
        </is>
      </c>
      <c r="G7192" t="n">
        <v>1</v>
      </c>
      <c r="H7192" t="n">
        <v>0</v>
      </c>
      <c r="I7192" t="n">
        <v>0</v>
      </c>
      <c r="J7192" t="n">
        <v>0</v>
      </c>
      <c r="K7192" t="n">
        <v>0</v>
      </c>
      <c r="L7192" t="n">
        <v>0</v>
      </c>
      <c r="M7192" t="n">
        <v>0</v>
      </c>
      <c r="N7192" t="n">
        <v>0</v>
      </c>
      <c r="O7192" t="n">
        <v>0</v>
      </c>
      <c r="P7192" t="n">
        <v>0</v>
      </c>
      <c r="Q7192" t="n">
        <v>0</v>
      </c>
      <c r="R7192" s="2" t="inlineStr"/>
    </row>
    <row r="7193" ht="15" customHeight="1">
      <c r="A7193" t="inlineStr">
        <is>
          <t>A 43586-2025</t>
        </is>
      </c>
      <c r="B7193" s="1" t="n">
        <v>45911.65128472223</v>
      </c>
      <c r="C7193" s="1" t="n">
        <v>45962</v>
      </c>
      <c r="D7193" t="inlineStr">
        <is>
          <t>JÖNKÖPINGS LÄN</t>
        </is>
      </c>
      <c r="E7193" t="inlineStr">
        <is>
          <t>EKSJÖ</t>
        </is>
      </c>
      <c r="G7193" t="n">
        <v>1.7</v>
      </c>
      <c r="H7193" t="n">
        <v>0</v>
      </c>
      <c r="I7193" t="n">
        <v>0</v>
      </c>
      <c r="J7193" t="n">
        <v>0</v>
      </c>
      <c r="K7193" t="n">
        <v>0</v>
      </c>
      <c r="L7193" t="n">
        <v>0</v>
      </c>
      <c r="M7193" t="n">
        <v>0</v>
      </c>
      <c r="N7193" t="n">
        <v>0</v>
      </c>
      <c r="O7193" t="n">
        <v>0</v>
      </c>
      <c r="P7193" t="n">
        <v>0</v>
      </c>
      <c r="Q7193" t="n">
        <v>0</v>
      </c>
      <c r="R7193" s="2" t="inlineStr"/>
    </row>
    <row r="7194" ht="15" customHeight="1">
      <c r="A7194" t="inlineStr">
        <is>
          <t>A 51844-2025</t>
        </is>
      </c>
      <c r="B7194" s="1" t="n">
        <v>45952.34659722223</v>
      </c>
      <c r="C7194" s="1" t="n">
        <v>45962</v>
      </c>
      <c r="D7194" t="inlineStr">
        <is>
          <t>JÖNKÖPINGS LÄN</t>
        </is>
      </c>
      <c r="E7194" t="inlineStr">
        <is>
          <t>JÖNKÖPING</t>
        </is>
      </c>
      <c r="G7194" t="n">
        <v>0.8</v>
      </c>
      <c r="H7194" t="n">
        <v>0</v>
      </c>
      <c r="I7194" t="n">
        <v>0</v>
      </c>
      <c r="J7194" t="n">
        <v>0</v>
      </c>
      <c r="K7194" t="n">
        <v>0</v>
      </c>
      <c r="L7194" t="n">
        <v>0</v>
      </c>
      <c r="M7194" t="n">
        <v>0</v>
      </c>
      <c r="N7194" t="n">
        <v>0</v>
      </c>
      <c r="O7194" t="n">
        <v>0</v>
      </c>
      <c r="P7194" t="n">
        <v>0</v>
      </c>
      <c r="Q7194" t="n">
        <v>0</v>
      </c>
      <c r="R7194" s="2" t="inlineStr"/>
    </row>
    <row r="7195" ht="15" customHeight="1">
      <c r="A7195" t="inlineStr">
        <is>
          <t>A 20739-2025</t>
        </is>
      </c>
      <c r="B7195" s="1" t="n">
        <v>45776.54270833333</v>
      </c>
      <c r="C7195" s="1" t="n">
        <v>45962</v>
      </c>
      <c r="D7195" t="inlineStr">
        <is>
          <t>JÖNKÖPINGS LÄN</t>
        </is>
      </c>
      <c r="E7195" t="inlineStr">
        <is>
          <t>NÄSSJÖ</t>
        </is>
      </c>
      <c r="G7195" t="n">
        <v>1.5</v>
      </c>
      <c r="H7195" t="n">
        <v>0</v>
      </c>
      <c r="I7195" t="n">
        <v>0</v>
      </c>
      <c r="J7195" t="n">
        <v>0</v>
      </c>
      <c r="K7195" t="n">
        <v>0</v>
      </c>
      <c r="L7195" t="n">
        <v>0</v>
      </c>
      <c r="M7195" t="n">
        <v>0</v>
      </c>
      <c r="N7195" t="n">
        <v>0</v>
      </c>
      <c r="O7195" t="n">
        <v>0</v>
      </c>
      <c r="P7195" t="n">
        <v>0</v>
      </c>
      <c r="Q7195" t="n">
        <v>0</v>
      </c>
      <c r="R7195" s="2" t="inlineStr"/>
    </row>
    <row r="7196" ht="15" customHeight="1">
      <c r="A7196" t="inlineStr">
        <is>
          <t>A 52188-2025</t>
        </is>
      </c>
      <c r="B7196" s="1" t="n">
        <v>45953.38699074074</v>
      </c>
      <c r="C7196" s="1" t="n">
        <v>45962</v>
      </c>
      <c r="D7196" t="inlineStr">
        <is>
          <t>JÖNKÖPINGS LÄN</t>
        </is>
      </c>
      <c r="E7196" t="inlineStr">
        <is>
          <t>TRANÅS</t>
        </is>
      </c>
      <c r="G7196" t="n">
        <v>2.2</v>
      </c>
      <c r="H7196" t="n">
        <v>0</v>
      </c>
      <c r="I7196" t="n">
        <v>0</v>
      </c>
      <c r="J7196" t="n">
        <v>0</v>
      </c>
      <c r="K7196" t="n">
        <v>0</v>
      </c>
      <c r="L7196" t="n">
        <v>0</v>
      </c>
      <c r="M7196" t="n">
        <v>0</v>
      </c>
      <c r="N7196" t="n">
        <v>0</v>
      </c>
      <c r="O7196" t="n">
        <v>0</v>
      </c>
      <c r="P7196" t="n">
        <v>0</v>
      </c>
      <c r="Q7196" t="n">
        <v>0</v>
      </c>
      <c r="R7196" s="2" t="inlineStr"/>
    </row>
    <row r="7197" ht="15" customHeight="1">
      <c r="A7197" t="inlineStr">
        <is>
          <t>A 43554-2025</t>
        </is>
      </c>
      <c r="B7197" s="1" t="n">
        <v>45911.62172453704</v>
      </c>
      <c r="C7197" s="1" t="n">
        <v>45962</v>
      </c>
      <c r="D7197" t="inlineStr">
        <is>
          <t>JÖNKÖPINGS LÄN</t>
        </is>
      </c>
      <c r="E7197" t="inlineStr">
        <is>
          <t>VETLANDA</t>
        </is>
      </c>
      <c r="G7197" t="n">
        <v>1.1</v>
      </c>
      <c r="H7197" t="n">
        <v>0</v>
      </c>
      <c r="I7197" t="n">
        <v>0</v>
      </c>
      <c r="J7197" t="n">
        <v>0</v>
      </c>
      <c r="K7197" t="n">
        <v>0</v>
      </c>
      <c r="L7197" t="n">
        <v>0</v>
      </c>
      <c r="M7197" t="n">
        <v>0</v>
      </c>
      <c r="N7197" t="n">
        <v>0</v>
      </c>
      <c r="O7197" t="n">
        <v>0</v>
      </c>
      <c r="P7197" t="n">
        <v>0</v>
      </c>
      <c r="Q7197" t="n">
        <v>0</v>
      </c>
      <c r="R7197" s="2" t="inlineStr"/>
    </row>
    <row r="7198" ht="15" customHeight="1">
      <c r="A7198" t="inlineStr">
        <is>
          <t>A 27204-2025</t>
        </is>
      </c>
      <c r="B7198" s="1" t="n">
        <v>45812.39982638889</v>
      </c>
      <c r="C7198" s="1" t="n">
        <v>45962</v>
      </c>
      <c r="D7198" t="inlineStr">
        <is>
          <t>JÖNKÖPINGS LÄN</t>
        </is>
      </c>
      <c r="E7198" t="inlineStr">
        <is>
          <t>ANEBY</t>
        </is>
      </c>
      <c r="G7198" t="n">
        <v>2.4</v>
      </c>
      <c r="H7198" t="n">
        <v>0</v>
      </c>
      <c r="I7198" t="n">
        <v>0</v>
      </c>
      <c r="J7198" t="n">
        <v>0</v>
      </c>
      <c r="K7198" t="n">
        <v>0</v>
      </c>
      <c r="L7198" t="n">
        <v>0</v>
      </c>
      <c r="M7198" t="n">
        <v>0</v>
      </c>
      <c r="N7198" t="n">
        <v>0</v>
      </c>
      <c r="O7198" t="n">
        <v>0</v>
      </c>
      <c r="P7198" t="n">
        <v>0</v>
      </c>
      <c r="Q7198" t="n">
        <v>0</v>
      </c>
      <c r="R7198" s="2" t="inlineStr"/>
    </row>
    <row r="7199" ht="15" customHeight="1">
      <c r="A7199" t="inlineStr">
        <is>
          <t>A 30537-2025</t>
        </is>
      </c>
      <c r="B7199" s="1" t="n">
        <v>45831.36836805556</v>
      </c>
      <c r="C7199" s="1" t="n">
        <v>45962</v>
      </c>
      <c r="D7199" t="inlineStr">
        <is>
          <t>JÖNKÖPINGS LÄN</t>
        </is>
      </c>
      <c r="E7199" t="inlineStr">
        <is>
          <t>NÄSSJÖ</t>
        </is>
      </c>
      <c r="G7199" t="n">
        <v>2.7</v>
      </c>
      <c r="H7199" t="n">
        <v>0</v>
      </c>
      <c r="I7199" t="n">
        <v>0</v>
      </c>
      <c r="J7199" t="n">
        <v>0</v>
      </c>
      <c r="K7199" t="n">
        <v>0</v>
      </c>
      <c r="L7199" t="n">
        <v>0</v>
      </c>
      <c r="M7199" t="n">
        <v>0</v>
      </c>
      <c r="N7199" t="n">
        <v>0</v>
      </c>
      <c r="O7199" t="n">
        <v>0</v>
      </c>
      <c r="P7199" t="n">
        <v>0</v>
      </c>
      <c r="Q7199" t="n">
        <v>0</v>
      </c>
      <c r="R7199" s="2" t="inlineStr"/>
    </row>
    <row r="7200" ht="15" customHeight="1">
      <c r="A7200" t="inlineStr">
        <is>
          <t>A 43430-2025</t>
        </is>
      </c>
      <c r="B7200" s="1" t="n">
        <v>45911.42458333333</v>
      </c>
      <c r="C7200" s="1" t="n">
        <v>45962</v>
      </c>
      <c r="D7200" t="inlineStr">
        <is>
          <t>JÖNKÖPINGS LÄN</t>
        </is>
      </c>
      <c r="E7200" t="inlineStr">
        <is>
          <t>GISLAVED</t>
        </is>
      </c>
      <c r="G7200" t="n">
        <v>1.4</v>
      </c>
      <c r="H7200" t="n">
        <v>0</v>
      </c>
      <c r="I7200" t="n">
        <v>0</v>
      </c>
      <c r="J7200" t="n">
        <v>0</v>
      </c>
      <c r="K7200" t="n">
        <v>0</v>
      </c>
      <c r="L7200" t="n">
        <v>0</v>
      </c>
      <c r="M7200" t="n">
        <v>0</v>
      </c>
      <c r="N7200" t="n">
        <v>0</v>
      </c>
      <c r="O7200" t="n">
        <v>0</v>
      </c>
      <c r="P7200" t="n">
        <v>0</v>
      </c>
      <c r="Q7200" t="n">
        <v>0</v>
      </c>
      <c r="R7200" s="2" t="inlineStr"/>
    </row>
    <row r="7201" ht="15" customHeight="1">
      <c r="A7201" t="inlineStr">
        <is>
          <t>A 25954-2024</t>
        </is>
      </c>
      <c r="B7201" s="1" t="n">
        <v>45467.65891203703</v>
      </c>
      <c r="C7201" s="1" t="n">
        <v>45962</v>
      </c>
      <c r="D7201" t="inlineStr">
        <is>
          <t>JÖNKÖPINGS LÄN</t>
        </is>
      </c>
      <c r="E7201" t="inlineStr">
        <is>
          <t>HABO</t>
        </is>
      </c>
      <c r="G7201" t="n">
        <v>1.8</v>
      </c>
      <c r="H7201" t="n">
        <v>0</v>
      </c>
      <c r="I7201" t="n">
        <v>0</v>
      </c>
      <c r="J7201" t="n">
        <v>0</v>
      </c>
      <c r="K7201" t="n">
        <v>0</v>
      </c>
      <c r="L7201" t="n">
        <v>0</v>
      </c>
      <c r="M7201" t="n">
        <v>0</v>
      </c>
      <c r="N7201" t="n">
        <v>0</v>
      </c>
      <c r="O7201" t="n">
        <v>0</v>
      </c>
      <c r="P7201" t="n">
        <v>0</v>
      </c>
      <c r="Q7201" t="n">
        <v>0</v>
      </c>
      <c r="R7201" s="2" t="inlineStr"/>
    </row>
    <row r="7202" ht="15" customHeight="1">
      <c r="A7202" t="inlineStr">
        <is>
          <t>A 43405-2025</t>
        </is>
      </c>
      <c r="B7202" s="1" t="n">
        <v>45911.39112268519</v>
      </c>
      <c r="C7202" s="1" t="n">
        <v>45962</v>
      </c>
      <c r="D7202" t="inlineStr">
        <is>
          <t>JÖNKÖPINGS LÄN</t>
        </is>
      </c>
      <c r="E7202" t="inlineStr">
        <is>
          <t>NÄSSJÖ</t>
        </is>
      </c>
      <c r="G7202" t="n">
        <v>2</v>
      </c>
      <c r="H7202" t="n">
        <v>0</v>
      </c>
      <c r="I7202" t="n">
        <v>0</v>
      </c>
      <c r="J7202" t="n">
        <v>0</v>
      </c>
      <c r="K7202" t="n">
        <v>0</v>
      </c>
      <c r="L7202" t="n">
        <v>0</v>
      </c>
      <c r="M7202" t="n">
        <v>0</v>
      </c>
      <c r="N7202" t="n">
        <v>0</v>
      </c>
      <c r="O7202" t="n">
        <v>0</v>
      </c>
      <c r="P7202" t="n">
        <v>0</v>
      </c>
      <c r="Q7202" t="n">
        <v>0</v>
      </c>
      <c r="R7202" s="2" t="inlineStr"/>
    </row>
    <row r="7203" ht="15" customHeight="1">
      <c r="A7203" t="inlineStr">
        <is>
          <t>A 43561-2025</t>
        </is>
      </c>
      <c r="B7203" s="1" t="n">
        <v>45911.62809027778</v>
      </c>
      <c r="C7203" s="1" t="n">
        <v>45962</v>
      </c>
      <c r="D7203" t="inlineStr">
        <is>
          <t>JÖNKÖPINGS LÄN</t>
        </is>
      </c>
      <c r="E7203" t="inlineStr">
        <is>
          <t>EKSJÖ</t>
        </is>
      </c>
      <c r="G7203" t="n">
        <v>0.6</v>
      </c>
      <c r="H7203" t="n">
        <v>0</v>
      </c>
      <c r="I7203" t="n">
        <v>0</v>
      </c>
      <c r="J7203" t="n">
        <v>0</v>
      </c>
      <c r="K7203" t="n">
        <v>0</v>
      </c>
      <c r="L7203" t="n">
        <v>0</v>
      </c>
      <c r="M7203" t="n">
        <v>0</v>
      </c>
      <c r="N7203" t="n">
        <v>0</v>
      </c>
      <c r="O7203" t="n">
        <v>0</v>
      </c>
      <c r="P7203" t="n">
        <v>0</v>
      </c>
      <c r="Q7203" t="n">
        <v>0</v>
      </c>
      <c r="R7203" s="2" t="inlineStr"/>
    </row>
    <row r="7204" ht="15" customHeight="1">
      <c r="A7204" t="inlineStr">
        <is>
          <t>A 43584-2025</t>
        </is>
      </c>
      <c r="B7204" s="1" t="n">
        <v>45911.65013888889</v>
      </c>
      <c r="C7204" s="1" t="n">
        <v>45962</v>
      </c>
      <c r="D7204" t="inlineStr">
        <is>
          <t>JÖNKÖPINGS LÄN</t>
        </is>
      </c>
      <c r="E7204" t="inlineStr">
        <is>
          <t>EKSJÖ</t>
        </is>
      </c>
      <c r="G7204" t="n">
        <v>1.8</v>
      </c>
      <c r="H7204" t="n">
        <v>0</v>
      </c>
      <c r="I7204" t="n">
        <v>0</v>
      </c>
      <c r="J7204" t="n">
        <v>0</v>
      </c>
      <c r="K7204" t="n">
        <v>0</v>
      </c>
      <c r="L7204" t="n">
        <v>0</v>
      </c>
      <c r="M7204" t="n">
        <v>0</v>
      </c>
      <c r="N7204" t="n">
        <v>0</v>
      </c>
      <c r="O7204" t="n">
        <v>0</v>
      </c>
      <c r="P7204" t="n">
        <v>0</v>
      </c>
      <c r="Q7204" t="n">
        <v>0</v>
      </c>
      <c r="R7204" s="2" t="inlineStr"/>
    </row>
    <row r="7205" ht="15" customHeight="1">
      <c r="A7205" t="inlineStr">
        <is>
          <t>A 43637-2025</t>
        </is>
      </c>
      <c r="B7205" s="1" t="n">
        <v>45911.73181712963</v>
      </c>
      <c r="C7205" s="1" t="n">
        <v>45962</v>
      </c>
      <c r="D7205" t="inlineStr">
        <is>
          <t>JÖNKÖPINGS LÄN</t>
        </is>
      </c>
      <c r="E7205" t="inlineStr">
        <is>
          <t>GNOSJÖ</t>
        </is>
      </c>
      <c r="G7205" t="n">
        <v>4.6</v>
      </c>
      <c r="H7205" t="n">
        <v>0</v>
      </c>
      <c r="I7205" t="n">
        <v>0</v>
      </c>
      <c r="J7205" t="n">
        <v>0</v>
      </c>
      <c r="K7205" t="n">
        <v>0</v>
      </c>
      <c r="L7205" t="n">
        <v>0</v>
      </c>
      <c r="M7205" t="n">
        <v>0</v>
      </c>
      <c r="N7205" t="n">
        <v>0</v>
      </c>
      <c r="O7205" t="n">
        <v>0</v>
      </c>
      <c r="P7205" t="n">
        <v>0</v>
      </c>
      <c r="Q7205" t="n">
        <v>0</v>
      </c>
      <c r="R7205" s="2" t="inlineStr"/>
    </row>
    <row r="7206" ht="15" customHeight="1">
      <c r="A7206" t="inlineStr">
        <is>
          <t>A 43308-2025</t>
        </is>
      </c>
      <c r="B7206" s="1" t="n">
        <v>45910.64387731482</v>
      </c>
      <c r="C7206" s="1" t="n">
        <v>45962</v>
      </c>
      <c r="D7206" t="inlineStr">
        <is>
          <t>JÖNKÖPINGS LÄN</t>
        </is>
      </c>
      <c r="E7206" t="inlineStr">
        <is>
          <t>EKSJÖ</t>
        </is>
      </c>
      <c r="G7206" t="n">
        <v>0.6</v>
      </c>
      <c r="H7206" t="n">
        <v>0</v>
      </c>
      <c r="I7206" t="n">
        <v>0</v>
      </c>
      <c r="J7206" t="n">
        <v>0</v>
      </c>
      <c r="K7206" t="n">
        <v>0</v>
      </c>
      <c r="L7206" t="n">
        <v>0</v>
      </c>
      <c r="M7206" t="n">
        <v>0</v>
      </c>
      <c r="N7206" t="n">
        <v>0</v>
      </c>
      <c r="O7206" t="n">
        <v>0</v>
      </c>
      <c r="P7206" t="n">
        <v>0</v>
      </c>
      <c r="Q7206" t="n">
        <v>0</v>
      </c>
      <c r="R7206" s="2" t="inlineStr"/>
    </row>
    <row r="7207" ht="15" customHeight="1">
      <c r="A7207" t="inlineStr">
        <is>
          <t>A 50516-2025</t>
        </is>
      </c>
      <c r="B7207" s="1" t="n">
        <v>45945</v>
      </c>
      <c r="C7207" s="1" t="n">
        <v>45962</v>
      </c>
      <c r="D7207" t="inlineStr">
        <is>
          <t>JÖNKÖPINGS LÄN</t>
        </is>
      </c>
      <c r="E7207" t="inlineStr">
        <is>
          <t>EKSJÖ</t>
        </is>
      </c>
      <c r="G7207" t="n">
        <v>4.1</v>
      </c>
      <c r="H7207" t="n">
        <v>0</v>
      </c>
      <c r="I7207" t="n">
        <v>0</v>
      </c>
      <c r="J7207" t="n">
        <v>0</v>
      </c>
      <c r="K7207" t="n">
        <v>0</v>
      </c>
      <c r="L7207" t="n">
        <v>0</v>
      </c>
      <c r="M7207" t="n">
        <v>0</v>
      </c>
      <c r="N7207" t="n">
        <v>0</v>
      </c>
      <c r="O7207" t="n">
        <v>0</v>
      </c>
      <c r="P7207" t="n">
        <v>0</v>
      </c>
      <c r="Q7207" t="n">
        <v>0</v>
      </c>
      <c r="R7207" s="2" t="inlineStr"/>
    </row>
    <row r="7208" ht="15" customHeight="1">
      <c r="A7208" t="inlineStr">
        <is>
          <t>A 50519-2025</t>
        </is>
      </c>
      <c r="B7208" s="1" t="n">
        <v>45945</v>
      </c>
      <c r="C7208" s="1" t="n">
        <v>45962</v>
      </c>
      <c r="D7208" t="inlineStr">
        <is>
          <t>JÖNKÖPINGS LÄN</t>
        </is>
      </c>
      <c r="E7208" t="inlineStr">
        <is>
          <t>EKSJÖ</t>
        </is>
      </c>
      <c r="G7208" t="n">
        <v>0.8</v>
      </c>
      <c r="H7208" t="n">
        <v>0</v>
      </c>
      <c r="I7208" t="n">
        <v>0</v>
      </c>
      <c r="J7208" t="n">
        <v>0</v>
      </c>
      <c r="K7208" t="n">
        <v>0</v>
      </c>
      <c r="L7208" t="n">
        <v>0</v>
      </c>
      <c r="M7208" t="n">
        <v>0</v>
      </c>
      <c r="N7208" t="n">
        <v>0</v>
      </c>
      <c r="O7208" t="n">
        <v>0</v>
      </c>
      <c r="P7208" t="n">
        <v>0</v>
      </c>
      <c r="Q7208" t="n">
        <v>0</v>
      </c>
      <c r="R7208" s="2" t="inlineStr"/>
    </row>
    <row r="7209" ht="15" customHeight="1">
      <c r="A7209" t="inlineStr">
        <is>
          <t>A 7780-2025</t>
        </is>
      </c>
      <c r="B7209" s="1" t="n">
        <v>45706</v>
      </c>
      <c r="C7209" s="1" t="n">
        <v>45962</v>
      </c>
      <c r="D7209" t="inlineStr">
        <is>
          <t>JÖNKÖPINGS LÄN</t>
        </is>
      </c>
      <c r="E7209" t="inlineStr">
        <is>
          <t>SÄVSJÖ</t>
        </is>
      </c>
      <c r="G7209" t="n">
        <v>1.8</v>
      </c>
      <c r="H7209" t="n">
        <v>0</v>
      </c>
      <c r="I7209" t="n">
        <v>0</v>
      </c>
      <c r="J7209" t="n">
        <v>0</v>
      </c>
      <c r="K7209" t="n">
        <v>0</v>
      </c>
      <c r="L7209" t="n">
        <v>0</v>
      </c>
      <c r="M7209" t="n">
        <v>0</v>
      </c>
      <c r="N7209" t="n">
        <v>0</v>
      </c>
      <c r="O7209" t="n">
        <v>0</v>
      </c>
      <c r="P7209" t="n">
        <v>0</v>
      </c>
      <c r="Q7209" t="n">
        <v>0</v>
      </c>
      <c r="R7209" s="2" t="inlineStr"/>
    </row>
    <row r="7210" ht="15" customHeight="1">
      <c r="A7210" t="inlineStr">
        <is>
          <t>A 7791-2025</t>
        </is>
      </c>
      <c r="B7210" s="1" t="n">
        <v>45706</v>
      </c>
      <c r="C7210" s="1" t="n">
        <v>45962</v>
      </c>
      <c r="D7210" t="inlineStr">
        <is>
          <t>JÖNKÖPINGS LÄN</t>
        </is>
      </c>
      <c r="E7210" t="inlineStr">
        <is>
          <t>SÄVSJÖ</t>
        </is>
      </c>
      <c r="G7210" t="n">
        <v>5.4</v>
      </c>
      <c r="H7210" t="n">
        <v>0</v>
      </c>
      <c r="I7210" t="n">
        <v>0</v>
      </c>
      <c r="J7210" t="n">
        <v>0</v>
      </c>
      <c r="K7210" t="n">
        <v>0</v>
      </c>
      <c r="L7210" t="n">
        <v>0</v>
      </c>
      <c r="M7210" t="n">
        <v>0</v>
      </c>
      <c r="N7210" t="n">
        <v>0</v>
      </c>
      <c r="O7210" t="n">
        <v>0</v>
      </c>
      <c r="P7210" t="n">
        <v>0</v>
      </c>
      <c r="Q7210" t="n">
        <v>0</v>
      </c>
      <c r="R7210" s="2" t="inlineStr"/>
    </row>
    <row r="7211" ht="15" customHeight="1">
      <c r="A7211" t="inlineStr">
        <is>
          <t>A 43303-2025</t>
        </is>
      </c>
      <c r="B7211" s="1" t="n">
        <v>45910.63605324074</v>
      </c>
      <c r="C7211" s="1" t="n">
        <v>45962</v>
      </c>
      <c r="D7211" t="inlineStr">
        <is>
          <t>JÖNKÖPINGS LÄN</t>
        </is>
      </c>
      <c r="E7211" t="inlineStr">
        <is>
          <t>SÄVSJÖ</t>
        </is>
      </c>
      <c r="G7211" t="n">
        <v>0.5</v>
      </c>
      <c r="H7211" t="n">
        <v>0</v>
      </c>
      <c r="I7211" t="n">
        <v>0</v>
      </c>
      <c r="J7211" t="n">
        <v>0</v>
      </c>
      <c r="K7211" t="n">
        <v>0</v>
      </c>
      <c r="L7211" t="n">
        <v>0</v>
      </c>
      <c r="M7211" t="n">
        <v>0</v>
      </c>
      <c r="N7211" t="n">
        <v>0</v>
      </c>
      <c r="O7211" t="n">
        <v>0</v>
      </c>
      <c r="P7211" t="n">
        <v>0</v>
      </c>
      <c r="Q7211" t="n">
        <v>0</v>
      </c>
      <c r="R7211" s="2" t="inlineStr"/>
    </row>
    <row r="7212" ht="15" customHeight="1">
      <c r="A7212" t="inlineStr">
        <is>
          <t>A 38167-2025</t>
        </is>
      </c>
      <c r="B7212" s="1" t="n">
        <v>45882.63118055555</v>
      </c>
      <c r="C7212" s="1" t="n">
        <v>45962</v>
      </c>
      <c r="D7212" t="inlineStr">
        <is>
          <t>JÖNKÖPINGS LÄN</t>
        </is>
      </c>
      <c r="E7212" t="inlineStr">
        <is>
          <t>GISLAVED</t>
        </is>
      </c>
      <c r="G7212" t="n">
        <v>1.6</v>
      </c>
      <c r="H7212" t="n">
        <v>0</v>
      </c>
      <c r="I7212" t="n">
        <v>0</v>
      </c>
      <c r="J7212" t="n">
        <v>0</v>
      </c>
      <c r="K7212" t="n">
        <v>0</v>
      </c>
      <c r="L7212" t="n">
        <v>0</v>
      </c>
      <c r="M7212" t="n">
        <v>0</v>
      </c>
      <c r="N7212" t="n">
        <v>0</v>
      </c>
      <c r="O7212" t="n">
        <v>0</v>
      </c>
      <c r="P7212" t="n">
        <v>0</v>
      </c>
      <c r="Q7212" t="n">
        <v>0</v>
      </c>
      <c r="R7212" s="2" t="inlineStr"/>
    </row>
    <row r="7213" ht="15" customHeight="1">
      <c r="A7213" t="inlineStr">
        <is>
          <t>A 43351-2025</t>
        </is>
      </c>
      <c r="B7213" s="1" t="n">
        <v>45911.29017361111</v>
      </c>
      <c r="C7213" s="1" t="n">
        <v>45962</v>
      </c>
      <c r="D7213" t="inlineStr">
        <is>
          <t>JÖNKÖPINGS LÄN</t>
        </is>
      </c>
      <c r="E7213" t="inlineStr">
        <is>
          <t>VETLANDA</t>
        </is>
      </c>
      <c r="G7213" t="n">
        <v>1.4</v>
      </c>
      <c r="H7213" t="n">
        <v>0</v>
      </c>
      <c r="I7213" t="n">
        <v>0</v>
      </c>
      <c r="J7213" t="n">
        <v>0</v>
      </c>
      <c r="K7213" t="n">
        <v>0</v>
      </c>
      <c r="L7213" t="n">
        <v>0</v>
      </c>
      <c r="M7213" t="n">
        <v>0</v>
      </c>
      <c r="N7213" t="n">
        <v>0</v>
      </c>
      <c r="O7213" t="n">
        <v>0</v>
      </c>
      <c r="P7213" t="n">
        <v>0</v>
      </c>
      <c r="Q7213" t="n">
        <v>0</v>
      </c>
      <c r="R7213" s="2" t="inlineStr"/>
    </row>
    <row r="7214" ht="15" customHeight="1">
      <c r="A7214" t="inlineStr">
        <is>
          <t>A 43352-2025</t>
        </is>
      </c>
      <c r="B7214" s="1" t="n">
        <v>45911.29265046296</v>
      </c>
      <c r="C7214" s="1" t="n">
        <v>45962</v>
      </c>
      <c r="D7214" t="inlineStr">
        <is>
          <t>JÖNKÖPINGS LÄN</t>
        </is>
      </c>
      <c r="E7214" t="inlineStr">
        <is>
          <t>VETLANDA</t>
        </is>
      </c>
      <c r="G7214" t="n">
        <v>1.2</v>
      </c>
      <c r="H7214" t="n">
        <v>0</v>
      </c>
      <c r="I7214" t="n">
        <v>0</v>
      </c>
      <c r="J7214" t="n">
        <v>0</v>
      </c>
      <c r="K7214" t="n">
        <v>0</v>
      </c>
      <c r="L7214" t="n">
        <v>0</v>
      </c>
      <c r="M7214" t="n">
        <v>0</v>
      </c>
      <c r="N7214" t="n">
        <v>0</v>
      </c>
      <c r="O7214" t="n">
        <v>0</v>
      </c>
      <c r="P7214" t="n">
        <v>0</v>
      </c>
      <c r="Q7214" t="n">
        <v>0</v>
      </c>
      <c r="R7214" s="2" t="inlineStr"/>
    </row>
    <row r="7215" ht="15" customHeight="1">
      <c r="A7215" t="inlineStr">
        <is>
          <t>A 43527-2025</t>
        </is>
      </c>
      <c r="B7215" s="1" t="n">
        <v>45911.59070601852</v>
      </c>
      <c r="C7215" s="1" t="n">
        <v>45962</v>
      </c>
      <c r="D7215" t="inlineStr">
        <is>
          <t>JÖNKÖPINGS LÄN</t>
        </is>
      </c>
      <c r="E7215" t="inlineStr">
        <is>
          <t>ANEBY</t>
        </is>
      </c>
      <c r="G7215" t="n">
        <v>1.7</v>
      </c>
      <c r="H7215" t="n">
        <v>0</v>
      </c>
      <c r="I7215" t="n">
        <v>0</v>
      </c>
      <c r="J7215" t="n">
        <v>0</v>
      </c>
      <c r="K7215" t="n">
        <v>0</v>
      </c>
      <c r="L7215" t="n">
        <v>0</v>
      </c>
      <c r="M7215" t="n">
        <v>0</v>
      </c>
      <c r="N7215" t="n">
        <v>0</v>
      </c>
      <c r="O7215" t="n">
        <v>0</v>
      </c>
      <c r="P7215" t="n">
        <v>0</v>
      </c>
      <c r="Q7215" t="n">
        <v>0</v>
      </c>
      <c r="R7215" s="2" t="inlineStr"/>
    </row>
    <row r="7216" ht="15" customHeight="1">
      <c r="A7216" t="inlineStr">
        <is>
          <t>A 52361-2025</t>
        </is>
      </c>
      <c r="B7216" s="1" t="n">
        <v>45953.82518518518</v>
      </c>
      <c r="C7216" s="1" t="n">
        <v>45962</v>
      </c>
      <c r="D7216" t="inlineStr">
        <is>
          <t>JÖNKÖPINGS LÄN</t>
        </is>
      </c>
      <c r="E7216" t="inlineStr">
        <is>
          <t>SÄVSJÖ</t>
        </is>
      </c>
      <c r="G7216" t="n">
        <v>1.2</v>
      </c>
      <c r="H7216" t="n">
        <v>0</v>
      </c>
      <c r="I7216" t="n">
        <v>0</v>
      </c>
      <c r="J7216" t="n">
        <v>0</v>
      </c>
      <c r="K7216" t="n">
        <v>0</v>
      </c>
      <c r="L7216" t="n">
        <v>0</v>
      </c>
      <c r="M7216" t="n">
        <v>0</v>
      </c>
      <c r="N7216" t="n">
        <v>0</v>
      </c>
      <c r="O7216" t="n">
        <v>0</v>
      </c>
      <c r="P7216" t="n">
        <v>0</v>
      </c>
      <c r="Q7216" t="n">
        <v>0</v>
      </c>
      <c r="R7216" s="2" t="inlineStr"/>
    </row>
    <row r="7217" ht="15" customHeight="1">
      <c r="A7217" t="inlineStr">
        <is>
          <t>A 43401-2025</t>
        </is>
      </c>
      <c r="B7217" s="1" t="n">
        <v>45911.384375</v>
      </c>
      <c r="C7217" s="1" t="n">
        <v>45962</v>
      </c>
      <c r="D7217" t="inlineStr">
        <is>
          <t>JÖNKÖPINGS LÄN</t>
        </is>
      </c>
      <c r="E7217" t="inlineStr">
        <is>
          <t>EKSJÖ</t>
        </is>
      </c>
      <c r="G7217" t="n">
        <v>1.8</v>
      </c>
      <c r="H7217" t="n">
        <v>0</v>
      </c>
      <c r="I7217" t="n">
        <v>0</v>
      </c>
      <c r="J7217" t="n">
        <v>0</v>
      </c>
      <c r="K7217" t="n">
        <v>0</v>
      </c>
      <c r="L7217" t="n">
        <v>0</v>
      </c>
      <c r="M7217" t="n">
        <v>0</v>
      </c>
      <c r="N7217" t="n">
        <v>0</v>
      </c>
      <c r="O7217" t="n">
        <v>0</v>
      </c>
      <c r="P7217" t="n">
        <v>0</v>
      </c>
      <c r="Q7217" t="n">
        <v>0</v>
      </c>
      <c r="R7217" s="2" t="inlineStr"/>
    </row>
    <row r="7218" ht="15" customHeight="1">
      <c r="A7218" t="inlineStr">
        <is>
          <t>A 22860-2025</t>
        </is>
      </c>
      <c r="B7218" s="1" t="n">
        <v>45790.35498842593</v>
      </c>
      <c r="C7218" s="1" t="n">
        <v>45962</v>
      </c>
      <c r="D7218" t="inlineStr">
        <is>
          <t>JÖNKÖPINGS LÄN</t>
        </is>
      </c>
      <c r="E7218" t="inlineStr">
        <is>
          <t>GISLAVED</t>
        </is>
      </c>
      <c r="G7218" t="n">
        <v>2.7</v>
      </c>
      <c r="H7218" t="n">
        <v>0</v>
      </c>
      <c r="I7218" t="n">
        <v>0</v>
      </c>
      <c r="J7218" t="n">
        <v>0</v>
      </c>
      <c r="K7218" t="n">
        <v>0</v>
      </c>
      <c r="L7218" t="n">
        <v>0</v>
      </c>
      <c r="M7218" t="n">
        <v>0</v>
      </c>
      <c r="N7218" t="n">
        <v>0</v>
      </c>
      <c r="O7218" t="n">
        <v>0</v>
      </c>
      <c r="P7218" t="n">
        <v>0</v>
      </c>
      <c r="Q7218" t="n">
        <v>0</v>
      </c>
      <c r="R7218" s="2" t="inlineStr"/>
    </row>
    <row r="7219" ht="15" customHeight="1">
      <c r="A7219" t="inlineStr">
        <is>
          <t>A 43399-2025</t>
        </is>
      </c>
      <c r="B7219" s="1" t="n">
        <v>45911.38103009259</v>
      </c>
      <c r="C7219" s="1" t="n">
        <v>45962</v>
      </c>
      <c r="D7219" t="inlineStr">
        <is>
          <t>JÖNKÖPINGS LÄN</t>
        </is>
      </c>
      <c r="E7219" t="inlineStr">
        <is>
          <t>VAGGERYD</t>
        </is>
      </c>
      <c r="G7219" t="n">
        <v>1</v>
      </c>
      <c r="H7219" t="n">
        <v>0</v>
      </c>
      <c r="I7219" t="n">
        <v>0</v>
      </c>
      <c r="J7219" t="n">
        <v>0</v>
      </c>
      <c r="K7219" t="n">
        <v>0</v>
      </c>
      <c r="L7219" t="n">
        <v>0</v>
      </c>
      <c r="M7219" t="n">
        <v>0</v>
      </c>
      <c r="N7219" t="n">
        <v>0</v>
      </c>
      <c r="O7219" t="n">
        <v>0</v>
      </c>
      <c r="P7219" t="n">
        <v>0</v>
      </c>
      <c r="Q7219" t="n">
        <v>0</v>
      </c>
      <c r="R7219" s="2" t="inlineStr"/>
    </row>
    <row r="7220" ht="15" customHeight="1">
      <c r="A7220" t="inlineStr">
        <is>
          <t>A 46589-2025</t>
        </is>
      </c>
      <c r="B7220" s="1" t="n">
        <v>45926</v>
      </c>
      <c r="C7220" s="1" t="n">
        <v>45962</v>
      </c>
      <c r="D7220" t="inlineStr">
        <is>
          <t>JÖNKÖPINGS LÄN</t>
        </is>
      </c>
      <c r="E7220" t="inlineStr">
        <is>
          <t>HABO</t>
        </is>
      </c>
      <c r="G7220" t="n">
        <v>2.8</v>
      </c>
      <c r="H7220" t="n">
        <v>0</v>
      </c>
      <c r="I7220" t="n">
        <v>0</v>
      </c>
      <c r="J7220" t="n">
        <v>0</v>
      </c>
      <c r="K7220" t="n">
        <v>0</v>
      </c>
      <c r="L7220" t="n">
        <v>0</v>
      </c>
      <c r="M7220" t="n">
        <v>0</v>
      </c>
      <c r="N7220" t="n">
        <v>0</v>
      </c>
      <c r="O7220" t="n">
        <v>0</v>
      </c>
      <c r="P7220" t="n">
        <v>0</v>
      </c>
      <c r="Q7220" t="n">
        <v>0</v>
      </c>
      <c r="R7220" s="2" t="inlineStr"/>
    </row>
    <row r="7221" ht="15" customHeight="1">
      <c r="A7221" t="inlineStr">
        <is>
          <t>A 47684-2025</t>
        </is>
      </c>
      <c r="B7221" s="1" t="n">
        <v>45930</v>
      </c>
      <c r="C7221" s="1" t="n">
        <v>45962</v>
      </c>
      <c r="D7221" t="inlineStr">
        <is>
          <t>JÖNKÖPINGS LÄN</t>
        </is>
      </c>
      <c r="E7221" t="inlineStr">
        <is>
          <t>VETLANDA</t>
        </is>
      </c>
      <c r="F7221" t="inlineStr">
        <is>
          <t>Kyrkan</t>
        </is>
      </c>
      <c r="G7221" t="n">
        <v>5</v>
      </c>
      <c r="H7221" t="n">
        <v>0</v>
      </c>
      <c r="I7221" t="n">
        <v>0</v>
      </c>
      <c r="J7221" t="n">
        <v>0</v>
      </c>
      <c r="K7221" t="n">
        <v>0</v>
      </c>
      <c r="L7221" t="n">
        <v>0</v>
      </c>
      <c r="M7221" t="n">
        <v>0</v>
      </c>
      <c r="N7221" t="n">
        <v>0</v>
      </c>
      <c r="O7221" t="n">
        <v>0</v>
      </c>
      <c r="P7221" t="n">
        <v>0</v>
      </c>
      <c r="Q7221" t="n">
        <v>0</v>
      </c>
      <c r="R7221" s="2" t="inlineStr"/>
      <c r="U7221">
        <f>HYPERLINK("https://klasma.github.io/Logging_0685/knärot/A 47684-2025 karta knärot.png", "A 47684-2025")</f>
        <v/>
      </c>
      <c r="V7221">
        <f>HYPERLINK("https://klasma.github.io/Logging_0685/klagomål/A 47684-2025 FSC-klagomål.docx", "A 47684-2025")</f>
        <v/>
      </c>
      <c r="W7221">
        <f>HYPERLINK("https://klasma.github.io/Logging_0685/klagomålsmail/A 47684-2025 FSC-klagomål mail.docx", "A 47684-2025")</f>
        <v/>
      </c>
      <c r="X7221">
        <f>HYPERLINK("https://klasma.github.io/Logging_0685/tillsyn/A 47684-2025 tillsynsbegäran.docx", "A 47684-2025")</f>
        <v/>
      </c>
      <c r="Y7221">
        <f>HYPERLINK("https://klasma.github.io/Logging_0685/tillsynsmail/A 47684-2025 tillsynsbegäran mail.docx", "A 47684-2025")</f>
        <v/>
      </c>
    </row>
    <row r="7222" ht="15" customHeight="1">
      <c r="A7222" t="inlineStr">
        <is>
          <t>A 52360-2025</t>
        </is>
      </c>
      <c r="B7222" s="1" t="n">
        <v>45953.8241087963</v>
      </c>
      <c r="C7222" s="1" t="n">
        <v>45962</v>
      </c>
      <c r="D7222" t="inlineStr">
        <is>
          <t>JÖNKÖPINGS LÄN</t>
        </is>
      </c>
      <c r="E7222" t="inlineStr">
        <is>
          <t>SÄVSJÖ</t>
        </is>
      </c>
      <c r="G7222" t="n">
        <v>4.9</v>
      </c>
      <c r="H7222" t="n">
        <v>0</v>
      </c>
      <c r="I7222" t="n">
        <v>0</v>
      </c>
      <c r="J7222" t="n">
        <v>0</v>
      </c>
      <c r="K7222" t="n">
        <v>0</v>
      </c>
      <c r="L7222" t="n">
        <v>0</v>
      </c>
      <c r="M7222" t="n">
        <v>0</v>
      </c>
      <c r="N7222" t="n">
        <v>0</v>
      </c>
      <c r="O7222" t="n">
        <v>0</v>
      </c>
      <c r="P7222" t="n">
        <v>0</v>
      </c>
      <c r="Q7222" t="n">
        <v>0</v>
      </c>
      <c r="R7222" s="2" t="inlineStr"/>
    </row>
    <row r="7223" ht="15" customHeight="1">
      <c r="A7223" t="inlineStr">
        <is>
          <t>A 52366-2025</t>
        </is>
      </c>
      <c r="B7223" s="1" t="n">
        <v>45953.84179398148</v>
      </c>
      <c r="C7223" s="1" t="n">
        <v>45962</v>
      </c>
      <c r="D7223" t="inlineStr">
        <is>
          <t>JÖNKÖPINGS LÄN</t>
        </is>
      </c>
      <c r="E7223" t="inlineStr">
        <is>
          <t>NÄSSJÖ</t>
        </is>
      </c>
      <c r="G7223" t="n">
        <v>0.8</v>
      </c>
      <c r="H7223" t="n">
        <v>0</v>
      </c>
      <c r="I7223" t="n">
        <v>0</v>
      </c>
      <c r="J7223" t="n">
        <v>0</v>
      </c>
      <c r="K7223" t="n">
        <v>0</v>
      </c>
      <c r="L7223" t="n">
        <v>0</v>
      </c>
      <c r="M7223" t="n">
        <v>0</v>
      </c>
      <c r="N7223" t="n">
        <v>0</v>
      </c>
      <c r="O7223" t="n">
        <v>0</v>
      </c>
      <c r="P7223" t="n">
        <v>0</v>
      </c>
      <c r="Q7223" t="n">
        <v>0</v>
      </c>
      <c r="R7223" s="2" t="inlineStr"/>
    </row>
    <row r="7224" ht="15" customHeight="1">
      <c r="A7224" t="inlineStr">
        <is>
          <t>A 50601-2025</t>
        </is>
      </c>
      <c r="B7224" s="1" t="n">
        <v>45945</v>
      </c>
      <c r="C7224" s="1" t="n">
        <v>45962</v>
      </c>
      <c r="D7224" t="inlineStr">
        <is>
          <t>JÖNKÖPINGS LÄN</t>
        </is>
      </c>
      <c r="E7224" t="inlineStr">
        <is>
          <t>TRANÅS</t>
        </is>
      </c>
      <c r="G7224" t="n">
        <v>1.1</v>
      </c>
      <c r="H7224" t="n">
        <v>0</v>
      </c>
      <c r="I7224" t="n">
        <v>0</v>
      </c>
      <c r="J7224" t="n">
        <v>0</v>
      </c>
      <c r="K7224" t="n">
        <v>0</v>
      </c>
      <c r="L7224" t="n">
        <v>0</v>
      </c>
      <c r="M7224" t="n">
        <v>0</v>
      </c>
      <c r="N7224" t="n">
        <v>0</v>
      </c>
      <c r="O7224" t="n">
        <v>0</v>
      </c>
      <c r="P7224" t="n">
        <v>0</v>
      </c>
      <c r="Q7224" t="n">
        <v>0</v>
      </c>
      <c r="R7224" s="2" t="inlineStr"/>
    </row>
    <row r="7225" ht="15" customHeight="1">
      <c r="A7225" t="inlineStr">
        <is>
          <t>A 50378-2025</t>
        </is>
      </c>
      <c r="B7225" s="1" t="n">
        <v>45944</v>
      </c>
      <c r="C7225" s="1" t="n">
        <v>45962</v>
      </c>
      <c r="D7225" t="inlineStr">
        <is>
          <t>JÖNKÖPINGS LÄN</t>
        </is>
      </c>
      <c r="E7225" t="inlineStr">
        <is>
          <t>EKSJÖ</t>
        </is>
      </c>
      <c r="G7225" t="n">
        <v>0.8</v>
      </c>
      <c r="H7225" t="n">
        <v>0</v>
      </c>
      <c r="I7225" t="n">
        <v>0</v>
      </c>
      <c r="J7225" t="n">
        <v>0</v>
      </c>
      <c r="K7225" t="n">
        <v>0</v>
      </c>
      <c r="L7225" t="n">
        <v>0</v>
      </c>
      <c r="M7225" t="n">
        <v>0</v>
      </c>
      <c r="N7225" t="n">
        <v>0</v>
      </c>
      <c r="O7225" t="n">
        <v>0</v>
      </c>
      <c r="P7225" t="n">
        <v>0</v>
      </c>
      <c r="Q7225" t="n">
        <v>0</v>
      </c>
      <c r="R7225" s="2" t="inlineStr"/>
    </row>
    <row r="7226" ht="15" customHeight="1">
      <c r="A7226" t="inlineStr">
        <is>
          <t>A 43134-2025</t>
        </is>
      </c>
      <c r="B7226" s="1" t="n">
        <v>45909.83324074074</v>
      </c>
      <c r="C7226" s="1" t="n">
        <v>45962</v>
      </c>
      <c r="D7226" t="inlineStr">
        <is>
          <t>JÖNKÖPINGS LÄN</t>
        </is>
      </c>
      <c r="E7226" t="inlineStr">
        <is>
          <t>MULLSJÖ</t>
        </is>
      </c>
      <c r="G7226" t="n">
        <v>0.4</v>
      </c>
      <c r="H7226" t="n">
        <v>0</v>
      </c>
      <c r="I7226" t="n">
        <v>0</v>
      </c>
      <c r="J7226" t="n">
        <v>0</v>
      </c>
      <c r="K7226" t="n">
        <v>0</v>
      </c>
      <c r="L7226" t="n">
        <v>0</v>
      </c>
      <c r="M7226" t="n">
        <v>0</v>
      </c>
      <c r="N7226" t="n">
        <v>0</v>
      </c>
      <c r="O7226" t="n">
        <v>0</v>
      </c>
      <c r="P7226" t="n">
        <v>0</v>
      </c>
      <c r="Q7226" t="n">
        <v>0</v>
      </c>
      <c r="R7226" s="2" t="inlineStr"/>
    </row>
    <row r="7227" ht="15" customHeight="1">
      <c r="A7227" t="inlineStr">
        <is>
          <t>A 43142-2025</t>
        </is>
      </c>
      <c r="B7227" s="1" t="n">
        <v>45910.24565972222</v>
      </c>
      <c r="C7227" s="1" t="n">
        <v>45962</v>
      </c>
      <c r="D7227" t="inlineStr">
        <is>
          <t>JÖNKÖPINGS LÄN</t>
        </is>
      </c>
      <c r="E7227" t="inlineStr">
        <is>
          <t>GISLAVED</t>
        </is>
      </c>
      <c r="G7227" t="n">
        <v>2.2</v>
      </c>
      <c r="H7227" t="n">
        <v>0</v>
      </c>
      <c r="I7227" t="n">
        <v>0</v>
      </c>
      <c r="J7227" t="n">
        <v>0</v>
      </c>
      <c r="K7227" t="n">
        <v>0</v>
      </c>
      <c r="L7227" t="n">
        <v>0</v>
      </c>
      <c r="M7227" t="n">
        <v>0</v>
      </c>
      <c r="N7227" t="n">
        <v>0</v>
      </c>
      <c r="O7227" t="n">
        <v>0</v>
      </c>
      <c r="P7227" t="n">
        <v>0</v>
      </c>
      <c r="Q7227" t="n">
        <v>0</v>
      </c>
      <c r="R7227" s="2" t="inlineStr"/>
    </row>
    <row r="7228" ht="15" customHeight="1">
      <c r="A7228" t="inlineStr">
        <is>
          <t>A 50596-2025</t>
        </is>
      </c>
      <c r="B7228" s="1" t="n">
        <v>45945.60892361111</v>
      </c>
      <c r="C7228" s="1" t="n">
        <v>45962</v>
      </c>
      <c r="D7228" t="inlineStr">
        <is>
          <t>JÖNKÖPINGS LÄN</t>
        </is>
      </c>
      <c r="E7228" t="inlineStr">
        <is>
          <t>TRANÅS</t>
        </is>
      </c>
      <c r="G7228" t="n">
        <v>1.9</v>
      </c>
      <c r="H7228" t="n">
        <v>0</v>
      </c>
      <c r="I7228" t="n">
        <v>0</v>
      </c>
      <c r="J7228" t="n">
        <v>0</v>
      </c>
      <c r="K7228" t="n">
        <v>0</v>
      </c>
      <c r="L7228" t="n">
        <v>0</v>
      </c>
      <c r="M7228" t="n">
        <v>0</v>
      </c>
      <c r="N7228" t="n">
        <v>0</v>
      </c>
      <c r="O7228" t="n">
        <v>0</v>
      </c>
      <c r="P7228" t="n">
        <v>0</v>
      </c>
      <c r="Q7228" t="n">
        <v>0</v>
      </c>
      <c r="R7228" s="2" t="inlineStr"/>
    </row>
    <row r="7229" ht="15" customHeight="1">
      <c r="A7229" t="inlineStr">
        <is>
          <t>A 43588-2025</t>
        </is>
      </c>
      <c r="B7229" s="1" t="n">
        <v>45911.6541087963</v>
      </c>
      <c r="C7229" s="1" t="n">
        <v>45962</v>
      </c>
      <c r="D7229" t="inlineStr">
        <is>
          <t>JÖNKÖPINGS LÄN</t>
        </is>
      </c>
      <c r="E7229" t="inlineStr">
        <is>
          <t>EKSJÖ</t>
        </is>
      </c>
      <c r="G7229" t="n">
        <v>0.8</v>
      </c>
      <c r="H7229" t="n">
        <v>0</v>
      </c>
      <c r="I7229" t="n">
        <v>0</v>
      </c>
      <c r="J7229" t="n">
        <v>0</v>
      </c>
      <c r="K7229" t="n">
        <v>0</v>
      </c>
      <c r="L7229" t="n">
        <v>0</v>
      </c>
      <c r="M7229" t="n">
        <v>0</v>
      </c>
      <c r="N7229" t="n">
        <v>0</v>
      </c>
      <c r="O7229" t="n">
        <v>0</v>
      </c>
      <c r="P7229" t="n">
        <v>0</v>
      </c>
      <c r="Q7229" t="n">
        <v>0</v>
      </c>
      <c r="R7229" s="2" t="inlineStr"/>
    </row>
    <row r="7230" ht="15" customHeight="1">
      <c r="A7230" t="inlineStr">
        <is>
          <t>A 52323-2025</t>
        </is>
      </c>
      <c r="B7230" s="1" t="n">
        <v>45953.66633101852</v>
      </c>
      <c r="C7230" s="1" t="n">
        <v>45962</v>
      </c>
      <c r="D7230" t="inlineStr">
        <is>
          <t>JÖNKÖPINGS LÄN</t>
        </is>
      </c>
      <c r="E7230" t="inlineStr">
        <is>
          <t>VETLANDA</t>
        </is>
      </c>
      <c r="G7230" t="n">
        <v>1.1</v>
      </c>
      <c r="H7230" t="n">
        <v>0</v>
      </c>
      <c r="I7230" t="n">
        <v>0</v>
      </c>
      <c r="J7230" t="n">
        <v>0</v>
      </c>
      <c r="K7230" t="n">
        <v>0</v>
      </c>
      <c r="L7230" t="n">
        <v>0</v>
      </c>
      <c r="M7230" t="n">
        <v>0</v>
      </c>
      <c r="N7230" t="n">
        <v>0</v>
      </c>
      <c r="O7230" t="n">
        <v>0</v>
      </c>
      <c r="P7230" t="n">
        <v>0</v>
      </c>
      <c r="Q7230" t="n">
        <v>0</v>
      </c>
      <c r="R7230" s="2" t="inlineStr"/>
    </row>
    <row r="7231" ht="15" customHeight="1">
      <c r="A7231" t="inlineStr">
        <is>
          <t>A 51995-2025</t>
        </is>
      </c>
      <c r="B7231" s="1" t="n">
        <v>45952.58738425926</v>
      </c>
      <c r="C7231" s="1" t="n">
        <v>45962</v>
      </c>
      <c r="D7231" t="inlineStr">
        <is>
          <t>JÖNKÖPINGS LÄN</t>
        </is>
      </c>
      <c r="E7231" t="inlineStr">
        <is>
          <t>GISLAVED</t>
        </is>
      </c>
      <c r="G7231" t="n">
        <v>6.3</v>
      </c>
      <c r="H7231" t="n">
        <v>0</v>
      </c>
      <c r="I7231" t="n">
        <v>0</v>
      </c>
      <c r="J7231" t="n">
        <v>0</v>
      </c>
      <c r="K7231" t="n">
        <v>0</v>
      </c>
      <c r="L7231" t="n">
        <v>0</v>
      </c>
      <c r="M7231" t="n">
        <v>0</v>
      </c>
      <c r="N7231" t="n">
        <v>0</v>
      </c>
      <c r="O7231" t="n">
        <v>0</v>
      </c>
      <c r="P7231" t="n">
        <v>0</v>
      </c>
      <c r="Q7231" t="n">
        <v>0</v>
      </c>
      <c r="R7231" s="2" t="inlineStr"/>
    </row>
    <row r="7232" ht="15" customHeight="1">
      <c r="A7232" t="inlineStr">
        <is>
          <t>A 51997-2025</t>
        </is>
      </c>
      <c r="B7232" s="1" t="n">
        <v>45952.5883912037</v>
      </c>
      <c r="C7232" s="1" t="n">
        <v>45962</v>
      </c>
      <c r="D7232" t="inlineStr">
        <is>
          <t>JÖNKÖPINGS LÄN</t>
        </is>
      </c>
      <c r="E7232" t="inlineStr">
        <is>
          <t>GISLAVED</t>
        </is>
      </c>
      <c r="G7232" t="n">
        <v>1.3</v>
      </c>
      <c r="H7232" t="n">
        <v>0</v>
      </c>
      <c r="I7232" t="n">
        <v>0</v>
      </c>
      <c r="J7232" t="n">
        <v>0</v>
      </c>
      <c r="K7232" t="n">
        <v>0</v>
      </c>
      <c r="L7232" t="n">
        <v>0</v>
      </c>
      <c r="M7232" t="n">
        <v>0</v>
      </c>
      <c r="N7232" t="n">
        <v>0</v>
      </c>
      <c r="O7232" t="n">
        <v>0</v>
      </c>
      <c r="P7232" t="n">
        <v>0</v>
      </c>
      <c r="Q7232" t="n">
        <v>0</v>
      </c>
      <c r="R7232" s="2" t="inlineStr"/>
    </row>
    <row r="7233" ht="15" customHeight="1">
      <c r="A7233" t="inlineStr">
        <is>
          <t>A 51999-2025</t>
        </is>
      </c>
      <c r="B7233" s="1" t="n">
        <v>45952.58931712963</v>
      </c>
      <c r="C7233" s="1" t="n">
        <v>45962</v>
      </c>
      <c r="D7233" t="inlineStr">
        <is>
          <t>JÖNKÖPINGS LÄN</t>
        </is>
      </c>
      <c r="E7233" t="inlineStr">
        <is>
          <t>GISLAVED</t>
        </is>
      </c>
      <c r="G7233" t="n">
        <v>0.7</v>
      </c>
      <c r="H7233" t="n">
        <v>0</v>
      </c>
      <c r="I7233" t="n">
        <v>0</v>
      </c>
      <c r="J7233" t="n">
        <v>0</v>
      </c>
      <c r="K7233" t="n">
        <v>0</v>
      </c>
      <c r="L7233" t="n">
        <v>0</v>
      </c>
      <c r="M7233" t="n">
        <v>0</v>
      </c>
      <c r="N7233" t="n">
        <v>0</v>
      </c>
      <c r="O7233" t="n">
        <v>0</v>
      </c>
      <c r="P7233" t="n">
        <v>0</v>
      </c>
      <c r="Q7233" t="n">
        <v>0</v>
      </c>
      <c r="R7233" s="2" t="inlineStr"/>
    </row>
    <row r="7234" ht="15" customHeight="1">
      <c r="A7234" t="inlineStr">
        <is>
          <t>A 52001-2025</t>
        </is>
      </c>
      <c r="B7234" s="1" t="n">
        <v>45952.59006944444</v>
      </c>
      <c r="C7234" s="1" t="n">
        <v>45962</v>
      </c>
      <c r="D7234" t="inlineStr">
        <is>
          <t>JÖNKÖPINGS LÄN</t>
        </is>
      </c>
      <c r="E7234" t="inlineStr">
        <is>
          <t>VAGGERYD</t>
        </is>
      </c>
      <c r="G7234" t="n">
        <v>1.7</v>
      </c>
      <c r="H7234" t="n">
        <v>0</v>
      </c>
      <c r="I7234" t="n">
        <v>0</v>
      </c>
      <c r="J7234" t="n">
        <v>0</v>
      </c>
      <c r="K7234" t="n">
        <v>0</v>
      </c>
      <c r="L7234" t="n">
        <v>0</v>
      </c>
      <c r="M7234" t="n">
        <v>0</v>
      </c>
      <c r="N7234" t="n">
        <v>0</v>
      </c>
      <c r="O7234" t="n">
        <v>0</v>
      </c>
      <c r="P7234" t="n">
        <v>0</v>
      </c>
      <c r="Q7234" t="n">
        <v>0</v>
      </c>
      <c r="R7234" s="2" t="inlineStr"/>
    </row>
    <row r="7235" ht="15" customHeight="1">
      <c r="A7235" t="inlineStr">
        <is>
          <t>A 43272-2025</t>
        </is>
      </c>
      <c r="B7235" s="1" t="n">
        <v>45910.58902777778</v>
      </c>
      <c r="C7235" s="1" t="n">
        <v>45962</v>
      </c>
      <c r="D7235" t="inlineStr">
        <is>
          <t>JÖNKÖPINGS LÄN</t>
        </is>
      </c>
      <c r="E7235" t="inlineStr">
        <is>
          <t>GISLAVED</t>
        </is>
      </c>
      <c r="G7235" t="n">
        <v>3.6</v>
      </c>
      <c r="H7235" t="n">
        <v>0</v>
      </c>
      <c r="I7235" t="n">
        <v>0</v>
      </c>
      <c r="J7235" t="n">
        <v>0</v>
      </c>
      <c r="K7235" t="n">
        <v>0</v>
      </c>
      <c r="L7235" t="n">
        <v>0</v>
      </c>
      <c r="M7235" t="n">
        <v>0</v>
      </c>
      <c r="N7235" t="n">
        <v>0</v>
      </c>
      <c r="O7235" t="n">
        <v>0</v>
      </c>
      <c r="P7235" t="n">
        <v>0</v>
      </c>
      <c r="Q7235" t="n">
        <v>0</v>
      </c>
      <c r="R7235" s="2" t="inlineStr"/>
    </row>
    <row r="7236" ht="15" customHeight="1">
      <c r="A7236" t="inlineStr">
        <is>
          <t>A 43445-2025</t>
        </is>
      </c>
      <c r="B7236" s="1" t="n">
        <v>45911.44883101852</v>
      </c>
      <c r="C7236" s="1" t="n">
        <v>45962</v>
      </c>
      <c r="D7236" t="inlineStr">
        <is>
          <t>JÖNKÖPINGS LÄN</t>
        </is>
      </c>
      <c r="E7236" t="inlineStr">
        <is>
          <t>EKSJÖ</t>
        </is>
      </c>
      <c r="G7236" t="n">
        <v>2.3</v>
      </c>
      <c r="H7236" t="n">
        <v>0</v>
      </c>
      <c r="I7236" t="n">
        <v>0</v>
      </c>
      <c r="J7236" t="n">
        <v>0</v>
      </c>
      <c r="K7236" t="n">
        <v>0</v>
      </c>
      <c r="L7236" t="n">
        <v>0</v>
      </c>
      <c r="M7236" t="n">
        <v>0</v>
      </c>
      <c r="N7236" t="n">
        <v>0</v>
      </c>
      <c r="O7236" t="n">
        <v>0</v>
      </c>
      <c r="P7236" t="n">
        <v>0</v>
      </c>
      <c r="Q7236" t="n">
        <v>0</v>
      </c>
      <c r="R7236" s="2" t="inlineStr"/>
    </row>
    <row r="7237" ht="15" customHeight="1">
      <c r="A7237" t="inlineStr">
        <is>
          <t>A 43444-2025</t>
        </is>
      </c>
      <c r="B7237" s="1" t="n">
        <v>45911.44733796296</v>
      </c>
      <c r="C7237" s="1" t="n">
        <v>45962</v>
      </c>
      <c r="D7237" t="inlineStr">
        <is>
          <t>JÖNKÖPINGS LÄN</t>
        </is>
      </c>
      <c r="E7237" t="inlineStr">
        <is>
          <t>EKSJÖ</t>
        </is>
      </c>
      <c r="G7237" t="n">
        <v>0.5</v>
      </c>
      <c r="H7237" t="n">
        <v>0</v>
      </c>
      <c r="I7237" t="n">
        <v>0</v>
      </c>
      <c r="J7237" t="n">
        <v>0</v>
      </c>
      <c r="K7237" t="n">
        <v>0</v>
      </c>
      <c r="L7237" t="n">
        <v>0</v>
      </c>
      <c r="M7237" t="n">
        <v>0</v>
      </c>
      <c r="N7237" t="n">
        <v>0</v>
      </c>
      <c r="O7237" t="n">
        <v>0</v>
      </c>
      <c r="P7237" t="n">
        <v>0</v>
      </c>
      <c r="Q7237" t="n">
        <v>0</v>
      </c>
      <c r="R7237" s="2" t="inlineStr"/>
    </row>
    <row r="7238" ht="15" customHeight="1">
      <c r="A7238" t="inlineStr">
        <is>
          <t>A 51829-2025</t>
        </is>
      </c>
      <c r="B7238" s="1" t="n">
        <v>45952.31357638889</v>
      </c>
      <c r="C7238" s="1" t="n">
        <v>45962</v>
      </c>
      <c r="D7238" t="inlineStr">
        <is>
          <t>JÖNKÖPINGS LÄN</t>
        </is>
      </c>
      <c r="E7238" t="inlineStr">
        <is>
          <t>VETLANDA</t>
        </is>
      </c>
      <c r="G7238" t="n">
        <v>0.7</v>
      </c>
      <c r="H7238" t="n">
        <v>0</v>
      </c>
      <c r="I7238" t="n">
        <v>0</v>
      </c>
      <c r="J7238" t="n">
        <v>0</v>
      </c>
      <c r="K7238" t="n">
        <v>0</v>
      </c>
      <c r="L7238" t="n">
        <v>0</v>
      </c>
      <c r="M7238" t="n">
        <v>0</v>
      </c>
      <c r="N7238" t="n">
        <v>0</v>
      </c>
      <c r="O7238" t="n">
        <v>0</v>
      </c>
      <c r="P7238" t="n">
        <v>0</v>
      </c>
      <c r="Q7238" t="n">
        <v>0</v>
      </c>
      <c r="R7238" s="2" t="inlineStr"/>
    </row>
    <row r="7239" ht="15" customHeight="1">
      <c r="A7239" t="inlineStr">
        <is>
          <t>A 51831-2025</t>
        </is>
      </c>
      <c r="B7239" s="1" t="n">
        <v>45952.31704861111</v>
      </c>
      <c r="C7239" s="1" t="n">
        <v>45962</v>
      </c>
      <c r="D7239" t="inlineStr">
        <is>
          <t>JÖNKÖPINGS LÄN</t>
        </is>
      </c>
      <c r="E7239" t="inlineStr">
        <is>
          <t>VETLANDA</t>
        </is>
      </c>
      <c r="G7239" t="n">
        <v>0.7</v>
      </c>
      <c r="H7239" t="n">
        <v>0</v>
      </c>
      <c r="I7239" t="n">
        <v>0</v>
      </c>
      <c r="J7239" t="n">
        <v>0</v>
      </c>
      <c r="K7239" t="n">
        <v>0</v>
      </c>
      <c r="L7239" t="n">
        <v>0</v>
      </c>
      <c r="M7239" t="n">
        <v>0</v>
      </c>
      <c r="N7239" t="n">
        <v>0</v>
      </c>
      <c r="O7239" t="n">
        <v>0</v>
      </c>
      <c r="P7239" t="n">
        <v>0</v>
      </c>
      <c r="Q7239" t="n">
        <v>0</v>
      </c>
      <c r="R7239" s="2" t="inlineStr"/>
    </row>
    <row r="7240" ht="15" customHeight="1">
      <c r="A7240" t="inlineStr">
        <is>
          <t>A 51854-2025</t>
        </is>
      </c>
      <c r="B7240" s="1" t="n">
        <v>45952.36065972222</v>
      </c>
      <c r="C7240" s="1" t="n">
        <v>45962</v>
      </c>
      <c r="D7240" t="inlineStr">
        <is>
          <t>JÖNKÖPINGS LÄN</t>
        </is>
      </c>
      <c r="E7240" t="inlineStr">
        <is>
          <t>JÖNKÖPING</t>
        </is>
      </c>
      <c r="G7240" t="n">
        <v>1.6</v>
      </c>
      <c r="H7240" t="n">
        <v>0</v>
      </c>
      <c r="I7240" t="n">
        <v>0</v>
      </c>
      <c r="J7240" t="n">
        <v>0</v>
      </c>
      <c r="K7240" t="n">
        <v>0</v>
      </c>
      <c r="L7240" t="n">
        <v>0</v>
      </c>
      <c r="M7240" t="n">
        <v>0</v>
      </c>
      <c r="N7240" t="n">
        <v>0</v>
      </c>
      <c r="O7240" t="n">
        <v>0</v>
      </c>
      <c r="P7240" t="n">
        <v>0</v>
      </c>
      <c r="Q7240" t="n">
        <v>0</v>
      </c>
      <c r="R7240" s="2" t="inlineStr"/>
    </row>
    <row r="7241" ht="15" customHeight="1">
      <c r="A7241" t="inlineStr">
        <is>
          <t>A 40728-2025</t>
        </is>
      </c>
      <c r="B7241" s="1" t="n">
        <v>45897</v>
      </c>
      <c r="C7241" s="1" t="n">
        <v>45962</v>
      </c>
      <c r="D7241" t="inlineStr">
        <is>
          <t>JÖNKÖPINGS LÄN</t>
        </is>
      </c>
      <c r="E7241" t="inlineStr">
        <is>
          <t>JÖNKÖPING</t>
        </is>
      </c>
      <c r="G7241" t="n">
        <v>6.4</v>
      </c>
      <c r="H7241" t="n">
        <v>0</v>
      </c>
      <c r="I7241" t="n">
        <v>0</v>
      </c>
      <c r="J7241" t="n">
        <v>0</v>
      </c>
      <c r="K7241" t="n">
        <v>0</v>
      </c>
      <c r="L7241" t="n">
        <v>0</v>
      </c>
      <c r="M7241" t="n">
        <v>0</v>
      </c>
      <c r="N7241" t="n">
        <v>0</v>
      </c>
      <c r="O7241" t="n">
        <v>0</v>
      </c>
      <c r="P7241" t="n">
        <v>0</v>
      </c>
      <c r="Q7241" t="n">
        <v>0</v>
      </c>
      <c r="R7241" s="2" t="inlineStr"/>
    </row>
    <row r="7242" ht="15" customHeight="1">
      <c r="A7242" t="inlineStr">
        <is>
          <t>A 43656-2025</t>
        </is>
      </c>
      <c r="B7242" s="1" t="n">
        <v>45912.33863425926</v>
      </c>
      <c r="C7242" s="1" t="n">
        <v>45962</v>
      </c>
      <c r="D7242" t="inlineStr">
        <is>
          <t>JÖNKÖPINGS LÄN</t>
        </is>
      </c>
      <c r="E7242" t="inlineStr">
        <is>
          <t>GNOSJÖ</t>
        </is>
      </c>
      <c r="G7242" t="n">
        <v>3.2</v>
      </c>
      <c r="H7242" t="n">
        <v>0</v>
      </c>
      <c r="I7242" t="n">
        <v>0</v>
      </c>
      <c r="J7242" t="n">
        <v>0</v>
      </c>
      <c r="K7242" t="n">
        <v>0</v>
      </c>
      <c r="L7242" t="n">
        <v>0</v>
      </c>
      <c r="M7242" t="n">
        <v>0</v>
      </c>
      <c r="N7242" t="n">
        <v>0</v>
      </c>
      <c r="O7242" t="n">
        <v>0</v>
      </c>
      <c r="P7242" t="n">
        <v>0</v>
      </c>
      <c r="Q7242" t="n">
        <v>0</v>
      </c>
      <c r="R7242" s="2" t="inlineStr"/>
    </row>
    <row r="7243" ht="15" customHeight="1">
      <c r="A7243" t="inlineStr">
        <is>
          <t>A 52857-2025</t>
        </is>
      </c>
      <c r="B7243" s="1" t="n">
        <v>45954</v>
      </c>
      <c r="C7243" s="1" t="n">
        <v>45962</v>
      </c>
      <c r="D7243" t="inlineStr">
        <is>
          <t>JÖNKÖPINGS LÄN</t>
        </is>
      </c>
      <c r="E7243" t="inlineStr">
        <is>
          <t>SÄVSJÖ</t>
        </is>
      </c>
      <c r="G7243" t="n">
        <v>1.3</v>
      </c>
      <c r="H7243" t="n">
        <v>0</v>
      </c>
      <c r="I7243" t="n">
        <v>0</v>
      </c>
      <c r="J7243" t="n">
        <v>0</v>
      </c>
      <c r="K7243" t="n">
        <v>0</v>
      </c>
      <c r="L7243" t="n">
        <v>0</v>
      </c>
      <c r="M7243" t="n">
        <v>0</v>
      </c>
      <c r="N7243" t="n">
        <v>0</v>
      </c>
      <c r="O7243" t="n">
        <v>0</v>
      </c>
      <c r="P7243" t="n">
        <v>0</v>
      </c>
      <c r="Q7243" t="n">
        <v>0</v>
      </c>
      <c r="R7243" s="2" t="inlineStr"/>
    </row>
    <row r="7244" ht="15" customHeight="1">
      <c r="A7244" t="inlineStr">
        <is>
          <t>A 52810-2025</t>
        </is>
      </c>
      <c r="B7244" s="1" t="n">
        <v>45957.44875</v>
      </c>
      <c r="C7244" s="1" t="n">
        <v>45962</v>
      </c>
      <c r="D7244" t="inlineStr">
        <is>
          <t>JÖNKÖPINGS LÄN</t>
        </is>
      </c>
      <c r="E7244" t="inlineStr">
        <is>
          <t>SÄVSJÖ</t>
        </is>
      </c>
      <c r="G7244" t="n">
        <v>0.5</v>
      </c>
      <c r="H7244" t="n">
        <v>0</v>
      </c>
      <c r="I7244" t="n">
        <v>0</v>
      </c>
      <c r="J7244" t="n">
        <v>0</v>
      </c>
      <c r="K7244" t="n">
        <v>0</v>
      </c>
      <c r="L7244" t="n">
        <v>0</v>
      </c>
      <c r="M7244" t="n">
        <v>0</v>
      </c>
      <c r="N7244" t="n">
        <v>0</v>
      </c>
      <c r="O7244" t="n">
        <v>0</v>
      </c>
      <c r="P7244" t="n">
        <v>0</v>
      </c>
      <c r="Q7244" t="n">
        <v>0</v>
      </c>
      <c r="R7244" s="2" t="inlineStr"/>
    </row>
    <row r="7245" ht="15" customHeight="1">
      <c r="A7245" t="inlineStr">
        <is>
          <t>A 52566-2025</t>
        </is>
      </c>
      <c r="B7245" s="1" t="n">
        <v>45954.59519675926</v>
      </c>
      <c r="C7245" s="1" t="n">
        <v>45962</v>
      </c>
      <c r="D7245" t="inlineStr">
        <is>
          <t>JÖNKÖPINGS LÄN</t>
        </is>
      </c>
      <c r="E7245" t="inlineStr">
        <is>
          <t>EKSJÖ</t>
        </is>
      </c>
      <c r="F7245" t="inlineStr">
        <is>
          <t>Kyrkan</t>
        </is>
      </c>
      <c r="G7245" t="n">
        <v>2.1</v>
      </c>
      <c r="H7245" t="n">
        <v>0</v>
      </c>
      <c r="I7245" t="n">
        <v>0</v>
      </c>
      <c r="J7245" t="n">
        <v>0</v>
      </c>
      <c r="K7245" t="n">
        <v>0</v>
      </c>
      <c r="L7245" t="n">
        <v>0</v>
      </c>
      <c r="M7245" t="n">
        <v>0</v>
      </c>
      <c r="N7245" t="n">
        <v>0</v>
      </c>
      <c r="O7245" t="n">
        <v>0</v>
      </c>
      <c r="P7245" t="n">
        <v>0</v>
      </c>
      <c r="Q7245" t="n">
        <v>0</v>
      </c>
      <c r="R7245" s="2" t="inlineStr"/>
    </row>
    <row r="7246" ht="15" customHeight="1">
      <c r="A7246" t="inlineStr">
        <is>
          <t>A 45051-2025</t>
        </is>
      </c>
      <c r="B7246" s="1" t="n">
        <v>45919</v>
      </c>
      <c r="C7246" s="1" t="n">
        <v>45962</v>
      </c>
      <c r="D7246" t="inlineStr">
        <is>
          <t>JÖNKÖPINGS LÄN</t>
        </is>
      </c>
      <c r="E7246" t="inlineStr">
        <is>
          <t>NÄSSJÖ</t>
        </is>
      </c>
      <c r="G7246" t="n">
        <v>0.8</v>
      </c>
      <c r="H7246" t="n">
        <v>0</v>
      </c>
      <c r="I7246" t="n">
        <v>0</v>
      </c>
      <c r="J7246" t="n">
        <v>0</v>
      </c>
      <c r="K7246" t="n">
        <v>0</v>
      </c>
      <c r="L7246" t="n">
        <v>0</v>
      </c>
      <c r="M7246" t="n">
        <v>0</v>
      </c>
      <c r="N7246" t="n">
        <v>0</v>
      </c>
      <c r="O7246" t="n">
        <v>0</v>
      </c>
      <c r="P7246" t="n">
        <v>0</v>
      </c>
      <c r="Q7246" t="n">
        <v>0</v>
      </c>
      <c r="R7246" s="2" t="inlineStr"/>
      <c r="U7246">
        <f>HYPERLINK("https://klasma.github.io/Logging_0682/knärot/A 45051-2025 karta knärot.png", "A 45051-2025")</f>
        <v/>
      </c>
      <c r="V7246">
        <f>HYPERLINK("https://klasma.github.io/Logging_0682/klagomål/A 45051-2025 FSC-klagomål.docx", "A 45051-2025")</f>
        <v/>
      </c>
      <c r="W7246">
        <f>HYPERLINK("https://klasma.github.io/Logging_0682/klagomålsmail/A 45051-2025 FSC-klagomål mail.docx", "A 45051-2025")</f>
        <v/>
      </c>
      <c r="X7246">
        <f>HYPERLINK("https://klasma.github.io/Logging_0682/tillsyn/A 45051-2025 tillsynsbegäran.docx", "A 45051-2025")</f>
        <v/>
      </c>
      <c r="Y7246">
        <f>HYPERLINK("https://klasma.github.io/Logging_0682/tillsynsmail/A 45051-2025 tillsynsbegäran mail.docx", "A 45051-2025")</f>
        <v/>
      </c>
    </row>
    <row r="7247" ht="15" customHeight="1">
      <c r="A7247" t="inlineStr">
        <is>
          <t>A 43798-2025</t>
        </is>
      </c>
      <c r="B7247" s="1" t="n">
        <v>45912.5659837963</v>
      </c>
      <c r="C7247" s="1" t="n">
        <v>45962</v>
      </c>
      <c r="D7247" t="inlineStr">
        <is>
          <t>JÖNKÖPINGS LÄN</t>
        </is>
      </c>
      <c r="E7247" t="inlineStr">
        <is>
          <t>GISLAVED</t>
        </is>
      </c>
      <c r="G7247" t="n">
        <v>1.5</v>
      </c>
      <c r="H7247" t="n">
        <v>0</v>
      </c>
      <c r="I7247" t="n">
        <v>0</v>
      </c>
      <c r="J7247" t="n">
        <v>0</v>
      </c>
      <c r="K7247" t="n">
        <v>0</v>
      </c>
      <c r="L7247" t="n">
        <v>0</v>
      </c>
      <c r="M7247" t="n">
        <v>0</v>
      </c>
      <c r="N7247" t="n">
        <v>0</v>
      </c>
      <c r="O7247" t="n">
        <v>0</v>
      </c>
      <c r="P7247" t="n">
        <v>0</v>
      </c>
      <c r="Q7247" t="n">
        <v>0</v>
      </c>
      <c r="R7247" s="2" t="inlineStr"/>
    </row>
    <row r="7248" ht="15" customHeight="1">
      <c r="A7248" t="inlineStr">
        <is>
          <t>A 43757-2025</t>
        </is>
      </c>
      <c r="B7248" s="1" t="n">
        <v>45912.47421296296</v>
      </c>
      <c r="C7248" s="1" t="n">
        <v>45962</v>
      </c>
      <c r="D7248" t="inlineStr">
        <is>
          <t>JÖNKÖPINGS LÄN</t>
        </is>
      </c>
      <c r="E7248" t="inlineStr">
        <is>
          <t>ANEBY</t>
        </is>
      </c>
      <c r="G7248" t="n">
        <v>1</v>
      </c>
      <c r="H7248" t="n">
        <v>0</v>
      </c>
      <c r="I7248" t="n">
        <v>0</v>
      </c>
      <c r="J7248" t="n">
        <v>0</v>
      </c>
      <c r="K7248" t="n">
        <v>0</v>
      </c>
      <c r="L7248" t="n">
        <v>0</v>
      </c>
      <c r="M7248" t="n">
        <v>0</v>
      </c>
      <c r="N7248" t="n">
        <v>0</v>
      </c>
      <c r="O7248" t="n">
        <v>0</v>
      </c>
      <c r="P7248" t="n">
        <v>0</v>
      </c>
      <c r="Q7248" t="n">
        <v>0</v>
      </c>
      <c r="R7248" s="2" t="inlineStr"/>
    </row>
    <row r="7249" ht="15" customHeight="1">
      <c r="A7249" t="inlineStr">
        <is>
          <t>A 44028-2025</t>
        </is>
      </c>
      <c r="B7249" s="1" t="n">
        <v>45915.48857638889</v>
      </c>
      <c r="C7249" s="1" t="n">
        <v>45962</v>
      </c>
      <c r="D7249" t="inlineStr">
        <is>
          <t>JÖNKÖPINGS LÄN</t>
        </is>
      </c>
      <c r="E7249" t="inlineStr">
        <is>
          <t>SÄVSJÖ</t>
        </is>
      </c>
      <c r="G7249" t="n">
        <v>0.7</v>
      </c>
      <c r="H7249" t="n">
        <v>0</v>
      </c>
      <c r="I7249" t="n">
        <v>0</v>
      </c>
      <c r="J7249" t="n">
        <v>0</v>
      </c>
      <c r="K7249" t="n">
        <v>0</v>
      </c>
      <c r="L7249" t="n">
        <v>0</v>
      </c>
      <c r="M7249" t="n">
        <v>0</v>
      </c>
      <c r="N7249" t="n">
        <v>0</v>
      </c>
      <c r="O7249" t="n">
        <v>0</v>
      </c>
      <c r="P7249" t="n">
        <v>0</v>
      </c>
      <c r="Q7249" t="n">
        <v>0</v>
      </c>
      <c r="R7249" s="2" t="inlineStr"/>
    </row>
    <row r="7250" ht="15" customHeight="1">
      <c r="A7250" t="inlineStr">
        <is>
          <t>A 44142-2025</t>
        </is>
      </c>
      <c r="B7250" s="1" t="n">
        <v>45915.58923611111</v>
      </c>
      <c r="C7250" s="1" t="n">
        <v>45962</v>
      </c>
      <c r="D7250" t="inlineStr">
        <is>
          <t>JÖNKÖPINGS LÄN</t>
        </is>
      </c>
      <c r="E7250" t="inlineStr">
        <is>
          <t>VÄRNAMO</t>
        </is>
      </c>
      <c r="F7250" t="inlineStr">
        <is>
          <t>Sveaskog</t>
        </is>
      </c>
      <c r="G7250" t="n">
        <v>2.2</v>
      </c>
      <c r="H7250" t="n">
        <v>0</v>
      </c>
      <c r="I7250" t="n">
        <v>0</v>
      </c>
      <c r="J7250" t="n">
        <v>0</v>
      </c>
      <c r="K7250" t="n">
        <v>0</v>
      </c>
      <c r="L7250" t="n">
        <v>0</v>
      </c>
      <c r="M7250" t="n">
        <v>0</v>
      </c>
      <c r="N7250" t="n">
        <v>0</v>
      </c>
      <c r="O7250" t="n">
        <v>0</v>
      </c>
      <c r="P7250" t="n">
        <v>0</v>
      </c>
      <c r="Q7250" t="n">
        <v>0</v>
      </c>
      <c r="R7250" s="2" t="inlineStr"/>
    </row>
    <row r="7251" ht="15" customHeight="1">
      <c r="A7251" t="inlineStr">
        <is>
          <t>A 52720-2025</t>
        </is>
      </c>
      <c r="B7251" s="1" t="n">
        <v>45957.33331018518</v>
      </c>
      <c r="C7251" s="1" t="n">
        <v>45962</v>
      </c>
      <c r="D7251" t="inlineStr">
        <is>
          <t>JÖNKÖPINGS LÄN</t>
        </is>
      </c>
      <c r="E7251" t="inlineStr">
        <is>
          <t>VETLANDA</t>
        </is>
      </c>
      <c r="G7251" t="n">
        <v>2.5</v>
      </c>
      <c r="H7251" t="n">
        <v>0</v>
      </c>
      <c r="I7251" t="n">
        <v>0</v>
      </c>
      <c r="J7251" t="n">
        <v>0</v>
      </c>
      <c r="K7251" t="n">
        <v>0</v>
      </c>
      <c r="L7251" t="n">
        <v>0</v>
      </c>
      <c r="M7251" t="n">
        <v>0</v>
      </c>
      <c r="N7251" t="n">
        <v>0</v>
      </c>
      <c r="O7251" t="n">
        <v>0</v>
      </c>
      <c r="P7251" t="n">
        <v>0</v>
      </c>
      <c r="Q7251" t="n">
        <v>0</v>
      </c>
      <c r="R7251" s="2" t="inlineStr"/>
    </row>
    <row r="7252" ht="15" customHeight="1">
      <c r="A7252" t="inlineStr">
        <is>
          <t>A 52515-2025</t>
        </is>
      </c>
      <c r="B7252" s="1" t="n">
        <v>45954.51231481481</v>
      </c>
      <c r="C7252" s="1" t="n">
        <v>45962</v>
      </c>
      <c r="D7252" t="inlineStr">
        <is>
          <t>JÖNKÖPINGS LÄN</t>
        </is>
      </c>
      <c r="E7252" t="inlineStr">
        <is>
          <t>TRANÅS</t>
        </is>
      </c>
      <c r="G7252" t="n">
        <v>2.9</v>
      </c>
      <c r="H7252" t="n">
        <v>0</v>
      </c>
      <c r="I7252" t="n">
        <v>0</v>
      </c>
      <c r="J7252" t="n">
        <v>0</v>
      </c>
      <c r="K7252" t="n">
        <v>0</v>
      </c>
      <c r="L7252" t="n">
        <v>0</v>
      </c>
      <c r="M7252" t="n">
        <v>0</v>
      </c>
      <c r="N7252" t="n">
        <v>0</v>
      </c>
      <c r="O7252" t="n">
        <v>0</v>
      </c>
      <c r="P7252" t="n">
        <v>0</v>
      </c>
      <c r="Q7252" t="n">
        <v>0</v>
      </c>
      <c r="R7252" s="2" t="inlineStr"/>
    </row>
    <row r="7253" ht="15" customHeight="1">
      <c r="A7253" t="inlineStr">
        <is>
          <t>A 44164-2025</t>
        </is>
      </c>
      <c r="B7253" s="1" t="n">
        <v>45915.59814814815</v>
      </c>
      <c r="C7253" s="1" t="n">
        <v>45962</v>
      </c>
      <c r="D7253" t="inlineStr">
        <is>
          <t>JÖNKÖPINGS LÄN</t>
        </is>
      </c>
      <c r="E7253" t="inlineStr">
        <is>
          <t>VÄRNAMO</t>
        </is>
      </c>
      <c r="F7253" t="inlineStr">
        <is>
          <t>Sveaskog</t>
        </is>
      </c>
      <c r="G7253" t="n">
        <v>0.7</v>
      </c>
      <c r="H7253" t="n">
        <v>0</v>
      </c>
      <c r="I7253" t="n">
        <v>0</v>
      </c>
      <c r="J7253" t="n">
        <v>0</v>
      </c>
      <c r="K7253" t="n">
        <v>0</v>
      </c>
      <c r="L7253" t="n">
        <v>0</v>
      </c>
      <c r="M7253" t="n">
        <v>0</v>
      </c>
      <c r="N7253" t="n">
        <v>0</v>
      </c>
      <c r="O7253" t="n">
        <v>0</v>
      </c>
      <c r="P7253" t="n">
        <v>0</v>
      </c>
      <c r="Q7253" t="n">
        <v>0</v>
      </c>
      <c r="R7253" s="2" t="inlineStr"/>
    </row>
    <row r="7254" ht="15" customHeight="1">
      <c r="A7254" t="inlineStr">
        <is>
          <t>A 52497-2025</t>
        </is>
      </c>
      <c r="B7254" s="1" t="n">
        <v>45954.4930787037</v>
      </c>
      <c r="C7254" s="1" t="n">
        <v>45962</v>
      </c>
      <c r="D7254" t="inlineStr">
        <is>
          <t>JÖNKÖPINGS LÄN</t>
        </is>
      </c>
      <c r="E7254" t="inlineStr">
        <is>
          <t>TRANÅS</t>
        </is>
      </c>
      <c r="G7254" t="n">
        <v>1.8</v>
      </c>
      <c r="H7254" t="n">
        <v>0</v>
      </c>
      <c r="I7254" t="n">
        <v>0</v>
      </c>
      <c r="J7254" t="n">
        <v>0</v>
      </c>
      <c r="K7254" t="n">
        <v>0</v>
      </c>
      <c r="L7254" t="n">
        <v>0</v>
      </c>
      <c r="M7254" t="n">
        <v>0</v>
      </c>
      <c r="N7254" t="n">
        <v>0</v>
      </c>
      <c r="O7254" t="n">
        <v>0</v>
      </c>
      <c r="P7254" t="n">
        <v>0</v>
      </c>
      <c r="Q7254" t="n">
        <v>0</v>
      </c>
      <c r="R7254" s="2" t="inlineStr"/>
    </row>
    <row r="7255" ht="15" customHeight="1">
      <c r="A7255" t="inlineStr">
        <is>
          <t>A 52570-2025</t>
        </is>
      </c>
      <c r="B7255" s="1" t="n">
        <v>45954.59898148148</v>
      </c>
      <c r="C7255" s="1" t="n">
        <v>45962</v>
      </c>
      <c r="D7255" t="inlineStr">
        <is>
          <t>JÖNKÖPINGS LÄN</t>
        </is>
      </c>
      <c r="E7255" t="inlineStr">
        <is>
          <t>EKSJÖ</t>
        </is>
      </c>
      <c r="F7255" t="inlineStr">
        <is>
          <t>Kyrkan</t>
        </is>
      </c>
      <c r="G7255" t="n">
        <v>3</v>
      </c>
      <c r="H7255" t="n">
        <v>0</v>
      </c>
      <c r="I7255" t="n">
        <v>0</v>
      </c>
      <c r="J7255" t="n">
        <v>0</v>
      </c>
      <c r="K7255" t="n">
        <v>0</v>
      </c>
      <c r="L7255" t="n">
        <v>0</v>
      </c>
      <c r="M7255" t="n">
        <v>0</v>
      </c>
      <c r="N7255" t="n">
        <v>0</v>
      </c>
      <c r="O7255" t="n">
        <v>0</v>
      </c>
      <c r="P7255" t="n">
        <v>0</v>
      </c>
      <c r="Q7255" t="n">
        <v>0</v>
      </c>
      <c r="R7255" s="2" t="inlineStr"/>
    </row>
    <row r="7256" ht="15" customHeight="1">
      <c r="A7256" t="inlineStr">
        <is>
          <t>A 44159-2025</t>
        </is>
      </c>
      <c r="B7256" s="1" t="n">
        <v>45915.59641203703</v>
      </c>
      <c r="C7256" s="1" t="n">
        <v>45962</v>
      </c>
      <c r="D7256" t="inlineStr">
        <is>
          <t>JÖNKÖPINGS LÄN</t>
        </is>
      </c>
      <c r="E7256" t="inlineStr">
        <is>
          <t>VÄRNAMO</t>
        </is>
      </c>
      <c r="F7256" t="inlineStr">
        <is>
          <t>Sveaskog</t>
        </is>
      </c>
      <c r="G7256" t="n">
        <v>0.6</v>
      </c>
      <c r="H7256" t="n">
        <v>0</v>
      </c>
      <c r="I7256" t="n">
        <v>0</v>
      </c>
      <c r="J7256" t="n">
        <v>0</v>
      </c>
      <c r="K7256" t="n">
        <v>0</v>
      </c>
      <c r="L7256" t="n">
        <v>0</v>
      </c>
      <c r="M7256" t="n">
        <v>0</v>
      </c>
      <c r="N7256" t="n">
        <v>0</v>
      </c>
      <c r="O7256" t="n">
        <v>0</v>
      </c>
      <c r="P7256" t="n">
        <v>0</v>
      </c>
      <c r="Q7256" t="n">
        <v>0</v>
      </c>
      <c r="R7256" s="2" t="inlineStr"/>
    </row>
    <row r="7257" ht="15" customHeight="1">
      <c r="A7257" t="inlineStr">
        <is>
          <t>A 44126-2025</t>
        </is>
      </c>
      <c r="B7257" s="1" t="n">
        <v>45915</v>
      </c>
      <c r="C7257" s="1" t="n">
        <v>45962</v>
      </c>
      <c r="D7257" t="inlineStr">
        <is>
          <t>JÖNKÖPINGS LÄN</t>
        </is>
      </c>
      <c r="E7257" t="inlineStr">
        <is>
          <t>GNOSJÖ</t>
        </is>
      </c>
      <c r="G7257" t="n">
        <v>1.6</v>
      </c>
      <c r="H7257" t="n">
        <v>0</v>
      </c>
      <c r="I7257" t="n">
        <v>0</v>
      </c>
      <c r="J7257" t="n">
        <v>0</v>
      </c>
      <c r="K7257" t="n">
        <v>0</v>
      </c>
      <c r="L7257" t="n">
        <v>0</v>
      </c>
      <c r="M7257" t="n">
        <v>0</v>
      </c>
      <c r="N7257" t="n">
        <v>0</v>
      </c>
      <c r="O7257" t="n">
        <v>0</v>
      </c>
      <c r="P7257" t="n">
        <v>0</v>
      </c>
      <c r="Q7257" t="n">
        <v>0</v>
      </c>
      <c r="R7257" s="2" t="inlineStr"/>
    </row>
    <row r="7258" ht="15" customHeight="1">
      <c r="A7258" t="inlineStr">
        <is>
          <t>A 44148-2025</t>
        </is>
      </c>
      <c r="B7258" s="1" t="n">
        <v>45915.59313657408</v>
      </c>
      <c r="C7258" s="1" t="n">
        <v>45962</v>
      </c>
      <c r="D7258" t="inlineStr">
        <is>
          <t>JÖNKÖPINGS LÄN</t>
        </is>
      </c>
      <c r="E7258" t="inlineStr">
        <is>
          <t>VÄRNAMO</t>
        </is>
      </c>
      <c r="F7258" t="inlineStr">
        <is>
          <t>Sveaskog</t>
        </is>
      </c>
      <c r="G7258" t="n">
        <v>5.1</v>
      </c>
      <c r="H7258" t="n">
        <v>0</v>
      </c>
      <c r="I7258" t="n">
        <v>0</v>
      </c>
      <c r="J7258" t="n">
        <v>0</v>
      </c>
      <c r="K7258" t="n">
        <v>0</v>
      </c>
      <c r="L7258" t="n">
        <v>0</v>
      </c>
      <c r="M7258" t="n">
        <v>0</v>
      </c>
      <c r="N7258" t="n">
        <v>0</v>
      </c>
      <c r="O7258" t="n">
        <v>0</v>
      </c>
      <c r="P7258" t="n">
        <v>0</v>
      </c>
      <c r="Q7258" t="n">
        <v>0</v>
      </c>
      <c r="R7258" s="2" t="inlineStr"/>
    </row>
    <row r="7259" ht="15" customHeight="1">
      <c r="A7259" t="inlineStr">
        <is>
          <t>A 44154-2025</t>
        </is>
      </c>
      <c r="B7259" s="1" t="n">
        <v>45915.59488425926</v>
      </c>
      <c r="C7259" s="1" t="n">
        <v>45962</v>
      </c>
      <c r="D7259" t="inlineStr">
        <is>
          <t>JÖNKÖPINGS LÄN</t>
        </is>
      </c>
      <c r="E7259" t="inlineStr">
        <is>
          <t>VÄRNAMO</t>
        </is>
      </c>
      <c r="F7259" t="inlineStr">
        <is>
          <t>Sveaskog</t>
        </is>
      </c>
      <c r="G7259" t="n">
        <v>3.9</v>
      </c>
      <c r="H7259" t="n">
        <v>0</v>
      </c>
      <c r="I7259" t="n">
        <v>0</v>
      </c>
      <c r="J7259" t="n">
        <v>0</v>
      </c>
      <c r="K7259" t="n">
        <v>0</v>
      </c>
      <c r="L7259" t="n">
        <v>0</v>
      </c>
      <c r="M7259" t="n">
        <v>0</v>
      </c>
      <c r="N7259" t="n">
        <v>0</v>
      </c>
      <c r="O7259" t="n">
        <v>0</v>
      </c>
      <c r="P7259" t="n">
        <v>0</v>
      </c>
      <c r="Q7259" t="n">
        <v>0</v>
      </c>
      <c r="R7259" s="2" t="inlineStr"/>
    </row>
    <row r="7260" ht="15" customHeight="1">
      <c r="A7260" t="inlineStr">
        <is>
          <t>A 43957-2025</t>
        </is>
      </c>
      <c r="B7260" s="1" t="n">
        <v>45915.3867824074</v>
      </c>
      <c r="C7260" s="1" t="n">
        <v>45962</v>
      </c>
      <c r="D7260" t="inlineStr">
        <is>
          <t>JÖNKÖPINGS LÄN</t>
        </is>
      </c>
      <c r="E7260" t="inlineStr">
        <is>
          <t>VÄRNAMO</t>
        </is>
      </c>
      <c r="G7260" t="n">
        <v>1.9</v>
      </c>
      <c r="H7260" t="n">
        <v>0</v>
      </c>
      <c r="I7260" t="n">
        <v>0</v>
      </c>
      <c r="J7260" t="n">
        <v>0</v>
      </c>
      <c r="K7260" t="n">
        <v>0</v>
      </c>
      <c r="L7260" t="n">
        <v>0</v>
      </c>
      <c r="M7260" t="n">
        <v>0</v>
      </c>
      <c r="N7260" t="n">
        <v>0</v>
      </c>
      <c r="O7260" t="n">
        <v>0</v>
      </c>
      <c r="P7260" t="n">
        <v>0</v>
      </c>
      <c r="Q7260" t="n">
        <v>0</v>
      </c>
      <c r="R7260" s="2" t="inlineStr"/>
    </row>
    <row r="7261" ht="15" customHeight="1">
      <c r="A7261" t="inlineStr">
        <is>
          <t>A 49610-2025</t>
        </is>
      </c>
      <c r="B7261" s="1" t="n">
        <v>45939.57327546296</v>
      </c>
      <c r="C7261" s="1" t="n">
        <v>45962</v>
      </c>
      <c r="D7261" t="inlineStr">
        <is>
          <t>JÖNKÖPINGS LÄN</t>
        </is>
      </c>
      <c r="E7261" t="inlineStr">
        <is>
          <t>TRANÅS</t>
        </is>
      </c>
      <c r="G7261" t="n">
        <v>0.7</v>
      </c>
      <c r="H7261" t="n">
        <v>0</v>
      </c>
      <c r="I7261" t="n">
        <v>0</v>
      </c>
      <c r="J7261" t="n">
        <v>0</v>
      </c>
      <c r="K7261" t="n">
        <v>0</v>
      </c>
      <c r="L7261" t="n">
        <v>0</v>
      </c>
      <c r="M7261" t="n">
        <v>0</v>
      </c>
      <c r="N7261" t="n">
        <v>0</v>
      </c>
      <c r="O7261" t="n">
        <v>0</v>
      </c>
      <c r="P7261" t="n">
        <v>0</v>
      </c>
      <c r="Q7261" t="n">
        <v>0</v>
      </c>
      <c r="R7261" s="2" t="inlineStr"/>
    </row>
    <row r="7262" ht="15" customHeight="1">
      <c r="A7262" t="inlineStr">
        <is>
          <t>A 53005-2025</t>
        </is>
      </c>
      <c r="B7262" s="1" t="n">
        <v>45957.77280092592</v>
      </c>
      <c r="C7262" s="1" t="n">
        <v>45962</v>
      </c>
      <c r="D7262" t="inlineStr">
        <is>
          <t>JÖNKÖPINGS LÄN</t>
        </is>
      </c>
      <c r="E7262" t="inlineStr">
        <is>
          <t>VÄRNAMO</t>
        </is>
      </c>
      <c r="G7262" t="n">
        <v>0.4</v>
      </c>
      <c r="H7262" t="n">
        <v>0</v>
      </c>
      <c r="I7262" t="n">
        <v>0</v>
      </c>
      <c r="J7262" t="n">
        <v>0</v>
      </c>
      <c r="K7262" t="n">
        <v>0</v>
      </c>
      <c r="L7262" t="n">
        <v>0</v>
      </c>
      <c r="M7262" t="n">
        <v>0</v>
      </c>
      <c r="N7262" t="n">
        <v>0</v>
      </c>
      <c r="O7262" t="n">
        <v>0</v>
      </c>
      <c r="P7262" t="n">
        <v>0</v>
      </c>
      <c r="Q7262" t="n">
        <v>0</v>
      </c>
      <c r="R7262" s="2" t="inlineStr"/>
    </row>
    <row r="7263" ht="15" customHeight="1">
      <c r="A7263" t="inlineStr">
        <is>
          <t>A 53006-2025</t>
        </is>
      </c>
      <c r="B7263" s="1" t="n">
        <v>45957.77527777778</v>
      </c>
      <c r="C7263" s="1" t="n">
        <v>45962</v>
      </c>
      <c r="D7263" t="inlineStr">
        <is>
          <t>JÖNKÖPINGS LÄN</t>
        </is>
      </c>
      <c r="E7263" t="inlineStr">
        <is>
          <t>VÄRNAMO</t>
        </is>
      </c>
      <c r="G7263" t="n">
        <v>0.6</v>
      </c>
      <c r="H7263" t="n">
        <v>0</v>
      </c>
      <c r="I7263" t="n">
        <v>0</v>
      </c>
      <c r="J7263" t="n">
        <v>0</v>
      </c>
      <c r="K7263" t="n">
        <v>0</v>
      </c>
      <c r="L7263" t="n">
        <v>0</v>
      </c>
      <c r="M7263" t="n">
        <v>0</v>
      </c>
      <c r="N7263" t="n">
        <v>0</v>
      </c>
      <c r="O7263" t="n">
        <v>0</v>
      </c>
      <c r="P7263" t="n">
        <v>0</v>
      </c>
      <c r="Q7263" t="n">
        <v>0</v>
      </c>
      <c r="R7263" s="2" t="inlineStr"/>
    </row>
    <row r="7264" ht="15" customHeight="1">
      <c r="A7264" t="inlineStr">
        <is>
          <t>A 43666-2025</t>
        </is>
      </c>
      <c r="B7264" s="1" t="n">
        <v>45912.35192129629</v>
      </c>
      <c r="C7264" s="1" t="n">
        <v>45962</v>
      </c>
      <c r="D7264" t="inlineStr">
        <is>
          <t>JÖNKÖPINGS LÄN</t>
        </is>
      </c>
      <c r="E7264" t="inlineStr">
        <is>
          <t>VÄRNAMO</t>
        </is>
      </c>
      <c r="G7264" t="n">
        <v>1.7</v>
      </c>
      <c r="H7264" t="n">
        <v>0</v>
      </c>
      <c r="I7264" t="n">
        <v>0</v>
      </c>
      <c r="J7264" t="n">
        <v>0</v>
      </c>
      <c r="K7264" t="n">
        <v>0</v>
      </c>
      <c r="L7264" t="n">
        <v>0</v>
      </c>
      <c r="M7264" t="n">
        <v>0</v>
      </c>
      <c r="N7264" t="n">
        <v>0</v>
      </c>
      <c r="O7264" t="n">
        <v>0</v>
      </c>
      <c r="P7264" t="n">
        <v>0</v>
      </c>
      <c r="Q7264" t="n">
        <v>0</v>
      </c>
      <c r="R7264" s="2" t="inlineStr"/>
    </row>
    <row r="7265" ht="15" customHeight="1">
      <c r="A7265" t="inlineStr">
        <is>
          <t>A 44090-2025</t>
        </is>
      </c>
      <c r="B7265" s="1" t="n">
        <v>45915.5594212963</v>
      </c>
      <c r="C7265" s="1" t="n">
        <v>45962</v>
      </c>
      <c r="D7265" t="inlineStr">
        <is>
          <t>JÖNKÖPINGS LÄN</t>
        </is>
      </c>
      <c r="E7265" t="inlineStr">
        <is>
          <t>EKSJÖ</t>
        </is>
      </c>
      <c r="G7265" t="n">
        <v>2.3</v>
      </c>
      <c r="H7265" t="n">
        <v>0</v>
      </c>
      <c r="I7265" t="n">
        <v>0</v>
      </c>
      <c r="J7265" t="n">
        <v>0</v>
      </c>
      <c r="K7265" t="n">
        <v>0</v>
      </c>
      <c r="L7265" t="n">
        <v>0</v>
      </c>
      <c r="M7265" t="n">
        <v>0</v>
      </c>
      <c r="N7265" t="n">
        <v>0</v>
      </c>
      <c r="O7265" t="n">
        <v>0</v>
      </c>
      <c r="P7265" t="n">
        <v>0</v>
      </c>
      <c r="Q7265" t="n">
        <v>0</v>
      </c>
      <c r="R7265" s="2" t="inlineStr"/>
    </row>
    <row r="7266" ht="15" customHeight="1">
      <c r="A7266" t="inlineStr">
        <is>
          <t>A 43991-2025</t>
        </is>
      </c>
      <c r="B7266" s="1" t="n">
        <v>45915.44439814815</v>
      </c>
      <c r="C7266" s="1" t="n">
        <v>45962</v>
      </c>
      <c r="D7266" t="inlineStr">
        <is>
          <t>JÖNKÖPINGS LÄN</t>
        </is>
      </c>
      <c r="E7266" t="inlineStr">
        <is>
          <t>JÖNKÖPING</t>
        </is>
      </c>
      <c r="G7266" t="n">
        <v>2.7</v>
      </c>
      <c r="H7266" t="n">
        <v>0</v>
      </c>
      <c r="I7266" t="n">
        <v>0</v>
      </c>
      <c r="J7266" t="n">
        <v>0</v>
      </c>
      <c r="K7266" t="n">
        <v>0</v>
      </c>
      <c r="L7266" t="n">
        <v>0</v>
      </c>
      <c r="M7266" t="n">
        <v>0</v>
      </c>
      <c r="N7266" t="n">
        <v>0</v>
      </c>
      <c r="O7266" t="n">
        <v>0</v>
      </c>
      <c r="P7266" t="n">
        <v>0</v>
      </c>
      <c r="Q7266" t="n">
        <v>0</v>
      </c>
      <c r="R7266" s="2" t="inlineStr"/>
    </row>
    <row r="7267" ht="15" customHeight="1">
      <c r="A7267" t="inlineStr">
        <is>
          <t>A 44007-2025</t>
        </is>
      </c>
      <c r="B7267" s="1" t="n">
        <v>45915</v>
      </c>
      <c r="C7267" s="1" t="n">
        <v>45962</v>
      </c>
      <c r="D7267" t="inlineStr">
        <is>
          <t>JÖNKÖPINGS LÄN</t>
        </is>
      </c>
      <c r="E7267" t="inlineStr">
        <is>
          <t>JÖNKÖPING</t>
        </is>
      </c>
      <c r="G7267" t="n">
        <v>3.8</v>
      </c>
      <c r="H7267" t="n">
        <v>0</v>
      </c>
      <c r="I7267" t="n">
        <v>0</v>
      </c>
      <c r="J7267" t="n">
        <v>0</v>
      </c>
      <c r="K7267" t="n">
        <v>0</v>
      </c>
      <c r="L7267" t="n">
        <v>0</v>
      </c>
      <c r="M7267" t="n">
        <v>0</v>
      </c>
      <c r="N7267" t="n">
        <v>0</v>
      </c>
      <c r="O7267" t="n">
        <v>0</v>
      </c>
      <c r="P7267" t="n">
        <v>0</v>
      </c>
      <c r="Q7267" t="n">
        <v>0</v>
      </c>
      <c r="R7267" s="2" t="inlineStr"/>
    </row>
    <row r="7268" ht="15" customHeight="1">
      <c r="A7268" t="inlineStr">
        <is>
          <t>A 44010-2025</t>
        </is>
      </c>
      <c r="B7268" s="1" t="n">
        <v>45915.46344907407</v>
      </c>
      <c r="C7268" s="1" t="n">
        <v>45962</v>
      </c>
      <c r="D7268" t="inlineStr">
        <is>
          <t>JÖNKÖPINGS LÄN</t>
        </is>
      </c>
      <c r="E7268" t="inlineStr">
        <is>
          <t>JÖNKÖPING</t>
        </is>
      </c>
      <c r="G7268" t="n">
        <v>5.4</v>
      </c>
      <c r="H7268" t="n">
        <v>0</v>
      </c>
      <c r="I7268" t="n">
        <v>0</v>
      </c>
      <c r="J7268" t="n">
        <v>0</v>
      </c>
      <c r="K7268" t="n">
        <v>0</v>
      </c>
      <c r="L7268" t="n">
        <v>0</v>
      </c>
      <c r="M7268" t="n">
        <v>0</v>
      </c>
      <c r="N7268" t="n">
        <v>0</v>
      </c>
      <c r="O7268" t="n">
        <v>0</v>
      </c>
      <c r="P7268" t="n">
        <v>0</v>
      </c>
      <c r="Q7268" t="n">
        <v>0</v>
      </c>
      <c r="R7268" s="2" t="inlineStr"/>
    </row>
    <row r="7269" ht="15" customHeight="1">
      <c r="A7269" t="inlineStr">
        <is>
          <t>A 52978-2025</t>
        </is>
      </c>
      <c r="B7269" s="1" t="n">
        <v>45957.68560185185</v>
      </c>
      <c r="C7269" s="1" t="n">
        <v>45962</v>
      </c>
      <c r="D7269" t="inlineStr">
        <is>
          <t>JÖNKÖPINGS LÄN</t>
        </is>
      </c>
      <c r="E7269" t="inlineStr">
        <is>
          <t>JÖNKÖPING</t>
        </is>
      </c>
      <c r="G7269" t="n">
        <v>5</v>
      </c>
      <c r="H7269" t="n">
        <v>0</v>
      </c>
      <c r="I7269" t="n">
        <v>0</v>
      </c>
      <c r="J7269" t="n">
        <v>0</v>
      </c>
      <c r="K7269" t="n">
        <v>0</v>
      </c>
      <c r="L7269" t="n">
        <v>0</v>
      </c>
      <c r="M7269" t="n">
        <v>0</v>
      </c>
      <c r="N7269" t="n">
        <v>0</v>
      </c>
      <c r="O7269" t="n">
        <v>0</v>
      </c>
      <c r="P7269" t="n">
        <v>0</v>
      </c>
      <c r="Q7269" t="n">
        <v>0</v>
      </c>
      <c r="R7269" s="2" t="inlineStr"/>
    </row>
    <row r="7270" ht="15" customHeight="1">
      <c r="A7270" t="inlineStr">
        <is>
          <t>A 43645-2025</t>
        </is>
      </c>
      <c r="B7270" s="1" t="n">
        <v>45912.26643518519</v>
      </c>
      <c r="C7270" s="1" t="n">
        <v>45962</v>
      </c>
      <c r="D7270" t="inlineStr">
        <is>
          <t>JÖNKÖPINGS LÄN</t>
        </is>
      </c>
      <c r="E7270" t="inlineStr">
        <is>
          <t>GISLAVED</t>
        </is>
      </c>
      <c r="G7270" t="n">
        <v>1.5</v>
      </c>
      <c r="H7270" t="n">
        <v>0</v>
      </c>
      <c r="I7270" t="n">
        <v>0</v>
      </c>
      <c r="J7270" t="n">
        <v>0</v>
      </c>
      <c r="K7270" t="n">
        <v>0</v>
      </c>
      <c r="L7270" t="n">
        <v>0</v>
      </c>
      <c r="M7270" t="n">
        <v>0</v>
      </c>
      <c r="N7270" t="n">
        <v>0</v>
      </c>
      <c r="O7270" t="n">
        <v>0</v>
      </c>
      <c r="P7270" t="n">
        <v>0</v>
      </c>
      <c r="Q7270" t="n">
        <v>0</v>
      </c>
      <c r="R7270" s="2" t="inlineStr"/>
    </row>
    <row r="7271" ht="15" customHeight="1">
      <c r="A7271" t="inlineStr">
        <is>
          <t>A 43749-2025</t>
        </is>
      </c>
      <c r="B7271" s="1" t="n">
        <v>45912.4652199074</v>
      </c>
      <c r="C7271" s="1" t="n">
        <v>45962</v>
      </c>
      <c r="D7271" t="inlineStr">
        <is>
          <t>JÖNKÖPINGS LÄN</t>
        </is>
      </c>
      <c r="E7271" t="inlineStr">
        <is>
          <t>TRANÅS</t>
        </is>
      </c>
      <c r="G7271" t="n">
        <v>1.7</v>
      </c>
      <c r="H7271" t="n">
        <v>0</v>
      </c>
      <c r="I7271" t="n">
        <v>0</v>
      </c>
      <c r="J7271" t="n">
        <v>0</v>
      </c>
      <c r="K7271" t="n">
        <v>0</v>
      </c>
      <c r="L7271" t="n">
        <v>0</v>
      </c>
      <c r="M7271" t="n">
        <v>0</v>
      </c>
      <c r="N7271" t="n">
        <v>0</v>
      </c>
      <c r="O7271" t="n">
        <v>0</v>
      </c>
      <c r="P7271" t="n">
        <v>0</v>
      </c>
      <c r="Q7271" t="n">
        <v>0</v>
      </c>
      <c r="R7271" s="2" t="inlineStr"/>
    </row>
    <row r="7272" ht="15" customHeight="1">
      <c r="A7272" t="inlineStr">
        <is>
          <t>A 42318-2025</t>
        </is>
      </c>
      <c r="B7272" s="1" t="n">
        <v>45904.66633101852</v>
      </c>
      <c r="C7272" s="1" t="n">
        <v>45962</v>
      </c>
      <c r="D7272" t="inlineStr">
        <is>
          <t>JÖNKÖPINGS LÄN</t>
        </is>
      </c>
      <c r="E7272" t="inlineStr">
        <is>
          <t>NÄSSJÖ</t>
        </is>
      </c>
      <c r="G7272" t="n">
        <v>1.7</v>
      </c>
      <c r="H7272" t="n">
        <v>0</v>
      </c>
      <c r="I7272" t="n">
        <v>0</v>
      </c>
      <c r="J7272" t="n">
        <v>0</v>
      </c>
      <c r="K7272" t="n">
        <v>0</v>
      </c>
      <c r="L7272" t="n">
        <v>0</v>
      </c>
      <c r="M7272" t="n">
        <v>0</v>
      </c>
      <c r="N7272" t="n">
        <v>0</v>
      </c>
      <c r="O7272" t="n">
        <v>0</v>
      </c>
      <c r="P7272" t="n">
        <v>0</v>
      </c>
      <c r="Q7272" t="n">
        <v>0</v>
      </c>
      <c r="R7272" s="2" t="inlineStr"/>
    </row>
    <row r="7273" ht="15" customHeight="1">
      <c r="A7273" t="inlineStr">
        <is>
          <t>A 44254-2025</t>
        </is>
      </c>
      <c r="B7273" s="1" t="n">
        <v>45915.7137962963</v>
      </c>
      <c r="C7273" s="1" t="n">
        <v>45962</v>
      </c>
      <c r="D7273" t="inlineStr">
        <is>
          <t>JÖNKÖPINGS LÄN</t>
        </is>
      </c>
      <c r="E7273" t="inlineStr">
        <is>
          <t>VETLANDA</t>
        </is>
      </c>
      <c r="G7273" t="n">
        <v>1</v>
      </c>
      <c r="H7273" t="n">
        <v>0</v>
      </c>
      <c r="I7273" t="n">
        <v>0</v>
      </c>
      <c r="J7273" t="n">
        <v>0</v>
      </c>
      <c r="K7273" t="n">
        <v>0</v>
      </c>
      <c r="L7273" t="n">
        <v>0</v>
      </c>
      <c r="M7273" t="n">
        <v>0</v>
      </c>
      <c r="N7273" t="n">
        <v>0</v>
      </c>
      <c r="O7273" t="n">
        <v>0</v>
      </c>
      <c r="P7273" t="n">
        <v>0</v>
      </c>
      <c r="Q7273" t="n">
        <v>0</v>
      </c>
      <c r="R7273" s="2" t="inlineStr"/>
    </row>
    <row r="7274" ht="15" customHeight="1">
      <c r="A7274" t="inlineStr">
        <is>
          <t>A 52669-2025</t>
        </is>
      </c>
      <c r="B7274" s="1" t="n">
        <v>45955.82673611111</v>
      </c>
      <c r="C7274" s="1" t="n">
        <v>45962</v>
      </c>
      <c r="D7274" t="inlineStr">
        <is>
          <t>JÖNKÖPINGS LÄN</t>
        </is>
      </c>
      <c r="E7274" t="inlineStr">
        <is>
          <t>SÄVSJÖ</t>
        </is>
      </c>
      <c r="G7274" t="n">
        <v>5.2</v>
      </c>
      <c r="H7274" t="n">
        <v>0</v>
      </c>
      <c r="I7274" t="n">
        <v>0</v>
      </c>
      <c r="J7274" t="n">
        <v>0</v>
      </c>
      <c r="K7274" t="n">
        <v>0</v>
      </c>
      <c r="L7274" t="n">
        <v>0</v>
      </c>
      <c r="M7274" t="n">
        <v>0</v>
      </c>
      <c r="N7274" t="n">
        <v>0</v>
      </c>
      <c r="O7274" t="n">
        <v>0</v>
      </c>
      <c r="P7274" t="n">
        <v>0</v>
      </c>
      <c r="Q7274" t="n">
        <v>0</v>
      </c>
      <c r="R7274" s="2" t="inlineStr"/>
    </row>
    <row r="7275" ht="15" customHeight="1">
      <c r="A7275" t="inlineStr">
        <is>
          <t>A 52883-2025</t>
        </is>
      </c>
      <c r="B7275" s="1" t="n">
        <v>45957.55767361111</v>
      </c>
      <c r="C7275" s="1" t="n">
        <v>45962</v>
      </c>
      <c r="D7275" t="inlineStr">
        <is>
          <t>JÖNKÖPINGS LÄN</t>
        </is>
      </c>
      <c r="E7275" t="inlineStr">
        <is>
          <t>VÄRNAMO</t>
        </is>
      </c>
      <c r="G7275" t="n">
        <v>0.8</v>
      </c>
      <c r="H7275" t="n">
        <v>0</v>
      </c>
      <c r="I7275" t="n">
        <v>0</v>
      </c>
      <c r="J7275" t="n">
        <v>0</v>
      </c>
      <c r="K7275" t="n">
        <v>0</v>
      </c>
      <c r="L7275" t="n">
        <v>0</v>
      </c>
      <c r="M7275" t="n">
        <v>0</v>
      </c>
      <c r="N7275" t="n">
        <v>0</v>
      </c>
      <c r="O7275" t="n">
        <v>0</v>
      </c>
      <c r="P7275" t="n">
        <v>0</v>
      </c>
      <c r="Q7275" t="n">
        <v>0</v>
      </c>
      <c r="R7275" s="2" t="inlineStr"/>
    </row>
    <row r="7276" ht="15" customHeight="1">
      <c r="A7276" t="inlineStr">
        <is>
          <t>A 52940-2025</t>
        </is>
      </c>
      <c r="B7276" s="1" t="n">
        <v>45957.6397337963</v>
      </c>
      <c r="C7276" s="1" t="n">
        <v>45962</v>
      </c>
      <c r="D7276" t="inlineStr">
        <is>
          <t>JÖNKÖPINGS LÄN</t>
        </is>
      </c>
      <c r="E7276" t="inlineStr">
        <is>
          <t>JÖNKÖPING</t>
        </is>
      </c>
      <c r="G7276" t="n">
        <v>0.8</v>
      </c>
      <c r="H7276" t="n">
        <v>0</v>
      </c>
      <c r="I7276" t="n">
        <v>0</v>
      </c>
      <c r="J7276" t="n">
        <v>0</v>
      </c>
      <c r="K7276" t="n">
        <v>0</v>
      </c>
      <c r="L7276" t="n">
        <v>0</v>
      </c>
      <c r="M7276" t="n">
        <v>0</v>
      </c>
      <c r="N7276" t="n">
        <v>0</v>
      </c>
      <c r="O7276" t="n">
        <v>0</v>
      </c>
      <c r="P7276" t="n">
        <v>0</v>
      </c>
      <c r="Q7276" t="n">
        <v>0</v>
      </c>
      <c r="R7276" s="2" t="inlineStr"/>
    </row>
    <row r="7277" ht="15" customHeight="1">
      <c r="A7277" t="inlineStr">
        <is>
          <t>A 52718-2025</t>
        </is>
      </c>
      <c r="B7277" s="1" t="n">
        <v>45953</v>
      </c>
      <c r="C7277" s="1" t="n">
        <v>45962</v>
      </c>
      <c r="D7277" t="inlineStr">
        <is>
          <t>JÖNKÖPINGS LÄN</t>
        </is>
      </c>
      <c r="E7277" t="inlineStr">
        <is>
          <t>ANEBY</t>
        </is>
      </c>
      <c r="G7277" t="n">
        <v>3.8</v>
      </c>
      <c r="H7277" t="n">
        <v>0</v>
      </c>
      <c r="I7277" t="n">
        <v>0</v>
      </c>
      <c r="J7277" t="n">
        <v>0</v>
      </c>
      <c r="K7277" t="n">
        <v>0</v>
      </c>
      <c r="L7277" t="n">
        <v>0</v>
      </c>
      <c r="M7277" t="n">
        <v>0</v>
      </c>
      <c r="N7277" t="n">
        <v>0</v>
      </c>
      <c r="O7277" t="n">
        <v>0</v>
      </c>
      <c r="P7277" t="n">
        <v>0</v>
      </c>
      <c r="Q7277" t="n">
        <v>0</v>
      </c>
      <c r="R7277" s="2" t="inlineStr"/>
    </row>
    <row r="7278" ht="15" customHeight="1">
      <c r="A7278" t="inlineStr">
        <is>
          <t>A 44029-2025</t>
        </is>
      </c>
      <c r="B7278" s="1" t="n">
        <v>45915.48984953704</v>
      </c>
      <c r="C7278" s="1" t="n">
        <v>45962</v>
      </c>
      <c r="D7278" t="inlineStr">
        <is>
          <t>JÖNKÖPINGS LÄN</t>
        </is>
      </c>
      <c r="E7278" t="inlineStr">
        <is>
          <t>SÄVSJÖ</t>
        </is>
      </c>
      <c r="G7278" t="n">
        <v>0.6</v>
      </c>
      <c r="H7278" t="n">
        <v>0</v>
      </c>
      <c r="I7278" t="n">
        <v>0</v>
      </c>
      <c r="J7278" t="n">
        <v>0</v>
      </c>
      <c r="K7278" t="n">
        <v>0</v>
      </c>
      <c r="L7278" t="n">
        <v>0</v>
      </c>
      <c r="M7278" t="n">
        <v>0</v>
      </c>
      <c r="N7278" t="n">
        <v>0</v>
      </c>
      <c r="O7278" t="n">
        <v>0</v>
      </c>
      <c r="P7278" t="n">
        <v>0</v>
      </c>
      <c r="Q7278" t="n">
        <v>0</v>
      </c>
      <c r="R7278" s="2" t="inlineStr"/>
    </row>
    <row r="7279" ht="15" customHeight="1">
      <c r="A7279" t="inlineStr">
        <is>
          <t>A 52415-2025</t>
        </is>
      </c>
      <c r="B7279" s="1" t="n">
        <v>45954.36755787037</v>
      </c>
      <c r="C7279" s="1" t="n">
        <v>45962</v>
      </c>
      <c r="D7279" t="inlineStr">
        <is>
          <t>JÖNKÖPINGS LÄN</t>
        </is>
      </c>
      <c r="E7279" t="inlineStr">
        <is>
          <t>JÖNKÖPING</t>
        </is>
      </c>
      <c r="G7279" t="n">
        <v>0.9</v>
      </c>
      <c r="H7279" t="n">
        <v>0</v>
      </c>
      <c r="I7279" t="n">
        <v>0</v>
      </c>
      <c r="J7279" t="n">
        <v>0</v>
      </c>
      <c r="K7279" t="n">
        <v>0</v>
      </c>
      <c r="L7279" t="n">
        <v>0</v>
      </c>
      <c r="M7279" t="n">
        <v>0</v>
      </c>
      <c r="N7279" t="n">
        <v>0</v>
      </c>
      <c r="O7279" t="n">
        <v>0</v>
      </c>
      <c r="P7279" t="n">
        <v>0</v>
      </c>
      <c r="Q7279" t="n">
        <v>0</v>
      </c>
      <c r="R7279" s="2" t="inlineStr"/>
    </row>
    <row r="7280" ht="15" customHeight="1">
      <c r="A7280" t="inlineStr">
        <is>
          <t>A 43747-2025</t>
        </is>
      </c>
      <c r="B7280" s="1" t="n">
        <v>45912.46119212963</v>
      </c>
      <c r="C7280" s="1" t="n">
        <v>45962</v>
      </c>
      <c r="D7280" t="inlineStr">
        <is>
          <t>JÖNKÖPINGS LÄN</t>
        </is>
      </c>
      <c r="E7280" t="inlineStr">
        <is>
          <t>ANEBY</t>
        </is>
      </c>
      <c r="G7280" t="n">
        <v>2.8</v>
      </c>
      <c r="H7280" t="n">
        <v>0</v>
      </c>
      <c r="I7280" t="n">
        <v>0</v>
      </c>
      <c r="J7280" t="n">
        <v>0</v>
      </c>
      <c r="K7280" t="n">
        <v>0</v>
      </c>
      <c r="L7280" t="n">
        <v>0</v>
      </c>
      <c r="M7280" t="n">
        <v>0</v>
      </c>
      <c r="N7280" t="n">
        <v>0</v>
      </c>
      <c r="O7280" t="n">
        <v>0</v>
      </c>
      <c r="P7280" t="n">
        <v>0</v>
      </c>
      <c r="Q7280" t="n">
        <v>0</v>
      </c>
      <c r="R7280" s="2" t="inlineStr"/>
    </row>
    <row r="7281" ht="15" customHeight="1">
      <c r="A7281" t="inlineStr">
        <is>
          <t>A 43754-2025</t>
        </is>
      </c>
      <c r="B7281" s="1" t="n">
        <v>45912.47230324074</v>
      </c>
      <c r="C7281" s="1" t="n">
        <v>45962</v>
      </c>
      <c r="D7281" t="inlineStr">
        <is>
          <t>JÖNKÖPINGS LÄN</t>
        </is>
      </c>
      <c r="E7281" t="inlineStr">
        <is>
          <t>ANEBY</t>
        </is>
      </c>
      <c r="G7281" t="n">
        <v>2.1</v>
      </c>
      <c r="H7281" t="n">
        <v>0</v>
      </c>
      <c r="I7281" t="n">
        <v>0</v>
      </c>
      <c r="J7281" t="n">
        <v>0</v>
      </c>
      <c r="K7281" t="n">
        <v>0</v>
      </c>
      <c r="L7281" t="n">
        <v>0</v>
      </c>
      <c r="M7281" t="n">
        <v>0</v>
      </c>
      <c r="N7281" t="n">
        <v>0</v>
      </c>
      <c r="O7281" t="n">
        <v>0</v>
      </c>
      <c r="P7281" t="n">
        <v>0</v>
      </c>
      <c r="Q7281" t="n">
        <v>0</v>
      </c>
      <c r="R7281" s="2" t="inlineStr"/>
    </row>
    <row r="7282" ht="15" customHeight="1">
      <c r="A7282" t="inlineStr">
        <is>
          <t>A 43782-2025</t>
        </is>
      </c>
      <c r="B7282" s="1" t="n">
        <v>45912.52409722222</v>
      </c>
      <c r="C7282" s="1" t="n">
        <v>45962</v>
      </c>
      <c r="D7282" t="inlineStr">
        <is>
          <t>JÖNKÖPINGS LÄN</t>
        </is>
      </c>
      <c r="E7282" t="inlineStr">
        <is>
          <t>VÄRNAMO</t>
        </is>
      </c>
      <c r="G7282" t="n">
        <v>3</v>
      </c>
      <c r="H7282" t="n">
        <v>0</v>
      </c>
      <c r="I7282" t="n">
        <v>0</v>
      </c>
      <c r="J7282" t="n">
        <v>0</v>
      </c>
      <c r="K7282" t="n">
        <v>0</v>
      </c>
      <c r="L7282" t="n">
        <v>0</v>
      </c>
      <c r="M7282" t="n">
        <v>0</v>
      </c>
      <c r="N7282" t="n">
        <v>0</v>
      </c>
      <c r="O7282" t="n">
        <v>0</v>
      </c>
      <c r="P7282" t="n">
        <v>0</v>
      </c>
      <c r="Q7282" t="n">
        <v>0</v>
      </c>
      <c r="R7282" s="2" t="inlineStr"/>
    </row>
    <row r="7283" ht="15" customHeight="1">
      <c r="A7283" t="inlineStr">
        <is>
          <t>A 43745-2025</t>
        </is>
      </c>
      <c r="B7283" s="1" t="n">
        <v>45912.45949074074</v>
      </c>
      <c r="C7283" s="1" t="n">
        <v>45962</v>
      </c>
      <c r="D7283" t="inlineStr">
        <is>
          <t>JÖNKÖPINGS LÄN</t>
        </is>
      </c>
      <c r="E7283" t="inlineStr">
        <is>
          <t>EKSJÖ</t>
        </is>
      </c>
      <c r="G7283" t="n">
        <v>6.3</v>
      </c>
      <c r="H7283" t="n">
        <v>0</v>
      </c>
      <c r="I7283" t="n">
        <v>0</v>
      </c>
      <c r="J7283" t="n">
        <v>0</v>
      </c>
      <c r="K7283" t="n">
        <v>0</v>
      </c>
      <c r="L7283" t="n">
        <v>0</v>
      </c>
      <c r="M7283" t="n">
        <v>0</v>
      </c>
      <c r="N7283" t="n">
        <v>0</v>
      </c>
      <c r="O7283" t="n">
        <v>0</v>
      </c>
      <c r="P7283" t="n">
        <v>0</v>
      </c>
      <c r="Q7283" t="n">
        <v>0</v>
      </c>
      <c r="R7283" s="2" t="inlineStr"/>
    </row>
    <row r="7284" ht="15" customHeight="1">
      <c r="A7284" t="inlineStr">
        <is>
          <t>A 52826-2025</t>
        </is>
      </c>
      <c r="B7284" s="1" t="n">
        <v>45957.46925925926</v>
      </c>
      <c r="C7284" s="1" t="n">
        <v>45962</v>
      </c>
      <c r="D7284" t="inlineStr">
        <is>
          <t>JÖNKÖPINGS LÄN</t>
        </is>
      </c>
      <c r="E7284" t="inlineStr">
        <is>
          <t>VETLANDA</t>
        </is>
      </c>
      <c r="G7284" t="n">
        <v>5.7</v>
      </c>
      <c r="H7284" t="n">
        <v>0</v>
      </c>
      <c r="I7284" t="n">
        <v>0</v>
      </c>
      <c r="J7284" t="n">
        <v>0</v>
      </c>
      <c r="K7284" t="n">
        <v>0</v>
      </c>
      <c r="L7284" t="n">
        <v>0</v>
      </c>
      <c r="M7284" t="n">
        <v>0</v>
      </c>
      <c r="N7284" t="n">
        <v>0</v>
      </c>
      <c r="O7284" t="n">
        <v>0</v>
      </c>
      <c r="P7284" t="n">
        <v>0</v>
      </c>
      <c r="Q7284" t="n">
        <v>0</v>
      </c>
      <c r="R7284" s="2" t="inlineStr"/>
    </row>
    <row r="7285" ht="15" customHeight="1">
      <c r="A7285" t="inlineStr">
        <is>
          <t>A 21006-2025</t>
        </is>
      </c>
      <c r="B7285" s="1" t="n">
        <v>45777</v>
      </c>
      <c r="C7285" s="1" t="n">
        <v>45962</v>
      </c>
      <c r="D7285" t="inlineStr">
        <is>
          <t>JÖNKÖPINGS LÄN</t>
        </is>
      </c>
      <c r="E7285" t="inlineStr">
        <is>
          <t>JÖNKÖPING</t>
        </is>
      </c>
      <c r="G7285" t="n">
        <v>2.3</v>
      </c>
      <c r="H7285" t="n">
        <v>0</v>
      </c>
      <c r="I7285" t="n">
        <v>0</v>
      </c>
      <c r="J7285" t="n">
        <v>0</v>
      </c>
      <c r="K7285" t="n">
        <v>0</v>
      </c>
      <c r="L7285" t="n">
        <v>0</v>
      </c>
      <c r="M7285" t="n">
        <v>0</v>
      </c>
      <c r="N7285" t="n">
        <v>0</v>
      </c>
      <c r="O7285" t="n">
        <v>0</v>
      </c>
      <c r="P7285" t="n">
        <v>0</v>
      </c>
      <c r="Q7285" t="n">
        <v>0</v>
      </c>
      <c r="R7285" s="2" t="inlineStr"/>
    </row>
    <row r="7286" ht="15" customHeight="1">
      <c r="A7286" t="inlineStr">
        <is>
          <t>A 43528-2025</t>
        </is>
      </c>
      <c r="B7286" s="1" t="n">
        <v>45911</v>
      </c>
      <c r="C7286" s="1" t="n">
        <v>45962</v>
      </c>
      <c r="D7286" t="inlineStr">
        <is>
          <t>JÖNKÖPINGS LÄN</t>
        </is>
      </c>
      <c r="E7286" t="inlineStr">
        <is>
          <t>ANEBY</t>
        </is>
      </c>
      <c r="F7286" t="inlineStr">
        <is>
          <t>Övriga Aktiebolag</t>
        </is>
      </c>
      <c r="G7286" t="n">
        <v>0.5</v>
      </c>
      <c r="H7286" t="n">
        <v>0</v>
      </c>
      <c r="I7286" t="n">
        <v>0</v>
      </c>
      <c r="J7286" t="n">
        <v>0</v>
      </c>
      <c r="K7286" t="n">
        <v>0</v>
      </c>
      <c r="L7286" t="n">
        <v>0</v>
      </c>
      <c r="M7286" t="n">
        <v>0</v>
      </c>
      <c r="N7286" t="n">
        <v>0</v>
      </c>
      <c r="O7286" t="n">
        <v>0</v>
      </c>
      <c r="P7286" t="n">
        <v>0</v>
      </c>
      <c r="Q7286" t="n">
        <v>0</v>
      </c>
      <c r="R7286" s="2" t="inlineStr"/>
    </row>
    <row r="7287" ht="15" customHeight="1">
      <c r="A7287" t="inlineStr">
        <is>
          <t>A 43854-2025</t>
        </is>
      </c>
      <c r="B7287" s="1" t="n">
        <v>45912.6409375</v>
      </c>
      <c r="C7287" s="1" t="n">
        <v>45962</v>
      </c>
      <c r="D7287" t="inlineStr">
        <is>
          <t>JÖNKÖPINGS LÄN</t>
        </is>
      </c>
      <c r="E7287" t="inlineStr">
        <is>
          <t>VETLANDA</t>
        </is>
      </c>
      <c r="G7287" t="n">
        <v>1</v>
      </c>
      <c r="H7287" t="n">
        <v>0</v>
      </c>
      <c r="I7287" t="n">
        <v>0</v>
      </c>
      <c r="J7287" t="n">
        <v>0</v>
      </c>
      <c r="K7287" t="n">
        <v>0</v>
      </c>
      <c r="L7287" t="n">
        <v>0</v>
      </c>
      <c r="M7287" t="n">
        <v>0</v>
      </c>
      <c r="N7287" t="n">
        <v>0</v>
      </c>
      <c r="O7287" t="n">
        <v>0</v>
      </c>
      <c r="P7287" t="n">
        <v>0</v>
      </c>
      <c r="Q7287" t="n">
        <v>0</v>
      </c>
      <c r="R7287" s="2" t="inlineStr"/>
    </row>
    <row r="7288" ht="15" customHeight="1">
      <c r="A7288" t="inlineStr">
        <is>
          <t>A 43963-2025</t>
        </is>
      </c>
      <c r="B7288" s="1" t="n">
        <v>45915.39211805556</v>
      </c>
      <c r="C7288" s="1" t="n">
        <v>45962</v>
      </c>
      <c r="D7288" t="inlineStr">
        <is>
          <t>JÖNKÖPINGS LÄN</t>
        </is>
      </c>
      <c r="E7288" t="inlineStr">
        <is>
          <t>VÄRNAMO</t>
        </is>
      </c>
      <c r="G7288" t="n">
        <v>0.7</v>
      </c>
      <c r="H7288" t="n">
        <v>0</v>
      </c>
      <c r="I7288" t="n">
        <v>0</v>
      </c>
      <c r="J7288" t="n">
        <v>0</v>
      </c>
      <c r="K7288" t="n">
        <v>0</v>
      </c>
      <c r="L7288" t="n">
        <v>0</v>
      </c>
      <c r="M7288" t="n">
        <v>0</v>
      </c>
      <c r="N7288" t="n">
        <v>0</v>
      </c>
      <c r="O7288" t="n">
        <v>0</v>
      </c>
      <c r="P7288" t="n">
        <v>0</v>
      </c>
      <c r="Q7288" t="n">
        <v>0</v>
      </c>
      <c r="R7288" s="2" t="inlineStr"/>
    </row>
    <row r="7289" ht="15" customHeight="1">
      <c r="A7289" t="inlineStr">
        <is>
          <t>A 44221-2025</t>
        </is>
      </c>
      <c r="B7289" s="1" t="n">
        <v>45915.6369675926</v>
      </c>
      <c r="C7289" s="1" t="n">
        <v>45962</v>
      </c>
      <c r="D7289" t="inlineStr">
        <is>
          <t>JÖNKÖPINGS LÄN</t>
        </is>
      </c>
      <c r="E7289" t="inlineStr">
        <is>
          <t>TRANÅS</t>
        </is>
      </c>
      <c r="G7289" t="n">
        <v>3.2</v>
      </c>
      <c r="H7289" t="n">
        <v>0</v>
      </c>
      <c r="I7289" t="n">
        <v>0</v>
      </c>
      <c r="J7289" t="n">
        <v>0</v>
      </c>
      <c r="K7289" t="n">
        <v>0</v>
      </c>
      <c r="L7289" t="n">
        <v>0</v>
      </c>
      <c r="M7289" t="n">
        <v>0</v>
      </c>
      <c r="N7289" t="n">
        <v>0</v>
      </c>
      <c r="O7289" t="n">
        <v>0</v>
      </c>
      <c r="P7289" t="n">
        <v>0</v>
      </c>
      <c r="Q7289" t="n">
        <v>0</v>
      </c>
      <c r="R7289" s="2" t="inlineStr"/>
    </row>
    <row r="7290" ht="15" customHeight="1">
      <c r="A7290" t="inlineStr">
        <is>
          <t>A 43746-2025</t>
        </is>
      </c>
      <c r="B7290" s="1" t="n">
        <v>45912.46006944445</v>
      </c>
      <c r="C7290" s="1" t="n">
        <v>45962</v>
      </c>
      <c r="D7290" t="inlineStr">
        <is>
          <t>JÖNKÖPINGS LÄN</t>
        </is>
      </c>
      <c r="E7290" t="inlineStr">
        <is>
          <t>ANEBY</t>
        </is>
      </c>
      <c r="G7290" t="n">
        <v>6.9</v>
      </c>
      <c r="H7290" t="n">
        <v>0</v>
      </c>
      <c r="I7290" t="n">
        <v>0</v>
      </c>
      <c r="J7290" t="n">
        <v>0</v>
      </c>
      <c r="K7290" t="n">
        <v>0</v>
      </c>
      <c r="L7290" t="n">
        <v>0</v>
      </c>
      <c r="M7290" t="n">
        <v>0</v>
      </c>
      <c r="N7290" t="n">
        <v>0</v>
      </c>
      <c r="O7290" t="n">
        <v>0</v>
      </c>
      <c r="P7290" t="n">
        <v>0</v>
      </c>
      <c r="Q7290" t="n">
        <v>0</v>
      </c>
      <c r="R7290" s="2" t="inlineStr"/>
    </row>
    <row r="7291" ht="15" customHeight="1">
      <c r="A7291" t="inlineStr">
        <is>
          <t>A 43750-2025</t>
        </is>
      </c>
      <c r="B7291" s="1" t="n">
        <v>45912.4656712963</v>
      </c>
      <c r="C7291" s="1" t="n">
        <v>45962</v>
      </c>
      <c r="D7291" t="inlineStr">
        <is>
          <t>JÖNKÖPINGS LÄN</t>
        </is>
      </c>
      <c r="E7291" t="inlineStr">
        <is>
          <t>ANEBY</t>
        </is>
      </c>
      <c r="G7291" t="n">
        <v>1.1</v>
      </c>
      <c r="H7291" t="n">
        <v>0</v>
      </c>
      <c r="I7291" t="n">
        <v>0</v>
      </c>
      <c r="J7291" t="n">
        <v>0</v>
      </c>
      <c r="K7291" t="n">
        <v>0</v>
      </c>
      <c r="L7291" t="n">
        <v>0</v>
      </c>
      <c r="M7291" t="n">
        <v>0</v>
      </c>
      <c r="N7291" t="n">
        <v>0</v>
      </c>
      <c r="O7291" t="n">
        <v>0</v>
      </c>
      <c r="P7291" t="n">
        <v>0</v>
      </c>
      <c r="Q7291" t="n">
        <v>0</v>
      </c>
      <c r="R7291" s="2" t="inlineStr"/>
    </row>
    <row r="7292" ht="15" customHeight="1">
      <c r="A7292" t="inlineStr">
        <is>
          <t>A 53004-2025</t>
        </is>
      </c>
      <c r="B7292" s="1" t="n">
        <v>45957.77112268518</v>
      </c>
      <c r="C7292" s="1" t="n">
        <v>45962</v>
      </c>
      <c r="D7292" t="inlineStr">
        <is>
          <t>JÖNKÖPINGS LÄN</t>
        </is>
      </c>
      <c r="E7292" t="inlineStr">
        <is>
          <t>VÄRNAMO</t>
        </is>
      </c>
      <c r="G7292" t="n">
        <v>2.5</v>
      </c>
      <c r="H7292" t="n">
        <v>0</v>
      </c>
      <c r="I7292" t="n">
        <v>0</v>
      </c>
      <c r="J7292" t="n">
        <v>0</v>
      </c>
      <c r="K7292" t="n">
        <v>0</v>
      </c>
      <c r="L7292" t="n">
        <v>0</v>
      </c>
      <c r="M7292" t="n">
        <v>0</v>
      </c>
      <c r="N7292" t="n">
        <v>0</v>
      </c>
      <c r="O7292" t="n">
        <v>0</v>
      </c>
      <c r="P7292" t="n">
        <v>0</v>
      </c>
      <c r="Q7292" t="n">
        <v>0</v>
      </c>
      <c r="R7292" s="2" t="inlineStr"/>
    </row>
    <row r="7293" ht="15" customHeight="1">
      <c r="A7293" t="inlineStr">
        <is>
          <t>A 52571-2025</t>
        </is>
      </c>
      <c r="B7293" s="1" t="n">
        <v>45954.60234953704</v>
      </c>
      <c r="C7293" s="1" t="n">
        <v>45962</v>
      </c>
      <c r="D7293" t="inlineStr">
        <is>
          <t>JÖNKÖPINGS LÄN</t>
        </is>
      </c>
      <c r="E7293" t="inlineStr">
        <is>
          <t>EKSJÖ</t>
        </is>
      </c>
      <c r="F7293" t="inlineStr">
        <is>
          <t>Kyrkan</t>
        </is>
      </c>
      <c r="G7293" t="n">
        <v>2.2</v>
      </c>
      <c r="H7293" t="n">
        <v>0</v>
      </c>
      <c r="I7293" t="n">
        <v>0</v>
      </c>
      <c r="J7293" t="n">
        <v>0</v>
      </c>
      <c r="K7293" t="n">
        <v>0</v>
      </c>
      <c r="L7293" t="n">
        <v>0</v>
      </c>
      <c r="M7293" t="n">
        <v>0</v>
      </c>
      <c r="N7293" t="n">
        <v>0</v>
      </c>
      <c r="O7293" t="n">
        <v>0</v>
      </c>
      <c r="P7293" t="n">
        <v>0</v>
      </c>
      <c r="Q7293" t="n">
        <v>0</v>
      </c>
      <c r="R7293" s="2" t="inlineStr"/>
    </row>
    <row r="7294" ht="15" customHeight="1">
      <c r="A7294" t="inlineStr">
        <is>
          <t>A 53009-2025</t>
        </is>
      </c>
      <c r="B7294" s="1" t="n">
        <v>45957.77659722222</v>
      </c>
      <c r="C7294" s="1" t="n">
        <v>45962</v>
      </c>
      <c r="D7294" t="inlineStr">
        <is>
          <t>JÖNKÖPINGS LÄN</t>
        </is>
      </c>
      <c r="E7294" t="inlineStr">
        <is>
          <t>VÄRNAMO</t>
        </is>
      </c>
      <c r="G7294" t="n">
        <v>3</v>
      </c>
      <c r="H7294" t="n">
        <v>0</v>
      </c>
      <c r="I7294" t="n">
        <v>0</v>
      </c>
      <c r="J7294" t="n">
        <v>0</v>
      </c>
      <c r="K7294" t="n">
        <v>0</v>
      </c>
      <c r="L7294" t="n">
        <v>0</v>
      </c>
      <c r="M7294" t="n">
        <v>0</v>
      </c>
      <c r="N7294" t="n">
        <v>0</v>
      </c>
      <c r="O7294" t="n">
        <v>0</v>
      </c>
      <c r="P7294" t="n">
        <v>0</v>
      </c>
      <c r="Q7294" t="n">
        <v>0</v>
      </c>
      <c r="R7294" s="2" t="inlineStr"/>
    </row>
    <row r="7295" ht="15" customHeight="1">
      <c r="A7295" t="inlineStr">
        <is>
          <t>A 44529-2025</t>
        </is>
      </c>
      <c r="B7295" s="1" t="n">
        <v>45916.74359953704</v>
      </c>
      <c r="C7295" s="1" t="n">
        <v>45962</v>
      </c>
      <c r="D7295" t="inlineStr">
        <is>
          <t>JÖNKÖPINGS LÄN</t>
        </is>
      </c>
      <c r="E7295" t="inlineStr">
        <is>
          <t>EKSJÖ</t>
        </is>
      </c>
      <c r="F7295" t="inlineStr">
        <is>
          <t>Sveaskog</t>
        </is>
      </c>
      <c r="G7295" t="n">
        <v>4</v>
      </c>
      <c r="H7295" t="n">
        <v>0</v>
      </c>
      <c r="I7295" t="n">
        <v>0</v>
      </c>
      <c r="J7295" t="n">
        <v>0</v>
      </c>
      <c r="K7295" t="n">
        <v>0</v>
      </c>
      <c r="L7295" t="n">
        <v>0</v>
      </c>
      <c r="M7295" t="n">
        <v>0</v>
      </c>
      <c r="N7295" t="n">
        <v>0</v>
      </c>
      <c r="O7295" t="n">
        <v>0</v>
      </c>
      <c r="P7295" t="n">
        <v>0</v>
      </c>
      <c r="Q7295" t="n">
        <v>0</v>
      </c>
      <c r="R7295" s="2" t="inlineStr"/>
    </row>
    <row r="7296" ht="15" customHeight="1">
      <c r="A7296" t="inlineStr">
        <is>
          <t>A 44571-2025</t>
        </is>
      </c>
      <c r="B7296" s="1" t="n">
        <v>45917.38972222222</v>
      </c>
      <c r="C7296" s="1" t="n">
        <v>45962</v>
      </c>
      <c r="D7296" t="inlineStr">
        <is>
          <t>JÖNKÖPINGS LÄN</t>
        </is>
      </c>
      <c r="E7296" t="inlineStr">
        <is>
          <t>JÖNKÖPING</t>
        </is>
      </c>
      <c r="G7296" t="n">
        <v>2.3</v>
      </c>
      <c r="H7296" t="n">
        <v>0</v>
      </c>
      <c r="I7296" t="n">
        <v>0</v>
      </c>
      <c r="J7296" t="n">
        <v>0</v>
      </c>
      <c r="K7296" t="n">
        <v>0</v>
      </c>
      <c r="L7296" t="n">
        <v>0</v>
      </c>
      <c r="M7296" t="n">
        <v>0</v>
      </c>
      <c r="N7296" t="n">
        <v>0</v>
      </c>
      <c r="O7296" t="n">
        <v>0</v>
      </c>
      <c r="P7296" t="n">
        <v>0</v>
      </c>
      <c r="Q7296" t="n">
        <v>0</v>
      </c>
      <c r="R7296" s="2" t="inlineStr"/>
    </row>
    <row r="7297" ht="15" customHeight="1">
      <c r="A7297" t="inlineStr">
        <is>
          <t>A 44630-2025</t>
        </is>
      </c>
      <c r="B7297" s="1" t="n">
        <v>45917.483125</v>
      </c>
      <c r="C7297" s="1" t="n">
        <v>45962</v>
      </c>
      <c r="D7297" t="inlineStr">
        <is>
          <t>JÖNKÖPINGS LÄN</t>
        </is>
      </c>
      <c r="E7297" t="inlineStr">
        <is>
          <t>VÄRNAMO</t>
        </is>
      </c>
      <c r="G7297" t="n">
        <v>3.3</v>
      </c>
      <c r="H7297" t="n">
        <v>0</v>
      </c>
      <c r="I7297" t="n">
        <v>0</v>
      </c>
      <c r="J7297" t="n">
        <v>0</v>
      </c>
      <c r="K7297" t="n">
        <v>0</v>
      </c>
      <c r="L7297" t="n">
        <v>0</v>
      </c>
      <c r="M7297" t="n">
        <v>0</v>
      </c>
      <c r="N7297" t="n">
        <v>0</v>
      </c>
      <c r="O7297" t="n">
        <v>0</v>
      </c>
      <c r="P7297" t="n">
        <v>0</v>
      </c>
      <c r="Q7297" t="n">
        <v>0</v>
      </c>
      <c r="R7297" s="2" t="inlineStr"/>
    </row>
    <row r="7298" ht="15" customHeight="1">
      <c r="A7298" t="inlineStr">
        <is>
          <t>A 53458-2025</t>
        </is>
      </c>
      <c r="B7298" s="1" t="n">
        <v>45959.66606481482</v>
      </c>
      <c r="C7298" s="1" t="n">
        <v>45962</v>
      </c>
      <c r="D7298" t="inlineStr">
        <is>
          <t>JÖNKÖPINGS LÄN</t>
        </is>
      </c>
      <c r="E7298" t="inlineStr">
        <is>
          <t>GISLAVED</t>
        </is>
      </c>
      <c r="F7298" t="inlineStr">
        <is>
          <t>Sveaskog</t>
        </is>
      </c>
      <c r="G7298" t="n">
        <v>1.7</v>
      </c>
      <c r="H7298" t="n">
        <v>0</v>
      </c>
      <c r="I7298" t="n">
        <v>0</v>
      </c>
      <c r="J7298" t="n">
        <v>0</v>
      </c>
      <c r="K7298" t="n">
        <v>0</v>
      </c>
      <c r="L7298" t="n">
        <v>0</v>
      </c>
      <c r="M7298" t="n">
        <v>0</v>
      </c>
      <c r="N7298" t="n">
        <v>0</v>
      </c>
      <c r="O7298" t="n">
        <v>0</v>
      </c>
      <c r="P7298" t="n">
        <v>0</v>
      </c>
      <c r="Q7298" t="n">
        <v>0</v>
      </c>
      <c r="R7298" s="2" t="inlineStr"/>
    </row>
    <row r="7299" ht="15" customHeight="1">
      <c r="A7299" t="inlineStr">
        <is>
          <t>A 53459-2025</t>
        </is>
      </c>
      <c r="B7299" s="1" t="n">
        <v>45959.66734953703</v>
      </c>
      <c r="C7299" s="1" t="n">
        <v>45962</v>
      </c>
      <c r="D7299" t="inlineStr">
        <is>
          <t>JÖNKÖPINGS LÄN</t>
        </is>
      </c>
      <c r="E7299" t="inlineStr">
        <is>
          <t>GISLAVED</t>
        </is>
      </c>
      <c r="F7299" t="inlineStr">
        <is>
          <t>Sveaskog</t>
        </is>
      </c>
      <c r="G7299" t="n">
        <v>1.3</v>
      </c>
      <c r="H7299" t="n">
        <v>0</v>
      </c>
      <c r="I7299" t="n">
        <v>0</v>
      </c>
      <c r="J7299" t="n">
        <v>0</v>
      </c>
      <c r="K7299" t="n">
        <v>0</v>
      </c>
      <c r="L7299" t="n">
        <v>0</v>
      </c>
      <c r="M7299" t="n">
        <v>0</v>
      </c>
      <c r="N7299" t="n">
        <v>0</v>
      </c>
      <c r="O7299" t="n">
        <v>0</v>
      </c>
      <c r="P7299" t="n">
        <v>0</v>
      </c>
      <c r="Q7299" t="n">
        <v>0</v>
      </c>
      <c r="R7299" s="2" t="inlineStr"/>
    </row>
    <row r="7300" ht="15" customHeight="1">
      <c r="A7300" t="inlineStr">
        <is>
          <t>A 52363-2025</t>
        </is>
      </c>
      <c r="B7300" s="1" t="n">
        <v>45953</v>
      </c>
      <c r="C7300" s="1" t="n">
        <v>45962</v>
      </c>
      <c r="D7300" t="inlineStr">
        <is>
          <t>JÖNKÖPINGS LÄN</t>
        </is>
      </c>
      <c r="E7300" t="inlineStr">
        <is>
          <t>SÄVSJÖ</t>
        </is>
      </c>
      <c r="G7300" t="n">
        <v>0.9</v>
      </c>
      <c r="H7300" t="n">
        <v>0</v>
      </c>
      <c r="I7300" t="n">
        <v>0</v>
      </c>
      <c r="J7300" t="n">
        <v>0</v>
      </c>
      <c r="K7300" t="n">
        <v>0</v>
      </c>
      <c r="L7300" t="n">
        <v>0</v>
      </c>
      <c r="M7300" t="n">
        <v>0</v>
      </c>
      <c r="N7300" t="n">
        <v>0</v>
      </c>
      <c r="O7300" t="n">
        <v>0</v>
      </c>
      <c r="P7300" t="n">
        <v>0</v>
      </c>
      <c r="Q7300" t="n">
        <v>0</v>
      </c>
      <c r="R7300" s="2" t="inlineStr"/>
    </row>
    <row r="7301" ht="15" customHeight="1">
      <c r="A7301" t="inlineStr">
        <is>
          <t>A 53457-2025</t>
        </is>
      </c>
      <c r="B7301" s="1" t="n">
        <v>45959.66505787037</v>
      </c>
      <c r="C7301" s="1" t="n">
        <v>45962</v>
      </c>
      <c r="D7301" t="inlineStr">
        <is>
          <t>JÖNKÖPINGS LÄN</t>
        </is>
      </c>
      <c r="E7301" t="inlineStr">
        <is>
          <t>GISLAVED</t>
        </is>
      </c>
      <c r="F7301" t="inlineStr">
        <is>
          <t>Sveaskog</t>
        </is>
      </c>
      <c r="G7301" t="n">
        <v>1.1</v>
      </c>
      <c r="H7301" t="n">
        <v>0</v>
      </c>
      <c r="I7301" t="n">
        <v>0</v>
      </c>
      <c r="J7301" t="n">
        <v>0</v>
      </c>
      <c r="K7301" t="n">
        <v>0</v>
      </c>
      <c r="L7301" t="n">
        <v>0</v>
      </c>
      <c r="M7301" t="n">
        <v>0</v>
      </c>
      <c r="N7301" t="n">
        <v>0</v>
      </c>
      <c r="O7301" t="n">
        <v>0</v>
      </c>
      <c r="P7301" t="n">
        <v>0</v>
      </c>
      <c r="Q7301" t="n">
        <v>0</v>
      </c>
      <c r="R7301" s="2" t="inlineStr"/>
    </row>
    <row r="7302" ht="15" customHeight="1">
      <c r="A7302" t="inlineStr">
        <is>
          <t>A 53460-2025</t>
        </is>
      </c>
      <c r="B7302" s="1" t="n">
        <v>45959.6683912037</v>
      </c>
      <c r="C7302" s="1" t="n">
        <v>45962</v>
      </c>
      <c r="D7302" t="inlineStr">
        <is>
          <t>JÖNKÖPINGS LÄN</t>
        </is>
      </c>
      <c r="E7302" t="inlineStr">
        <is>
          <t>GISLAVED</t>
        </is>
      </c>
      <c r="F7302" t="inlineStr">
        <is>
          <t>Sveaskog</t>
        </is>
      </c>
      <c r="G7302" t="n">
        <v>1.6</v>
      </c>
      <c r="H7302" t="n">
        <v>0</v>
      </c>
      <c r="I7302" t="n">
        <v>0</v>
      </c>
      <c r="J7302" t="n">
        <v>0</v>
      </c>
      <c r="K7302" t="n">
        <v>0</v>
      </c>
      <c r="L7302" t="n">
        <v>0</v>
      </c>
      <c r="M7302" t="n">
        <v>0</v>
      </c>
      <c r="N7302" t="n">
        <v>0</v>
      </c>
      <c r="O7302" t="n">
        <v>0</v>
      </c>
      <c r="P7302" t="n">
        <v>0</v>
      </c>
      <c r="Q7302" t="n">
        <v>0</v>
      </c>
      <c r="R7302" s="2" t="inlineStr"/>
    </row>
    <row r="7303" ht="15" customHeight="1">
      <c r="A7303" t="inlineStr">
        <is>
          <t>A 44383-2025</t>
        </is>
      </c>
      <c r="B7303" s="1" t="n">
        <v>45916.48497685185</v>
      </c>
      <c r="C7303" s="1" t="n">
        <v>45962</v>
      </c>
      <c r="D7303" t="inlineStr">
        <is>
          <t>JÖNKÖPINGS LÄN</t>
        </is>
      </c>
      <c r="E7303" t="inlineStr">
        <is>
          <t>GNOSJÖ</t>
        </is>
      </c>
      <c r="G7303" t="n">
        <v>2.3</v>
      </c>
      <c r="H7303" t="n">
        <v>0</v>
      </c>
      <c r="I7303" t="n">
        <v>0</v>
      </c>
      <c r="J7303" t="n">
        <v>0</v>
      </c>
      <c r="K7303" t="n">
        <v>0</v>
      </c>
      <c r="L7303" t="n">
        <v>0</v>
      </c>
      <c r="M7303" t="n">
        <v>0</v>
      </c>
      <c r="N7303" t="n">
        <v>0</v>
      </c>
      <c r="O7303" t="n">
        <v>0</v>
      </c>
      <c r="P7303" t="n">
        <v>0</v>
      </c>
      <c r="Q7303" t="n">
        <v>0</v>
      </c>
      <c r="R7303" s="2" t="inlineStr"/>
    </row>
    <row r="7304" ht="15" customHeight="1">
      <c r="A7304" t="inlineStr">
        <is>
          <t>A 44394-2025</t>
        </is>
      </c>
      <c r="B7304" s="1" t="n">
        <v>45916.49435185185</v>
      </c>
      <c r="C7304" s="1" t="n">
        <v>45962</v>
      </c>
      <c r="D7304" t="inlineStr">
        <is>
          <t>JÖNKÖPINGS LÄN</t>
        </is>
      </c>
      <c r="E7304" t="inlineStr">
        <is>
          <t>GNOSJÖ</t>
        </is>
      </c>
      <c r="G7304" t="n">
        <v>1.2</v>
      </c>
      <c r="H7304" t="n">
        <v>0</v>
      </c>
      <c r="I7304" t="n">
        <v>0</v>
      </c>
      <c r="J7304" t="n">
        <v>0</v>
      </c>
      <c r="K7304" t="n">
        <v>0</v>
      </c>
      <c r="L7304" t="n">
        <v>0</v>
      </c>
      <c r="M7304" t="n">
        <v>0</v>
      </c>
      <c r="N7304" t="n">
        <v>0</v>
      </c>
      <c r="O7304" t="n">
        <v>0</v>
      </c>
      <c r="P7304" t="n">
        <v>0</v>
      </c>
      <c r="Q7304" t="n">
        <v>0</v>
      </c>
      <c r="R7304" s="2" t="inlineStr"/>
    </row>
    <row r="7305" ht="15" customHeight="1">
      <c r="A7305" t="inlineStr">
        <is>
          <t>A 53408-2025</t>
        </is>
      </c>
      <c r="B7305" s="1" t="n">
        <v>45959.57356481482</v>
      </c>
      <c r="C7305" s="1" t="n">
        <v>45962</v>
      </c>
      <c r="D7305" t="inlineStr">
        <is>
          <t>JÖNKÖPINGS LÄN</t>
        </is>
      </c>
      <c r="E7305" t="inlineStr">
        <is>
          <t>VÄRNAMO</t>
        </is>
      </c>
      <c r="G7305" t="n">
        <v>1.2</v>
      </c>
      <c r="H7305" t="n">
        <v>0</v>
      </c>
      <c r="I7305" t="n">
        <v>0</v>
      </c>
      <c r="J7305" t="n">
        <v>0</v>
      </c>
      <c r="K7305" t="n">
        <v>0</v>
      </c>
      <c r="L7305" t="n">
        <v>0</v>
      </c>
      <c r="M7305" t="n">
        <v>0</v>
      </c>
      <c r="N7305" t="n">
        <v>0</v>
      </c>
      <c r="O7305" t="n">
        <v>0</v>
      </c>
      <c r="P7305" t="n">
        <v>0</v>
      </c>
      <c r="Q7305" t="n">
        <v>0</v>
      </c>
      <c r="R7305" s="2" t="inlineStr"/>
    </row>
    <row r="7306" ht="15" customHeight="1">
      <c r="A7306" t="inlineStr">
        <is>
          <t>A 44767-2025</t>
        </is>
      </c>
      <c r="B7306" s="1" t="n">
        <v>45917.74109953704</v>
      </c>
      <c r="C7306" s="1" t="n">
        <v>45962</v>
      </c>
      <c r="D7306" t="inlineStr">
        <is>
          <t>JÖNKÖPINGS LÄN</t>
        </is>
      </c>
      <c r="E7306" t="inlineStr">
        <is>
          <t>EKSJÖ</t>
        </is>
      </c>
      <c r="G7306" t="n">
        <v>1.1</v>
      </c>
      <c r="H7306" t="n">
        <v>0</v>
      </c>
      <c r="I7306" t="n">
        <v>0</v>
      </c>
      <c r="J7306" t="n">
        <v>0</v>
      </c>
      <c r="K7306" t="n">
        <v>0</v>
      </c>
      <c r="L7306" t="n">
        <v>0</v>
      </c>
      <c r="M7306" t="n">
        <v>0</v>
      </c>
      <c r="N7306" t="n">
        <v>0</v>
      </c>
      <c r="O7306" t="n">
        <v>0</v>
      </c>
      <c r="P7306" t="n">
        <v>0</v>
      </c>
      <c r="Q7306" t="n">
        <v>0</v>
      </c>
      <c r="R7306" s="2" t="inlineStr"/>
    </row>
    <row r="7307" ht="15" customHeight="1">
      <c r="A7307" t="inlineStr">
        <is>
          <t>A 44423-2025</t>
        </is>
      </c>
      <c r="B7307" s="1" t="n">
        <v>45916.55513888889</v>
      </c>
      <c r="C7307" s="1" t="n">
        <v>45962</v>
      </c>
      <c r="D7307" t="inlineStr">
        <is>
          <t>JÖNKÖPINGS LÄN</t>
        </is>
      </c>
      <c r="E7307" t="inlineStr">
        <is>
          <t>VETLANDA</t>
        </is>
      </c>
      <c r="G7307" t="n">
        <v>1</v>
      </c>
      <c r="H7307" t="n">
        <v>0</v>
      </c>
      <c r="I7307" t="n">
        <v>0</v>
      </c>
      <c r="J7307" t="n">
        <v>0</v>
      </c>
      <c r="K7307" t="n">
        <v>0</v>
      </c>
      <c r="L7307" t="n">
        <v>0</v>
      </c>
      <c r="M7307" t="n">
        <v>0</v>
      </c>
      <c r="N7307" t="n">
        <v>0</v>
      </c>
      <c r="O7307" t="n">
        <v>0</v>
      </c>
      <c r="P7307" t="n">
        <v>0</v>
      </c>
      <c r="Q7307" t="n">
        <v>0</v>
      </c>
      <c r="R7307" s="2" t="inlineStr"/>
    </row>
    <row r="7308" ht="15" customHeight="1">
      <c r="A7308" t="inlineStr">
        <is>
          <t>A 44521-2025</t>
        </is>
      </c>
      <c r="B7308" s="1" t="n">
        <v>45916.72386574074</v>
      </c>
      <c r="C7308" s="1" t="n">
        <v>45962</v>
      </c>
      <c r="D7308" t="inlineStr">
        <is>
          <t>JÖNKÖPINGS LÄN</t>
        </is>
      </c>
      <c r="E7308" t="inlineStr">
        <is>
          <t>EKSJÖ</t>
        </is>
      </c>
      <c r="F7308" t="inlineStr">
        <is>
          <t>Sveaskog</t>
        </is>
      </c>
      <c r="G7308" t="n">
        <v>1.9</v>
      </c>
      <c r="H7308" t="n">
        <v>0</v>
      </c>
      <c r="I7308" t="n">
        <v>0</v>
      </c>
      <c r="J7308" t="n">
        <v>0</v>
      </c>
      <c r="K7308" t="n">
        <v>0</v>
      </c>
      <c r="L7308" t="n">
        <v>0</v>
      </c>
      <c r="M7308" t="n">
        <v>0</v>
      </c>
      <c r="N7308" t="n">
        <v>0</v>
      </c>
      <c r="O7308" t="n">
        <v>0</v>
      </c>
      <c r="P7308" t="n">
        <v>0</v>
      </c>
      <c r="Q7308" t="n">
        <v>0</v>
      </c>
      <c r="R7308" s="2" t="inlineStr"/>
    </row>
    <row r="7309" ht="15" customHeight="1">
      <c r="A7309" t="inlineStr">
        <is>
          <t>A 44293-2025</t>
        </is>
      </c>
      <c r="B7309" s="1" t="n">
        <v>45916.35813657408</v>
      </c>
      <c r="C7309" s="1" t="n">
        <v>45962</v>
      </c>
      <c r="D7309" t="inlineStr">
        <is>
          <t>JÖNKÖPINGS LÄN</t>
        </is>
      </c>
      <c r="E7309" t="inlineStr">
        <is>
          <t>EKSJÖ</t>
        </is>
      </c>
      <c r="G7309" t="n">
        <v>0.9</v>
      </c>
      <c r="H7309" t="n">
        <v>0</v>
      </c>
      <c r="I7309" t="n">
        <v>0</v>
      </c>
      <c r="J7309" t="n">
        <v>0</v>
      </c>
      <c r="K7309" t="n">
        <v>0</v>
      </c>
      <c r="L7309" t="n">
        <v>0</v>
      </c>
      <c r="M7309" t="n">
        <v>0</v>
      </c>
      <c r="N7309" t="n">
        <v>0</v>
      </c>
      <c r="O7309" t="n">
        <v>0</v>
      </c>
      <c r="P7309" t="n">
        <v>0</v>
      </c>
      <c r="Q7309" t="n">
        <v>0</v>
      </c>
      <c r="R7309" s="2" t="inlineStr"/>
    </row>
    <row r="7310" ht="15" customHeight="1">
      <c r="A7310" t="inlineStr">
        <is>
          <t>A 44721-2025</t>
        </is>
      </c>
      <c r="B7310" s="1" t="n">
        <v>45917.63546296296</v>
      </c>
      <c r="C7310" s="1" t="n">
        <v>45962</v>
      </c>
      <c r="D7310" t="inlineStr">
        <is>
          <t>JÖNKÖPINGS LÄN</t>
        </is>
      </c>
      <c r="E7310" t="inlineStr">
        <is>
          <t>VÄRNAMO</t>
        </is>
      </c>
      <c r="G7310" t="n">
        <v>5.3</v>
      </c>
      <c r="H7310" t="n">
        <v>0</v>
      </c>
      <c r="I7310" t="n">
        <v>0</v>
      </c>
      <c r="J7310" t="n">
        <v>0</v>
      </c>
      <c r="K7310" t="n">
        <v>0</v>
      </c>
      <c r="L7310" t="n">
        <v>0</v>
      </c>
      <c r="M7310" t="n">
        <v>0</v>
      </c>
      <c r="N7310" t="n">
        <v>0</v>
      </c>
      <c r="O7310" t="n">
        <v>0</v>
      </c>
      <c r="P7310" t="n">
        <v>0</v>
      </c>
      <c r="Q7310" t="n">
        <v>0</v>
      </c>
      <c r="R7310" s="2" t="inlineStr"/>
    </row>
    <row r="7311" ht="15" customHeight="1">
      <c r="A7311" t="inlineStr">
        <is>
          <t>A 44465-2025</t>
        </is>
      </c>
      <c r="B7311" s="1" t="n">
        <v>45916.63443287037</v>
      </c>
      <c r="C7311" s="1" t="n">
        <v>45962</v>
      </c>
      <c r="D7311" t="inlineStr">
        <is>
          <t>JÖNKÖPINGS LÄN</t>
        </is>
      </c>
      <c r="E7311" t="inlineStr">
        <is>
          <t>VETLANDA</t>
        </is>
      </c>
      <c r="G7311" t="n">
        <v>3.9</v>
      </c>
      <c r="H7311" t="n">
        <v>0</v>
      </c>
      <c r="I7311" t="n">
        <v>0</v>
      </c>
      <c r="J7311" t="n">
        <v>0</v>
      </c>
      <c r="K7311" t="n">
        <v>0</v>
      </c>
      <c r="L7311" t="n">
        <v>0</v>
      </c>
      <c r="M7311" t="n">
        <v>0</v>
      </c>
      <c r="N7311" t="n">
        <v>0</v>
      </c>
      <c r="O7311" t="n">
        <v>0</v>
      </c>
      <c r="P7311" t="n">
        <v>0</v>
      </c>
      <c r="Q7311" t="n">
        <v>0</v>
      </c>
      <c r="R7311" s="2" t="inlineStr"/>
    </row>
    <row r="7312" ht="15" customHeight="1">
      <c r="A7312" t="inlineStr">
        <is>
          <t>A 44492-2025</t>
        </is>
      </c>
      <c r="B7312" s="1" t="n">
        <v>45916.66194444444</v>
      </c>
      <c r="C7312" s="1" t="n">
        <v>45962</v>
      </c>
      <c r="D7312" t="inlineStr">
        <is>
          <t>JÖNKÖPINGS LÄN</t>
        </is>
      </c>
      <c r="E7312" t="inlineStr">
        <is>
          <t>EKSJÖ</t>
        </is>
      </c>
      <c r="F7312" t="inlineStr">
        <is>
          <t>Sveaskog</t>
        </is>
      </c>
      <c r="G7312" t="n">
        <v>2.3</v>
      </c>
      <c r="H7312" t="n">
        <v>0</v>
      </c>
      <c r="I7312" t="n">
        <v>0</v>
      </c>
      <c r="J7312" t="n">
        <v>0</v>
      </c>
      <c r="K7312" t="n">
        <v>0</v>
      </c>
      <c r="L7312" t="n">
        <v>0</v>
      </c>
      <c r="M7312" t="n">
        <v>0</v>
      </c>
      <c r="N7312" t="n">
        <v>0</v>
      </c>
      <c r="O7312" t="n">
        <v>0</v>
      </c>
      <c r="P7312" t="n">
        <v>0</v>
      </c>
      <c r="Q7312" t="n">
        <v>0</v>
      </c>
      <c r="R7312" s="2" t="inlineStr"/>
    </row>
    <row r="7313" ht="15" customHeight="1">
      <c r="A7313" t="inlineStr">
        <is>
          <t>A 44526-2025</t>
        </is>
      </c>
      <c r="B7313" s="1" t="n">
        <v>45916.73413194445</v>
      </c>
      <c r="C7313" s="1" t="n">
        <v>45962</v>
      </c>
      <c r="D7313" t="inlineStr">
        <is>
          <t>JÖNKÖPINGS LÄN</t>
        </is>
      </c>
      <c r="E7313" t="inlineStr">
        <is>
          <t>EKSJÖ</t>
        </is>
      </c>
      <c r="F7313" t="inlineStr">
        <is>
          <t>Sveaskog</t>
        </is>
      </c>
      <c r="G7313" t="n">
        <v>2.2</v>
      </c>
      <c r="H7313" t="n">
        <v>0</v>
      </c>
      <c r="I7313" t="n">
        <v>0</v>
      </c>
      <c r="J7313" t="n">
        <v>0</v>
      </c>
      <c r="K7313" t="n">
        <v>0</v>
      </c>
      <c r="L7313" t="n">
        <v>0</v>
      </c>
      <c r="M7313" t="n">
        <v>0</v>
      </c>
      <c r="N7313" t="n">
        <v>0</v>
      </c>
      <c r="O7313" t="n">
        <v>0</v>
      </c>
      <c r="P7313" t="n">
        <v>0</v>
      </c>
      <c r="Q7313" t="n">
        <v>0</v>
      </c>
      <c r="R7313" s="2" t="inlineStr"/>
    </row>
    <row r="7314" ht="15" customHeight="1">
      <c r="A7314" t="inlineStr">
        <is>
          <t>A 53147-2025</t>
        </is>
      </c>
      <c r="B7314" s="1" t="n">
        <v>45958.47756944445</v>
      </c>
      <c r="C7314" s="1" t="n">
        <v>45962</v>
      </c>
      <c r="D7314" t="inlineStr">
        <is>
          <t>JÖNKÖPINGS LÄN</t>
        </is>
      </c>
      <c r="E7314" t="inlineStr">
        <is>
          <t>JÖNKÖPING</t>
        </is>
      </c>
      <c r="G7314" t="n">
        <v>2.1</v>
      </c>
      <c r="H7314" t="n">
        <v>0</v>
      </c>
      <c r="I7314" t="n">
        <v>0</v>
      </c>
      <c r="J7314" t="n">
        <v>0</v>
      </c>
      <c r="K7314" t="n">
        <v>0</v>
      </c>
      <c r="L7314" t="n">
        <v>0</v>
      </c>
      <c r="M7314" t="n">
        <v>0</v>
      </c>
      <c r="N7314" t="n">
        <v>0</v>
      </c>
      <c r="O7314" t="n">
        <v>0</v>
      </c>
      <c r="P7314" t="n">
        <v>0</v>
      </c>
      <c r="Q7314" t="n">
        <v>0</v>
      </c>
      <c r="R7314" s="2" t="inlineStr"/>
    </row>
    <row r="7315" ht="15" customHeight="1">
      <c r="A7315" t="inlineStr">
        <is>
          <t>A 53194-2025</t>
        </is>
      </c>
      <c r="B7315" s="1" t="n">
        <v>45958.57077546296</v>
      </c>
      <c r="C7315" s="1" t="n">
        <v>45962</v>
      </c>
      <c r="D7315" t="inlineStr">
        <is>
          <t>JÖNKÖPINGS LÄN</t>
        </is>
      </c>
      <c r="E7315" t="inlineStr">
        <is>
          <t>ANEBY</t>
        </is>
      </c>
      <c r="G7315" t="n">
        <v>2.4</v>
      </c>
      <c r="H7315" t="n">
        <v>0</v>
      </c>
      <c r="I7315" t="n">
        <v>0</v>
      </c>
      <c r="J7315" t="n">
        <v>0</v>
      </c>
      <c r="K7315" t="n">
        <v>0</v>
      </c>
      <c r="L7315" t="n">
        <v>0</v>
      </c>
      <c r="M7315" t="n">
        <v>0</v>
      </c>
      <c r="N7315" t="n">
        <v>0</v>
      </c>
      <c r="O7315" t="n">
        <v>0</v>
      </c>
      <c r="P7315" t="n">
        <v>0</v>
      </c>
      <c r="Q7315" t="n">
        <v>0</v>
      </c>
      <c r="R7315" s="2" t="inlineStr"/>
    </row>
    <row r="7316" ht="15" customHeight="1">
      <c r="A7316" t="inlineStr">
        <is>
          <t>A 53447-2025</t>
        </is>
      </c>
      <c r="B7316" s="1" t="n">
        <v>45959.65025462963</v>
      </c>
      <c r="C7316" s="1" t="n">
        <v>45962</v>
      </c>
      <c r="D7316" t="inlineStr">
        <is>
          <t>JÖNKÖPINGS LÄN</t>
        </is>
      </c>
      <c r="E7316" t="inlineStr">
        <is>
          <t>TRANÅS</t>
        </is>
      </c>
      <c r="F7316" t="inlineStr">
        <is>
          <t>Allmännings- och besparingsskogar</t>
        </is>
      </c>
      <c r="G7316" t="n">
        <v>4.3</v>
      </c>
      <c r="H7316" t="n">
        <v>0</v>
      </c>
      <c r="I7316" t="n">
        <v>0</v>
      </c>
      <c r="J7316" t="n">
        <v>0</v>
      </c>
      <c r="K7316" t="n">
        <v>0</v>
      </c>
      <c r="L7316" t="n">
        <v>0</v>
      </c>
      <c r="M7316" t="n">
        <v>0</v>
      </c>
      <c r="N7316" t="n">
        <v>0</v>
      </c>
      <c r="O7316" t="n">
        <v>0</v>
      </c>
      <c r="P7316" t="n">
        <v>0</v>
      </c>
      <c r="Q7316" t="n">
        <v>0</v>
      </c>
      <c r="R7316" s="2" t="inlineStr"/>
    </row>
    <row r="7317" ht="15" customHeight="1">
      <c r="A7317" t="inlineStr">
        <is>
          <t>A 53472-2025</t>
        </is>
      </c>
      <c r="B7317" s="1" t="n">
        <v>45959.71396990741</v>
      </c>
      <c r="C7317" s="1" t="n">
        <v>45962</v>
      </c>
      <c r="D7317" t="inlineStr">
        <is>
          <t>JÖNKÖPINGS LÄN</t>
        </is>
      </c>
      <c r="E7317" t="inlineStr">
        <is>
          <t>NÄSSJÖ</t>
        </is>
      </c>
      <c r="G7317" t="n">
        <v>1.4</v>
      </c>
      <c r="H7317" t="n">
        <v>0</v>
      </c>
      <c r="I7317" t="n">
        <v>0</v>
      </c>
      <c r="J7317" t="n">
        <v>0</v>
      </c>
      <c r="K7317" t="n">
        <v>0</v>
      </c>
      <c r="L7317" t="n">
        <v>0</v>
      </c>
      <c r="M7317" t="n">
        <v>0</v>
      </c>
      <c r="N7317" t="n">
        <v>0</v>
      </c>
      <c r="O7317" t="n">
        <v>0</v>
      </c>
      <c r="P7317" t="n">
        <v>0</v>
      </c>
      <c r="Q7317" t="n">
        <v>0</v>
      </c>
      <c r="R7317" s="2" t="inlineStr"/>
    </row>
    <row r="7318" ht="15" customHeight="1">
      <c r="A7318" t="inlineStr">
        <is>
          <t>A 44698-2025</t>
        </is>
      </c>
      <c r="B7318" s="1" t="n">
        <v>45917.6000462963</v>
      </c>
      <c r="C7318" s="1" t="n">
        <v>45962</v>
      </c>
      <c r="D7318" t="inlineStr">
        <is>
          <t>JÖNKÖPINGS LÄN</t>
        </is>
      </c>
      <c r="E7318" t="inlineStr">
        <is>
          <t>TRANÅS</t>
        </is>
      </c>
      <c r="G7318" t="n">
        <v>0.8</v>
      </c>
      <c r="H7318" t="n">
        <v>0</v>
      </c>
      <c r="I7318" t="n">
        <v>0</v>
      </c>
      <c r="J7318" t="n">
        <v>0</v>
      </c>
      <c r="K7318" t="n">
        <v>0</v>
      </c>
      <c r="L7318" t="n">
        <v>0</v>
      </c>
      <c r="M7318" t="n">
        <v>0</v>
      </c>
      <c r="N7318" t="n">
        <v>0</v>
      </c>
      <c r="O7318" t="n">
        <v>0</v>
      </c>
      <c r="P7318" t="n">
        <v>0</v>
      </c>
      <c r="Q7318" t="n">
        <v>0</v>
      </c>
      <c r="R7318" s="2" t="inlineStr"/>
    </row>
    <row r="7319" ht="15" customHeight="1">
      <c r="A7319" t="inlineStr">
        <is>
          <t>A 44744-2025</t>
        </is>
      </c>
      <c r="B7319" s="1" t="n">
        <v>45917.67140046296</v>
      </c>
      <c r="C7319" s="1" t="n">
        <v>45962</v>
      </c>
      <c r="D7319" t="inlineStr">
        <is>
          <t>JÖNKÖPINGS LÄN</t>
        </is>
      </c>
      <c r="E7319" t="inlineStr">
        <is>
          <t>VÄRNAMO</t>
        </is>
      </c>
      <c r="F7319" t="inlineStr">
        <is>
          <t>Övriga Aktiebolag</t>
        </is>
      </c>
      <c r="G7319" t="n">
        <v>3.8</v>
      </c>
      <c r="H7319" t="n">
        <v>0</v>
      </c>
      <c r="I7319" t="n">
        <v>0</v>
      </c>
      <c r="J7319" t="n">
        <v>0</v>
      </c>
      <c r="K7319" t="n">
        <v>0</v>
      </c>
      <c r="L7319" t="n">
        <v>0</v>
      </c>
      <c r="M7319" t="n">
        <v>0</v>
      </c>
      <c r="N7319" t="n">
        <v>0</v>
      </c>
      <c r="O7319" t="n">
        <v>0</v>
      </c>
      <c r="P7319" t="n">
        <v>0</v>
      </c>
      <c r="Q7319" t="n">
        <v>0</v>
      </c>
      <c r="R7319" s="2" t="inlineStr"/>
    </row>
    <row r="7320" ht="15" customHeight="1">
      <c r="A7320" t="inlineStr">
        <is>
          <t>A 53281-2025</t>
        </is>
      </c>
      <c r="B7320" s="1" t="n">
        <v>45958</v>
      </c>
      <c r="C7320" s="1" t="n">
        <v>45962</v>
      </c>
      <c r="D7320" t="inlineStr">
        <is>
          <t>JÖNKÖPINGS LÄN</t>
        </is>
      </c>
      <c r="E7320" t="inlineStr">
        <is>
          <t>JÖNKÖPING</t>
        </is>
      </c>
      <c r="G7320" t="n">
        <v>1.1</v>
      </c>
      <c r="H7320" t="n">
        <v>0</v>
      </c>
      <c r="I7320" t="n">
        <v>0</v>
      </c>
      <c r="J7320" t="n">
        <v>0</v>
      </c>
      <c r="K7320" t="n">
        <v>0</v>
      </c>
      <c r="L7320" t="n">
        <v>0</v>
      </c>
      <c r="M7320" t="n">
        <v>0</v>
      </c>
      <c r="N7320" t="n">
        <v>0</v>
      </c>
      <c r="O7320" t="n">
        <v>0</v>
      </c>
      <c r="P7320" t="n">
        <v>0</v>
      </c>
      <c r="Q7320" t="n">
        <v>0</v>
      </c>
      <c r="R7320" s="2" t="inlineStr"/>
    </row>
    <row r="7321" ht="15" customHeight="1">
      <c r="A7321" t="inlineStr">
        <is>
          <t>A 53307-2025</t>
        </is>
      </c>
      <c r="B7321" s="1" t="n">
        <v>45959.33496527778</v>
      </c>
      <c r="C7321" s="1" t="n">
        <v>45962</v>
      </c>
      <c r="D7321" t="inlineStr">
        <is>
          <t>JÖNKÖPINGS LÄN</t>
        </is>
      </c>
      <c r="E7321" t="inlineStr">
        <is>
          <t>SÄVSJÖ</t>
        </is>
      </c>
      <c r="G7321" t="n">
        <v>1.1</v>
      </c>
      <c r="H7321" t="n">
        <v>0</v>
      </c>
      <c r="I7321" t="n">
        <v>0</v>
      </c>
      <c r="J7321" t="n">
        <v>0</v>
      </c>
      <c r="K7321" t="n">
        <v>0</v>
      </c>
      <c r="L7321" t="n">
        <v>0</v>
      </c>
      <c r="M7321" t="n">
        <v>0</v>
      </c>
      <c r="N7321" t="n">
        <v>0</v>
      </c>
      <c r="O7321" t="n">
        <v>0</v>
      </c>
      <c r="P7321" t="n">
        <v>0</v>
      </c>
      <c r="Q7321" t="n">
        <v>0</v>
      </c>
      <c r="R7321" s="2" t="inlineStr"/>
    </row>
    <row r="7322" ht="15" customHeight="1">
      <c r="A7322" t="inlineStr">
        <is>
          <t>A 53308-2025</t>
        </is>
      </c>
      <c r="B7322" s="1" t="n">
        <v>45959.335</v>
      </c>
      <c r="C7322" s="1" t="n">
        <v>45962</v>
      </c>
      <c r="D7322" t="inlineStr">
        <is>
          <t>JÖNKÖPINGS LÄN</t>
        </is>
      </c>
      <c r="E7322" t="inlineStr">
        <is>
          <t>JÖNKÖPING</t>
        </is>
      </c>
      <c r="G7322" t="n">
        <v>4.5</v>
      </c>
      <c r="H7322" t="n">
        <v>0</v>
      </c>
      <c r="I7322" t="n">
        <v>0</v>
      </c>
      <c r="J7322" t="n">
        <v>0</v>
      </c>
      <c r="K7322" t="n">
        <v>0</v>
      </c>
      <c r="L7322" t="n">
        <v>0</v>
      </c>
      <c r="M7322" t="n">
        <v>0</v>
      </c>
      <c r="N7322" t="n">
        <v>0</v>
      </c>
      <c r="O7322" t="n">
        <v>0</v>
      </c>
      <c r="P7322" t="n">
        <v>0</v>
      </c>
      <c r="Q7322" t="n">
        <v>0</v>
      </c>
      <c r="R7322" s="2" t="inlineStr"/>
    </row>
    <row r="7323" ht="15" customHeight="1">
      <c r="A7323" t="inlineStr">
        <is>
          <t>A 44291-2025</t>
        </is>
      </c>
      <c r="B7323" s="1" t="n">
        <v>45916.35369212963</v>
      </c>
      <c r="C7323" s="1" t="n">
        <v>45962</v>
      </c>
      <c r="D7323" t="inlineStr">
        <is>
          <t>JÖNKÖPINGS LÄN</t>
        </is>
      </c>
      <c r="E7323" t="inlineStr">
        <is>
          <t>GISLAVED</t>
        </is>
      </c>
      <c r="G7323" t="n">
        <v>1.7</v>
      </c>
      <c r="H7323" t="n">
        <v>0</v>
      </c>
      <c r="I7323" t="n">
        <v>0</v>
      </c>
      <c r="J7323" t="n">
        <v>0</v>
      </c>
      <c r="K7323" t="n">
        <v>0</v>
      </c>
      <c r="L7323" t="n">
        <v>0</v>
      </c>
      <c r="M7323" t="n">
        <v>0</v>
      </c>
      <c r="N7323" t="n">
        <v>0</v>
      </c>
      <c r="O7323" t="n">
        <v>0</v>
      </c>
      <c r="P7323" t="n">
        <v>0</v>
      </c>
      <c r="Q7323" t="n">
        <v>0</v>
      </c>
      <c r="R7323" s="2" t="inlineStr"/>
    </row>
    <row r="7324" ht="15" customHeight="1">
      <c r="A7324" t="inlineStr">
        <is>
          <t>A 44289-2025</t>
        </is>
      </c>
      <c r="B7324" s="1" t="n">
        <v>45916.35141203704</v>
      </c>
      <c r="C7324" s="1" t="n">
        <v>45962</v>
      </c>
      <c r="D7324" t="inlineStr">
        <is>
          <t>JÖNKÖPINGS LÄN</t>
        </is>
      </c>
      <c r="E7324" t="inlineStr">
        <is>
          <t>GISLAVED</t>
        </is>
      </c>
      <c r="G7324" t="n">
        <v>2.2</v>
      </c>
      <c r="H7324" t="n">
        <v>0</v>
      </c>
      <c r="I7324" t="n">
        <v>0</v>
      </c>
      <c r="J7324" t="n">
        <v>0</v>
      </c>
      <c r="K7324" t="n">
        <v>0</v>
      </c>
      <c r="L7324" t="n">
        <v>0</v>
      </c>
      <c r="M7324" t="n">
        <v>0</v>
      </c>
      <c r="N7324" t="n">
        <v>0</v>
      </c>
      <c r="O7324" t="n">
        <v>0</v>
      </c>
      <c r="P7324" t="n">
        <v>0</v>
      </c>
      <c r="Q7324" t="n">
        <v>0</v>
      </c>
      <c r="R7324" s="2" t="inlineStr"/>
    </row>
    <row r="7325" ht="15" customHeight="1">
      <c r="A7325" t="inlineStr">
        <is>
          <t>A 44719-2025</t>
        </is>
      </c>
      <c r="B7325" s="1" t="n">
        <v>45917.63487268519</v>
      </c>
      <c r="C7325" s="1" t="n">
        <v>45962</v>
      </c>
      <c r="D7325" t="inlineStr">
        <is>
          <t>JÖNKÖPINGS LÄN</t>
        </is>
      </c>
      <c r="E7325" t="inlineStr">
        <is>
          <t>GISLAVED</t>
        </is>
      </c>
      <c r="G7325" t="n">
        <v>1.2</v>
      </c>
      <c r="H7325" t="n">
        <v>0</v>
      </c>
      <c r="I7325" t="n">
        <v>0</v>
      </c>
      <c r="J7325" t="n">
        <v>0</v>
      </c>
      <c r="K7325" t="n">
        <v>0</v>
      </c>
      <c r="L7325" t="n">
        <v>0</v>
      </c>
      <c r="M7325" t="n">
        <v>0</v>
      </c>
      <c r="N7325" t="n">
        <v>0</v>
      </c>
      <c r="O7325" t="n">
        <v>0</v>
      </c>
      <c r="P7325" t="n">
        <v>0</v>
      </c>
      <c r="Q7325" t="n">
        <v>0</v>
      </c>
      <c r="R7325" s="2" t="inlineStr"/>
    </row>
    <row r="7326" ht="15" customHeight="1">
      <c r="A7326" t="inlineStr">
        <is>
          <t>A 44723-2025</t>
        </is>
      </c>
      <c r="B7326" s="1" t="n">
        <v>45917</v>
      </c>
      <c r="C7326" s="1" t="n">
        <v>45962</v>
      </c>
      <c r="D7326" t="inlineStr">
        <is>
          <t>JÖNKÖPINGS LÄN</t>
        </is>
      </c>
      <c r="E7326" t="inlineStr">
        <is>
          <t>TRANÅS</t>
        </is>
      </c>
      <c r="G7326" t="n">
        <v>1.7</v>
      </c>
      <c r="H7326" t="n">
        <v>0</v>
      </c>
      <c r="I7326" t="n">
        <v>0</v>
      </c>
      <c r="J7326" t="n">
        <v>0</v>
      </c>
      <c r="K7326" t="n">
        <v>0</v>
      </c>
      <c r="L7326" t="n">
        <v>0</v>
      </c>
      <c r="M7326" t="n">
        <v>0</v>
      </c>
      <c r="N7326" t="n">
        <v>0</v>
      </c>
      <c r="O7326" t="n">
        <v>0</v>
      </c>
      <c r="P7326" t="n">
        <v>0</v>
      </c>
      <c r="Q7326" t="n">
        <v>0</v>
      </c>
      <c r="R7326" s="2" t="inlineStr"/>
    </row>
    <row r="7327" ht="15" customHeight="1">
      <c r="A7327" t="inlineStr">
        <is>
          <t>A 44733-2025</t>
        </is>
      </c>
      <c r="B7327" s="1" t="n">
        <v>45917.65636574074</v>
      </c>
      <c r="C7327" s="1" t="n">
        <v>45962</v>
      </c>
      <c r="D7327" t="inlineStr">
        <is>
          <t>JÖNKÖPINGS LÄN</t>
        </is>
      </c>
      <c r="E7327" t="inlineStr">
        <is>
          <t>VÄRNAMO</t>
        </is>
      </c>
      <c r="F7327" t="inlineStr">
        <is>
          <t>Övriga Aktiebolag</t>
        </is>
      </c>
      <c r="G7327" t="n">
        <v>4.8</v>
      </c>
      <c r="H7327" t="n">
        <v>0</v>
      </c>
      <c r="I7327" t="n">
        <v>0</v>
      </c>
      <c r="J7327" t="n">
        <v>0</v>
      </c>
      <c r="K7327" t="n">
        <v>0</v>
      </c>
      <c r="L7327" t="n">
        <v>0</v>
      </c>
      <c r="M7327" t="n">
        <v>0</v>
      </c>
      <c r="N7327" t="n">
        <v>0</v>
      </c>
      <c r="O7327" t="n">
        <v>0</v>
      </c>
      <c r="P7327" t="n">
        <v>0</v>
      </c>
      <c r="Q7327" t="n">
        <v>0</v>
      </c>
      <c r="R7327" s="2" t="inlineStr"/>
    </row>
    <row r="7328" ht="15" customHeight="1">
      <c r="A7328" t="inlineStr">
        <is>
          <t>A 44436-2025</t>
        </is>
      </c>
      <c r="B7328" s="1" t="n">
        <v>45916.5824074074</v>
      </c>
      <c r="C7328" s="1" t="n">
        <v>45962</v>
      </c>
      <c r="D7328" t="inlineStr">
        <is>
          <t>JÖNKÖPINGS LÄN</t>
        </is>
      </c>
      <c r="E7328" t="inlineStr">
        <is>
          <t>NÄSSJÖ</t>
        </is>
      </c>
      <c r="G7328" t="n">
        <v>1.6</v>
      </c>
      <c r="H7328" t="n">
        <v>0</v>
      </c>
      <c r="I7328" t="n">
        <v>0</v>
      </c>
      <c r="J7328" t="n">
        <v>0</v>
      </c>
      <c r="K7328" t="n">
        <v>0</v>
      </c>
      <c r="L7328" t="n">
        <v>0</v>
      </c>
      <c r="M7328" t="n">
        <v>0</v>
      </c>
      <c r="N7328" t="n">
        <v>0</v>
      </c>
      <c r="O7328" t="n">
        <v>0</v>
      </c>
      <c r="P7328" t="n">
        <v>0</v>
      </c>
      <c r="Q7328" t="n">
        <v>0</v>
      </c>
      <c r="R7328" s="2" t="inlineStr"/>
    </row>
    <row r="7329" ht="15" customHeight="1">
      <c r="A7329" t="inlineStr">
        <is>
          <t>A 53280-2025</t>
        </is>
      </c>
      <c r="B7329" s="1" t="n">
        <v>45958</v>
      </c>
      <c r="C7329" s="1" t="n">
        <v>45962</v>
      </c>
      <c r="D7329" t="inlineStr">
        <is>
          <t>JÖNKÖPINGS LÄN</t>
        </is>
      </c>
      <c r="E7329" t="inlineStr">
        <is>
          <t>JÖNKÖPING</t>
        </is>
      </c>
      <c r="G7329" t="n">
        <v>0.3</v>
      </c>
      <c r="H7329" t="n">
        <v>0</v>
      </c>
      <c r="I7329" t="n">
        <v>0</v>
      </c>
      <c r="J7329" t="n">
        <v>0</v>
      </c>
      <c r="K7329" t="n">
        <v>0</v>
      </c>
      <c r="L7329" t="n">
        <v>0</v>
      </c>
      <c r="M7329" t="n">
        <v>0</v>
      </c>
      <c r="N7329" t="n">
        <v>0</v>
      </c>
      <c r="O7329" t="n">
        <v>0</v>
      </c>
      <c r="P7329" t="n">
        <v>0</v>
      </c>
      <c r="Q7329" t="n">
        <v>0</v>
      </c>
      <c r="R7329" s="2" t="inlineStr"/>
    </row>
    <row r="7330" ht="15" customHeight="1">
      <c r="A7330" t="inlineStr">
        <is>
          <t>A 53283-2025</t>
        </is>
      </c>
      <c r="B7330" s="1" t="n">
        <v>45958</v>
      </c>
      <c r="C7330" s="1" t="n">
        <v>45962</v>
      </c>
      <c r="D7330" t="inlineStr">
        <is>
          <t>JÖNKÖPINGS LÄN</t>
        </is>
      </c>
      <c r="E7330" t="inlineStr">
        <is>
          <t>JÖNKÖPING</t>
        </is>
      </c>
      <c r="G7330" t="n">
        <v>2.3</v>
      </c>
      <c r="H7330" t="n">
        <v>0</v>
      </c>
      <c r="I7330" t="n">
        <v>0</v>
      </c>
      <c r="J7330" t="n">
        <v>0</v>
      </c>
      <c r="K7330" t="n">
        <v>0</v>
      </c>
      <c r="L7330" t="n">
        <v>0</v>
      </c>
      <c r="M7330" t="n">
        <v>0</v>
      </c>
      <c r="N7330" t="n">
        <v>0</v>
      </c>
      <c r="O7330" t="n">
        <v>0</v>
      </c>
      <c r="P7330" t="n">
        <v>0</v>
      </c>
      <c r="Q7330" t="n">
        <v>0</v>
      </c>
      <c r="R7330" s="2" t="inlineStr"/>
    </row>
    <row r="7331" ht="15" customHeight="1">
      <c r="A7331" t="inlineStr">
        <is>
          <t>A 44527-2025</t>
        </is>
      </c>
      <c r="B7331" s="1" t="n">
        <v>45916.73899305556</v>
      </c>
      <c r="C7331" s="1" t="n">
        <v>45962</v>
      </c>
      <c r="D7331" t="inlineStr">
        <is>
          <t>JÖNKÖPINGS LÄN</t>
        </is>
      </c>
      <c r="E7331" t="inlineStr">
        <is>
          <t>EKSJÖ</t>
        </is>
      </c>
      <c r="F7331" t="inlineStr">
        <is>
          <t>Sveaskog</t>
        </is>
      </c>
      <c r="G7331" t="n">
        <v>1.9</v>
      </c>
      <c r="H7331" t="n">
        <v>0</v>
      </c>
      <c r="I7331" t="n">
        <v>0</v>
      </c>
      <c r="J7331" t="n">
        <v>0</v>
      </c>
      <c r="K7331" t="n">
        <v>0</v>
      </c>
      <c r="L7331" t="n">
        <v>0</v>
      </c>
      <c r="M7331" t="n">
        <v>0</v>
      </c>
      <c r="N7331" t="n">
        <v>0</v>
      </c>
      <c r="O7331" t="n">
        <v>0</v>
      </c>
      <c r="P7331" t="n">
        <v>0</v>
      </c>
      <c r="Q7331" t="n">
        <v>0</v>
      </c>
      <c r="R7331" s="2" t="inlineStr"/>
    </row>
    <row r="7332" ht="15" customHeight="1">
      <c r="A7332" t="inlineStr">
        <is>
          <t>A 44235-2025</t>
        </is>
      </c>
      <c r="B7332" s="1" t="n">
        <v>45915</v>
      </c>
      <c r="C7332" s="1" t="n">
        <v>45962</v>
      </c>
      <c r="D7332" t="inlineStr">
        <is>
          <t>JÖNKÖPINGS LÄN</t>
        </is>
      </c>
      <c r="E7332" t="inlineStr">
        <is>
          <t>TRANÅS</t>
        </is>
      </c>
      <c r="G7332" t="n">
        <v>2.3</v>
      </c>
      <c r="H7332" t="n">
        <v>0</v>
      </c>
      <c r="I7332" t="n">
        <v>0</v>
      </c>
      <c r="J7332" t="n">
        <v>0</v>
      </c>
      <c r="K7332" t="n">
        <v>0</v>
      </c>
      <c r="L7332" t="n">
        <v>0</v>
      </c>
      <c r="M7332" t="n">
        <v>0</v>
      </c>
      <c r="N7332" t="n">
        <v>0</v>
      </c>
      <c r="O7332" t="n">
        <v>0</v>
      </c>
      <c r="P7332" t="n">
        <v>0</v>
      </c>
      <c r="Q7332" t="n">
        <v>0</v>
      </c>
      <c r="R7332" s="2" t="inlineStr"/>
      <c r="T7332">
        <f>HYPERLINK("https://klasma.github.io/Logging_0687/kartor/A 44235-2025 karta.png", "A 44235-2025")</f>
        <v/>
      </c>
      <c r="V7332">
        <f>HYPERLINK("https://klasma.github.io/Logging_0687/klagomål/A 44235-2025 FSC-klagomål.docx", "A 44235-2025")</f>
        <v/>
      </c>
      <c r="W7332">
        <f>HYPERLINK("https://klasma.github.io/Logging_0687/klagomålsmail/A 44235-2025 FSC-klagomål mail.docx", "A 44235-2025")</f>
        <v/>
      </c>
      <c r="X7332">
        <f>HYPERLINK("https://klasma.github.io/Logging_0687/tillsyn/A 44235-2025 tillsynsbegäran.docx", "A 44235-2025")</f>
        <v/>
      </c>
      <c r="Y7332">
        <f>HYPERLINK("https://klasma.github.io/Logging_0687/tillsynsmail/A 44235-2025 tillsynsbegäran mail.docx", "A 44235-2025")</f>
        <v/>
      </c>
    </row>
    <row r="7333" ht="15" customHeight="1">
      <c r="A7333" t="inlineStr">
        <is>
          <t>A 44762-2025</t>
        </is>
      </c>
      <c r="B7333" s="1" t="n">
        <v>45917</v>
      </c>
      <c r="C7333" s="1" t="n">
        <v>45962</v>
      </c>
      <c r="D7333" t="inlineStr">
        <is>
          <t>JÖNKÖPINGS LÄN</t>
        </is>
      </c>
      <c r="E7333" t="inlineStr">
        <is>
          <t>NÄSSJÖ</t>
        </is>
      </c>
      <c r="G7333" t="n">
        <v>1.3</v>
      </c>
      <c r="H7333" t="n">
        <v>0</v>
      </c>
      <c r="I7333" t="n">
        <v>0</v>
      </c>
      <c r="J7333" t="n">
        <v>0</v>
      </c>
      <c r="K7333" t="n">
        <v>0</v>
      </c>
      <c r="L7333" t="n">
        <v>0</v>
      </c>
      <c r="M7333" t="n">
        <v>0</v>
      </c>
      <c r="N7333" t="n">
        <v>0</v>
      </c>
      <c r="O7333" t="n">
        <v>0</v>
      </c>
      <c r="P7333" t="n">
        <v>0</v>
      </c>
      <c r="Q7333" t="n">
        <v>0</v>
      </c>
      <c r="R7333" s="2" t="inlineStr"/>
    </row>
    <row r="7334" ht="15" customHeight="1">
      <c r="A7334" t="inlineStr">
        <is>
          <t>A 44763-2025</t>
        </is>
      </c>
      <c r="B7334" s="1" t="n">
        <v>45917</v>
      </c>
      <c r="C7334" s="1" t="n">
        <v>45962</v>
      </c>
      <c r="D7334" t="inlineStr">
        <is>
          <t>JÖNKÖPINGS LÄN</t>
        </is>
      </c>
      <c r="E7334" t="inlineStr">
        <is>
          <t>NÄSSJÖ</t>
        </is>
      </c>
      <c r="G7334" t="n">
        <v>0.5</v>
      </c>
      <c r="H7334" t="n">
        <v>0</v>
      </c>
      <c r="I7334" t="n">
        <v>0</v>
      </c>
      <c r="J7334" t="n">
        <v>0</v>
      </c>
      <c r="K7334" t="n">
        <v>0</v>
      </c>
      <c r="L7334" t="n">
        <v>0</v>
      </c>
      <c r="M7334" t="n">
        <v>0</v>
      </c>
      <c r="N7334" t="n">
        <v>0</v>
      </c>
      <c r="O7334" t="n">
        <v>0</v>
      </c>
      <c r="P7334" t="n">
        <v>0</v>
      </c>
      <c r="Q7334" t="n">
        <v>0</v>
      </c>
      <c r="R7334" s="2" t="inlineStr"/>
    </row>
    <row r="7335" ht="15" customHeight="1">
      <c r="A7335" t="inlineStr">
        <is>
          <t>A 53213-2025</t>
        </is>
      </c>
      <c r="B7335" s="1" t="n">
        <v>45958.5975</v>
      </c>
      <c r="C7335" s="1" t="n">
        <v>45962</v>
      </c>
      <c r="D7335" t="inlineStr">
        <is>
          <t>JÖNKÖPINGS LÄN</t>
        </is>
      </c>
      <c r="E7335" t="inlineStr">
        <is>
          <t>GISLAVED</t>
        </is>
      </c>
      <c r="G7335" t="n">
        <v>0.6</v>
      </c>
      <c r="H7335" t="n">
        <v>0</v>
      </c>
      <c r="I7335" t="n">
        <v>0</v>
      </c>
      <c r="J7335" t="n">
        <v>0</v>
      </c>
      <c r="K7335" t="n">
        <v>0</v>
      </c>
      <c r="L7335" t="n">
        <v>0</v>
      </c>
      <c r="M7335" t="n">
        <v>0</v>
      </c>
      <c r="N7335" t="n">
        <v>0</v>
      </c>
      <c r="O7335" t="n">
        <v>0</v>
      </c>
      <c r="P7335" t="n">
        <v>0</v>
      </c>
      <c r="Q7335" t="n">
        <v>0</v>
      </c>
      <c r="R7335" s="2" t="inlineStr"/>
    </row>
    <row r="7336" ht="15" customHeight="1">
      <c r="A7336" t="inlineStr">
        <is>
          <t>A 42073-2025</t>
        </is>
      </c>
      <c r="B7336" s="1" t="n">
        <v>45902</v>
      </c>
      <c r="C7336" s="1" t="n">
        <v>45962</v>
      </c>
      <c r="D7336" t="inlineStr">
        <is>
          <t>JÖNKÖPINGS LÄN</t>
        </is>
      </c>
      <c r="E7336" t="inlineStr">
        <is>
          <t>JÖNKÖPING</t>
        </is>
      </c>
      <c r="G7336" t="n">
        <v>3</v>
      </c>
      <c r="H7336" t="n">
        <v>0</v>
      </c>
      <c r="I7336" t="n">
        <v>0</v>
      </c>
      <c r="J7336" t="n">
        <v>0</v>
      </c>
      <c r="K7336" t="n">
        <v>0</v>
      </c>
      <c r="L7336" t="n">
        <v>0</v>
      </c>
      <c r="M7336" t="n">
        <v>0</v>
      </c>
      <c r="N7336" t="n">
        <v>0</v>
      </c>
      <c r="O7336" t="n">
        <v>0</v>
      </c>
      <c r="P7336" t="n">
        <v>0</v>
      </c>
      <c r="Q7336" t="n">
        <v>0</v>
      </c>
      <c r="R7336" s="2" t="inlineStr"/>
    </row>
    <row r="7337" ht="15" customHeight="1">
      <c r="A7337" t="inlineStr">
        <is>
          <t>A 53144-2025</t>
        </is>
      </c>
      <c r="B7337" s="1" t="n">
        <v>45958.47553240741</v>
      </c>
      <c r="C7337" s="1" t="n">
        <v>45962</v>
      </c>
      <c r="D7337" t="inlineStr">
        <is>
          <t>JÖNKÖPINGS LÄN</t>
        </is>
      </c>
      <c r="E7337" t="inlineStr">
        <is>
          <t>JÖNKÖPING</t>
        </is>
      </c>
      <c r="G7337" t="n">
        <v>4.2</v>
      </c>
      <c r="H7337" t="n">
        <v>0</v>
      </c>
      <c r="I7337" t="n">
        <v>0</v>
      </c>
      <c r="J7337" t="n">
        <v>0</v>
      </c>
      <c r="K7337" t="n">
        <v>0</v>
      </c>
      <c r="L7337" t="n">
        <v>0</v>
      </c>
      <c r="M7337" t="n">
        <v>0</v>
      </c>
      <c r="N7337" t="n">
        <v>0</v>
      </c>
      <c r="O7337" t="n">
        <v>0</v>
      </c>
      <c r="P7337" t="n">
        <v>0</v>
      </c>
      <c r="Q7337" t="n">
        <v>0</v>
      </c>
      <c r="R7337" s="2" t="inlineStr"/>
    </row>
    <row r="7338" ht="15" customHeight="1">
      <c r="A7338" t="inlineStr">
        <is>
          <t>A 44287-2025</t>
        </is>
      </c>
      <c r="B7338" s="1" t="n">
        <v>45916.34912037037</v>
      </c>
      <c r="C7338" s="1" t="n">
        <v>45962</v>
      </c>
      <c r="D7338" t="inlineStr">
        <is>
          <t>JÖNKÖPINGS LÄN</t>
        </is>
      </c>
      <c r="E7338" t="inlineStr">
        <is>
          <t>GISLAVED</t>
        </is>
      </c>
      <c r="G7338" t="n">
        <v>3.2</v>
      </c>
      <c r="H7338" t="n">
        <v>0</v>
      </c>
      <c r="I7338" t="n">
        <v>0</v>
      </c>
      <c r="J7338" t="n">
        <v>0</v>
      </c>
      <c r="K7338" t="n">
        <v>0</v>
      </c>
      <c r="L7338" t="n">
        <v>0</v>
      </c>
      <c r="M7338" t="n">
        <v>0</v>
      </c>
      <c r="N7338" t="n">
        <v>0</v>
      </c>
      <c r="O7338" t="n">
        <v>0</v>
      </c>
      <c r="P7338" t="n">
        <v>0</v>
      </c>
      <c r="Q7338" t="n">
        <v>0</v>
      </c>
      <c r="R7338" s="2" t="inlineStr"/>
    </row>
    <row r="7339" ht="15" customHeight="1">
      <c r="A7339" t="inlineStr">
        <is>
          <t>A 53302-2025</t>
        </is>
      </c>
      <c r="B7339" s="1" t="n">
        <v>45959.33079861111</v>
      </c>
      <c r="C7339" s="1" t="n">
        <v>45962</v>
      </c>
      <c r="D7339" t="inlineStr">
        <is>
          <t>JÖNKÖPINGS LÄN</t>
        </is>
      </c>
      <c r="E7339" t="inlineStr">
        <is>
          <t>SÄVSJÖ</t>
        </is>
      </c>
      <c r="G7339" t="n">
        <v>4.2</v>
      </c>
      <c r="H7339" t="n">
        <v>0</v>
      </c>
      <c r="I7339" t="n">
        <v>0</v>
      </c>
      <c r="J7339" t="n">
        <v>0</v>
      </c>
      <c r="K7339" t="n">
        <v>0</v>
      </c>
      <c r="L7339" t="n">
        <v>0</v>
      </c>
      <c r="M7339" t="n">
        <v>0</v>
      </c>
      <c r="N7339" t="n">
        <v>0</v>
      </c>
      <c r="O7339" t="n">
        <v>0</v>
      </c>
      <c r="P7339" t="n">
        <v>0</v>
      </c>
      <c r="Q7339" t="n">
        <v>0</v>
      </c>
      <c r="R7339" s="2" t="inlineStr"/>
    </row>
    <row r="7340" ht="15" customHeight="1">
      <c r="A7340" t="inlineStr">
        <is>
          <t>A 53212-2025</t>
        </is>
      </c>
      <c r="B7340" s="1" t="n">
        <v>45958.59641203703</v>
      </c>
      <c r="C7340" s="1" t="n">
        <v>45962</v>
      </c>
      <c r="D7340" t="inlineStr">
        <is>
          <t>JÖNKÖPINGS LÄN</t>
        </is>
      </c>
      <c r="E7340" t="inlineStr">
        <is>
          <t>GISLAVED</t>
        </is>
      </c>
      <c r="G7340" t="n">
        <v>1.6</v>
      </c>
      <c r="H7340" t="n">
        <v>0</v>
      </c>
      <c r="I7340" t="n">
        <v>0</v>
      </c>
      <c r="J7340" t="n">
        <v>0</v>
      </c>
      <c r="K7340" t="n">
        <v>0</v>
      </c>
      <c r="L7340" t="n">
        <v>0</v>
      </c>
      <c r="M7340" t="n">
        <v>0</v>
      </c>
      <c r="N7340" t="n">
        <v>0</v>
      </c>
      <c r="O7340" t="n">
        <v>0</v>
      </c>
      <c r="P7340" t="n">
        <v>0</v>
      </c>
      <c r="Q7340" t="n">
        <v>0</v>
      </c>
      <c r="R7340" s="2" t="inlineStr"/>
    </row>
    <row r="7341" ht="15" customHeight="1">
      <c r="A7341" t="inlineStr">
        <is>
          <t>A 53214-2025</t>
        </is>
      </c>
      <c r="B7341" s="1" t="n">
        <v>45958.59887731481</v>
      </c>
      <c r="C7341" s="1" t="n">
        <v>45962</v>
      </c>
      <c r="D7341" t="inlineStr">
        <is>
          <t>JÖNKÖPINGS LÄN</t>
        </is>
      </c>
      <c r="E7341" t="inlineStr">
        <is>
          <t>GISLAVED</t>
        </is>
      </c>
      <c r="G7341" t="n">
        <v>0.7</v>
      </c>
      <c r="H7341" t="n">
        <v>0</v>
      </c>
      <c r="I7341" t="n">
        <v>0</v>
      </c>
      <c r="J7341" t="n">
        <v>0</v>
      </c>
      <c r="K7341" t="n">
        <v>0</v>
      </c>
      <c r="L7341" t="n">
        <v>0</v>
      </c>
      <c r="M7341" t="n">
        <v>0</v>
      </c>
      <c r="N7341" t="n">
        <v>0</v>
      </c>
      <c r="O7341" t="n">
        <v>0</v>
      </c>
      <c r="P7341" t="n">
        <v>0</v>
      </c>
      <c r="Q7341" t="n">
        <v>0</v>
      </c>
      <c r="R7341" s="2" t="inlineStr"/>
    </row>
    <row r="7342" ht="15" customHeight="1">
      <c r="A7342" t="inlineStr">
        <is>
          <t>A 53148-2025</t>
        </is>
      </c>
      <c r="B7342" s="1" t="n">
        <v>45958.47931712963</v>
      </c>
      <c r="C7342" s="1" t="n">
        <v>45962</v>
      </c>
      <c r="D7342" t="inlineStr">
        <is>
          <t>JÖNKÖPINGS LÄN</t>
        </is>
      </c>
      <c r="E7342" t="inlineStr">
        <is>
          <t>JÖNKÖPING</t>
        </is>
      </c>
      <c r="G7342" t="n">
        <v>0.7</v>
      </c>
      <c r="H7342" t="n">
        <v>0</v>
      </c>
      <c r="I7342" t="n">
        <v>0</v>
      </c>
      <c r="J7342" t="n">
        <v>0</v>
      </c>
      <c r="K7342" t="n">
        <v>0</v>
      </c>
      <c r="L7342" t="n">
        <v>0</v>
      </c>
      <c r="M7342" t="n">
        <v>0</v>
      </c>
      <c r="N7342" t="n">
        <v>0</v>
      </c>
      <c r="O7342" t="n">
        <v>0</v>
      </c>
      <c r="P7342" t="n">
        <v>0</v>
      </c>
      <c r="Q7342" t="n">
        <v>0</v>
      </c>
      <c r="R7342" s="2" t="inlineStr"/>
    </row>
    <row r="7343" ht="15" customHeight="1">
      <c r="A7343" t="inlineStr">
        <is>
          <t>A 44866-2025</t>
        </is>
      </c>
      <c r="B7343" s="1" t="n">
        <v>45918.46302083333</v>
      </c>
      <c r="C7343" s="1" t="n">
        <v>45962</v>
      </c>
      <c r="D7343" t="inlineStr">
        <is>
          <t>JÖNKÖPINGS LÄN</t>
        </is>
      </c>
      <c r="E7343" t="inlineStr">
        <is>
          <t>ANEBY</t>
        </is>
      </c>
      <c r="G7343" t="n">
        <v>1.4</v>
      </c>
      <c r="H7343" t="n">
        <v>0</v>
      </c>
      <c r="I7343" t="n">
        <v>0</v>
      </c>
      <c r="J7343" t="n">
        <v>0</v>
      </c>
      <c r="K7343" t="n">
        <v>0</v>
      </c>
      <c r="L7343" t="n">
        <v>0</v>
      </c>
      <c r="M7343" t="n">
        <v>0</v>
      </c>
      <c r="N7343" t="n">
        <v>0</v>
      </c>
      <c r="O7343" t="n">
        <v>0</v>
      </c>
      <c r="P7343" t="n">
        <v>0</v>
      </c>
      <c r="Q7343" t="n">
        <v>0</v>
      </c>
      <c r="R7343" s="2" t="inlineStr"/>
    </row>
    <row r="7344" ht="15" customHeight="1">
      <c r="A7344" t="inlineStr">
        <is>
          <t>A 45046-2025</t>
        </is>
      </c>
      <c r="B7344" s="1" t="n">
        <v>45919.2841087963</v>
      </c>
      <c r="C7344" s="1" t="n">
        <v>45962</v>
      </c>
      <c r="D7344" t="inlineStr">
        <is>
          <t>JÖNKÖPINGS LÄN</t>
        </is>
      </c>
      <c r="E7344" t="inlineStr">
        <is>
          <t>JÖNKÖPING</t>
        </is>
      </c>
      <c r="G7344" t="n">
        <v>2.1</v>
      </c>
      <c r="H7344" t="n">
        <v>0</v>
      </c>
      <c r="I7344" t="n">
        <v>0</v>
      </c>
      <c r="J7344" t="n">
        <v>0</v>
      </c>
      <c r="K7344" t="n">
        <v>0</v>
      </c>
      <c r="L7344" t="n">
        <v>0</v>
      </c>
      <c r="M7344" t="n">
        <v>0</v>
      </c>
      <c r="N7344" t="n">
        <v>0</v>
      </c>
      <c r="O7344" t="n">
        <v>0</v>
      </c>
      <c r="P7344" t="n">
        <v>0</v>
      </c>
      <c r="Q7344" t="n">
        <v>0</v>
      </c>
      <c r="R7344" s="2" t="inlineStr"/>
    </row>
    <row r="7345" ht="15" customHeight="1">
      <c r="A7345" t="inlineStr">
        <is>
          <t>A 53941-2025</t>
        </is>
      </c>
      <c r="B7345" s="1" t="n">
        <v>45961.48866898148</v>
      </c>
      <c r="C7345" s="1" t="n">
        <v>45962</v>
      </c>
      <c r="D7345" t="inlineStr">
        <is>
          <t>JÖNKÖPINGS LÄN</t>
        </is>
      </c>
      <c r="E7345" t="inlineStr">
        <is>
          <t>GISLAVED</t>
        </is>
      </c>
      <c r="G7345" t="n">
        <v>1.5</v>
      </c>
      <c r="H7345" t="n">
        <v>0</v>
      </c>
      <c r="I7345" t="n">
        <v>0</v>
      </c>
      <c r="J7345" t="n">
        <v>0</v>
      </c>
      <c r="K7345" t="n">
        <v>0</v>
      </c>
      <c r="L7345" t="n">
        <v>0</v>
      </c>
      <c r="M7345" t="n">
        <v>0</v>
      </c>
      <c r="N7345" t="n">
        <v>0</v>
      </c>
      <c r="O7345" t="n">
        <v>0</v>
      </c>
      <c r="P7345" t="n">
        <v>0</v>
      </c>
      <c r="Q7345" t="n">
        <v>0</v>
      </c>
      <c r="R7345" s="2" t="inlineStr"/>
    </row>
    <row r="7346" ht="15" customHeight="1">
      <c r="A7346" t="inlineStr">
        <is>
          <t>A 53538-2025</t>
        </is>
      </c>
      <c r="B7346" s="1" t="n">
        <v>45959</v>
      </c>
      <c r="C7346" s="1" t="n">
        <v>45962</v>
      </c>
      <c r="D7346" t="inlineStr">
        <is>
          <t>JÖNKÖPINGS LÄN</t>
        </is>
      </c>
      <c r="E7346" t="inlineStr">
        <is>
          <t>MULLSJÖ</t>
        </is>
      </c>
      <c r="G7346" t="n">
        <v>0.8</v>
      </c>
      <c r="H7346" t="n">
        <v>0</v>
      </c>
      <c r="I7346" t="n">
        <v>0</v>
      </c>
      <c r="J7346" t="n">
        <v>0</v>
      </c>
      <c r="K7346" t="n">
        <v>0</v>
      </c>
      <c r="L7346" t="n">
        <v>0</v>
      </c>
      <c r="M7346" t="n">
        <v>0</v>
      </c>
      <c r="N7346" t="n">
        <v>0</v>
      </c>
      <c r="O7346" t="n">
        <v>0</v>
      </c>
      <c r="P7346" t="n">
        <v>0</v>
      </c>
      <c r="Q7346" t="n">
        <v>0</v>
      </c>
      <c r="R7346" s="2" t="inlineStr"/>
    </row>
    <row r="7347" ht="15" customHeight="1">
      <c r="A7347" t="inlineStr">
        <is>
          <t>A 53940-2025</t>
        </is>
      </c>
      <c r="B7347" s="1" t="n">
        <v>45961.48788194444</v>
      </c>
      <c r="C7347" s="1" t="n">
        <v>45962</v>
      </c>
      <c r="D7347" t="inlineStr">
        <is>
          <t>JÖNKÖPINGS LÄN</t>
        </is>
      </c>
      <c r="E7347" t="inlineStr">
        <is>
          <t>GISLAVED</t>
        </is>
      </c>
      <c r="G7347" t="n">
        <v>4.8</v>
      </c>
      <c r="H7347" t="n">
        <v>0</v>
      </c>
      <c r="I7347" t="n">
        <v>0</v>
      </c>
      <c r="J7347" t="n">
        <v>0</v>
      </c>
      <c r="K7347" t="n">
        <v>0</v>
      </c>
      <c r="L7347" t="n">
        <v>0</v>
      </c>
      <c r="M7347" t="n">
        <v>0</v>
      </c>
      <c r="N7347" t="n">
        <v>0</v>
      </c>
      <c r="O7347" t="n">
        <v>0</v>
      </c>
      <c r="P7347" t="n">
        <v>0</v>
      </c>
      <c r="Q7347" t="n">
        <v>0</v>
      </c>
      <c r="R7347" s="2" t="inlineStr"/>
    </row>
    <row r="7348" ht="15" customHeight="1">
      <c r="A7348" t="inlineStr">
        <is>
          <t>A 45275-2025</t>
        </is>
      </c>
      <c r="B7348" s="1" t="n">
        <v>45919.70690972222</v>
      </c>
      <c r="C7348" s="1" t="n">
        <v>45962</v>
      </c>
      <c r="D7348" t="inlineStr">
        <is>
          <t>JÖNKÖPINGS LÄN</t>
        </is>
      </c>
      <c r="E7348" t="inlineStr">
        <is>
          <t>VÄRNAMO</t>
        </is>
      </c>
      <c r="G7348" t="n">
        <v>0.7</v>
      </c>
      <c r="H7348" t="n">
        <v>0</v>
      </c>
      <c r="I7348" t="n">
        <v>0</v>
      </c>
      <c r="J7348" t="n">
        <v>0</v>
      </c>
      <c r="K7348" t="n">
        <v>0</v>
      </c>
      <c r="L7348" t="n">
        <v>0</v>
      </c>
      <c r="M7348" t="n">
        <v>0</v>
      </c>
      <c r="N7348" t="n">
        <v>0</v>
      </c>
      <c r="O7348" t="n">
        <v>0</v>
      </c>
      <c r="P7348" t="n">
        <v>0</v>
      </c>
      <c r="Q7348" t="n">
        <v>0</v>
      </c>
      <c r="R7348" s="2" t="inlineStr"/>
    </row>
    <row r="7349" ht="15" customHeight="1">
      <c r="A7349" t="inlineStr">
        <is>
          <t>A 45196-2025</t>
        </is>
      </c>
      <c r="B7349" s="1" t="n">
        <v>45919</v>
      </c>
      <c r="C7349" s="1" t="n">
        <v>45962</v>
      </c>
      <c r="D7349" t="inlineStr">
        <is>
          <t>JÖNKÖPINGS LÄN</t>
        </is>
      </c>
      <c r="E7349" t="inlineStr">
        <is>
          <t>TRANÅS</t>
        </is>
      </c>
      <c r="G7349" t="n">
        <v>2.4</v>
      </c>
      <c r="H7349" t="n">
        <v>0</v>
      </c>
      <c r="I7349" t="n">
        <v>0</v>
      </c>
      <c r="J7349" t="n">
        <v>0</v>
      </c>
      <c r="K7349" t="n">
        <v>0</v>
      </c>
      <c r="L7349" t="n">
        <v>0</v>
      </c>
      <c r="M7349" t="n">
        <v>0</v>
      </c>
      <c r="N7349" t="n">
        <v>0</v>
      </c>
      <c r="O7349" t="n">
        <v>0</v>
      </c>
      <c r="P7349" t="n">
        <v>0</v>
      </c>
      <c r="Q7349" t="n">
        <v>0</v>
      </c>
      <c r="R7349" s="2" t="inlineStr"/>
    </row>
    <row r="7350" ht="15" customHeight="1">
      <c r="A7350" t="inlineStr">
        <is>
          <t>A 45274-2025</t>
        </is>
      </c>
      <c r="B7350" s="1" t="n">
        <v>45919.70596064815</v>
      </c>
      <c r="C7350" s="1" t="n">
        <v>45962</v>
      </c>
      <c r="D7350" t="inlineStr">
        <is>
          <t>JÖNKÖPINGS LÄN</t>
        </is>
      </c>
      <c r="E7350" t="inlineStr">
        <is>
          <t>VÄRNAMO</t>
        </is>
      </c>
      <c r="G7350" t="n">
        <v>0.9</v>
      </c>
      <c r="H7350" t="n">
        <v>0</v>
      </c>
      <c r="I7350" t="n">
        <v>0</v>
      </c>
      <c r="J7350" t="n">
        <v>0</v>
      </c>
      <c r="K7350" t="n">
        <v>0</v>
      </c>
      <c r="L7350" t="n">
        <v>0</v>
      </c>
      <c r="M7350" t="n">
        <v>0</v>
      </c>
      <c r="N7350" t="n">
        <v>0</v>
      </c>
      <c r="O7350" t="n">
        <v>0</v>
      </c>
      <c r="P7350" t="n">
        <v>0</v>
      </c>
      <c r="Q7350" t="n">
        <v>0</v>
      </c>
      <c r="R7350" s="2" t="inlineStr"/>
    </row>
    <row r="7351" ht="15" customHeight="1">
      <c r="A7351" t="inlineStr">
        <is>
          <t>A 45276-2025</t>
        </is>
      </c>
      <c r="B7351" s="1" t="n">
        <v>45919</v>
      </c>
      <c r="C7351" s="1" t="n">
        <v>45962</v>
      </c>
      <c r="D7351" t="inlineStr">
        <is>
          <t>JÖNKÖPINGS LÄN</t>
        </is>
      </c>
      <c r="E7351" t="inlineStr">
        <is>
          <t>SÄVSJÖ</t>
        </is>
      </c>
      <c r="G7351" t="n">
        <v>7.6</v>
      </c>
      <c r="H7351" t="n">
        <v>0</v>
      </c>
      <c r="I7351" t="n">
        <v>0</v>
      </c>
      <c r="J7351" t="n">
        <v>0</v>
      </c>
      <c r="K7351" t="n">
        <v>0</v>
      </c>
      <c r="L7351" t="n">
        <v>0</v>
      </c>
      <c r="M7351" t="n">
        <v>0</v>
      </c>
      <c r="N7351" t="n">
        <v>0</v>
      </c>
      <c r="O7351" t="n">
        <v>0</v>
      </c>
      <c r="P7351" t="n">
        <v>0</v>
      </c>
      <c r="Q7351" t="n">
        <v>0</v>
      </c>
      <c r="R7351" s="2" t="inlineStr"/>
    </row>
    <row r="7352" ht="15" customHeight="1">
      <c r="A7352" t="inlineStr">
        <is>
          <t>A 53895-2025</t>
        </is>
      </c>
      <c r="B7352" s="1" t="n">
        <v>45961.42650462963</v>
      </c>
      <c r="C7352" s="1" t="n">
        <v>45962</v>
      </c>
      <c r="D7352" t="inlineStr">
        <is>
          <t>JÖNKÖPINGS LÄN</t>
        </is>
      </c>
      <c r="E7352" t="inlineStr">
        <is>
          <t>GNOSJÖ</t>
        </is>
      </c>
      <c r="G7352" t="n">
        <v>1.7</v>
      </c>
      <c r="H7352" t="n">
        <v>0</v>
      </c>
      <c r="I7352" t="n">
        <v>0</v>
      </c>
      <c r="J7352" t="n">
        <v>0</v>
      </c>
      <c r="K7352" t="n">
        <v>0</v>
      </c>
      <c r="L7352" t="n">
        <v>0</v>
      </c>
      <c r="M7352" t="n">
        <v>0</v>
      </c>
      <c r="N7352" t="n">
        <v>0</v>
      </c>
      <c r="O7352" t="n">
        <v>0</v>
      </c>
      <c r="P7352" t="n">
        <v>0</v>
      </c>
      <c r="Q7352" t="n">
        <v>0</v>
      </c>
      <c r="R7352" s="2" t="inlineStr"/>
    </row>
    <row r="7353" ht="15" customHeight="1">
      <c r="A7353" t="inlineStr">
        <is>
          <t>A 45160-2025</t>
        </is>
      </c>
      <c r="B7353" s="1" t="n">
        <v>45919.48847222222</v>
      </c>
      <c r="C7353" s="1" t="n">
        <v>45962</v>
      </c>
      <c r="D7353" t="inlineStr">
        <is>
          <t>JÖNKÖPINGS LÄN</t>
        </is>
      </c>
      <c r="E7353" t="inlineStr">
        <is>
          <t>VÄRNAMO</t>
        </is>
      </c>
      <c r="G7353" t="n">
        <v>5.4</v>
      </c>
      <c r="H7353" t="n">
        <v>0</v>
      </c>
      <c r="I7353" t="n">
        <v>0</v>
      </c>
      <c r="J7353" t="n">
        <v>0</v>
      </c>
      <c r="K7353" t="n">
        <v>0</v>
      </c>
      <c r="L7353" t="n">
        <v>0</v>
      </c>
      <c r="M7353" t="n">
        <v>0</v>
      </c>
      <c r="N7353" t="n">
        <v>0</v>
      </c>
      <c r="O7353" t="n">
        <v>0</v>
      </c>
      <c r="P7353" t="n">
        <v>0</v>
      </c>
      <c r="Q7353" t="n">
        <v>0</v>
      </c>
      <c r="R7353" s="2" t="inlineStr"/>
    </row>
    <row r="7354" ht="15" customHeight="1">
      <c r="A7354" t="inlineStr">
        <is>
          <t>A 53473-2025</t>
        </is>
      </c>
      <c r="B7354" s="1" t="n">
        <v>45959</v>
      </c>
      <c r="C7354" s="1" t="n">
        <v>45962</v>
      </c>
      <c r="D7354" t="inlineStr">
        <is>
          <t>JÖNKÖPINGS LÄN</t>
        </is>
      </c>
      <c r="E7354" t="inlineStr">
        <is>
          <t>VÄRNAMO</t>
        </is>
      </c>
      <c r="G7354" t="n">
        <v>1.4</v>
      </c>
      <c r="H7354" t="n">
        <v>0</v>
      </c>
      <c r="I7354" t="n">
        <v>0</v>
      </c>
      <c r="J7354" t="n">
        <v>0</v>
      </c>
      <c r="K7354" t="n">
        <v>0</v>
      </c>
      <c r="L7354" t="n">
        <v>0</v>
      </c>
      <c r="M7354" t="n">
        <v>0</v>
      </c>
      <c r="N7354" t="n">
        <v>0</v>
      </c>
      <c r="O7354" t="n">
        <v>0</v>
      </c>
      <c r="P7354" t="n">
        <v>0</v>
      </c>
      <c r="Q7354" t="n">
        <v>0</v>
      </c>
      <c r="R7354" s="2" t="inlineStr"/>
    </row>
    <row r="7355" ht="15" customHeight="1">
      <c r="A7355" t="inlineStr">
        <is>
          <t>A 53570-2025</t>
        </is>
      </c>
      <c r="B7355" s="1" t="n">
        <v>45960.41339120371</v>
      </c>
      <c r="C7355" s="1" t="n">
        <v>45962</v>
      </c>
      <c r="D7355" t="inlineStr">
        <is>
          <t>JÖNKÖPINGS LÄN</t>
        </is>
      </c>
      <c r="E7355" t="inlineStr">
        <is>
          <t>ANEBY</t>
        </is>
      </c>
      <c r="G7355" t="n">
        <v>1.5</v>
      </c>
      <c r="H7355" t="n">
        <v>0</v>
      </c>
      <c r="I7355" t="n">
        <v>0</v>
      </c>
      <c r="J7355" t="n">
        <v>0</v>
      </c>
      <c r="K7355" t="n">
        <v>0</v>
      </c>
      <c r="L7355" t="n">
        <v>0</v>
      </c>
      <c r="M7355" t="n">
        <v>0</v>
      </c>
      <c r="N7355" t="n">
        <v>0</v>
      </c>
      <c r="O7355" t="n">
        <v>0</v>
      </c>
      <c r="P7355" t="n">
        <v>0</v>
      </c>
      <c r="Q7355" t="n">
        <v>0</v>
      </c>
      <c r="R7355" s="2" t="inlineStr"/>
    </row>
    <row r="7356" ht="15" customHeight="1">
      <c r="A7356" t="inlineStr">
        <is>
          <t>A 44962-2025</t>
        </is>
      </c>
      <c r="B7356" s="1" t="n">
        <v>45918.61972222223</v>
      </c>
      <c r="C7356" s="1" t="n">
        <v>45962</v>
      </c>
      <c r="D7356" t="inlineStr">
        <is>
          <t>JÖNKÖPINGS LÄN</t>
        </is>
      </c>
      <c r="E7356" t="inlineStr">
        <is>
          <t>GISLAVED</t>
        </is>
      </c>
      <c r="G7356" t="n">
        <v>1.8</v>
      </c>
      <c r="H7356" t="n">
        <v>0</v>
      </c>
      <c r="I7356" t="n">
        <v>0</v>
      </c>
      <c r="J7356" t="n">
        <v>0</v>
      </c>
      <c r="K7356" t="n">
        <v>0</v>
      </c>
      <c r="L7356" t="n">
        <v>0</v>
      </c>
      <c r="M7356" t="n">
        <v>0</v>
      </c>
      <c r="N7356" t="n">
        <v>0</v>
      </c>
      <c r="O7356" t="n">
        <v>0</v>
      </c>
      <c r="P7356" t="n">
        <v>0</v>
      </c>
      <c r="Q7356" t="n">
        <v>0</v>
      </c>
      <c r="R7356" s="2" t="inlineStr"/>
    </row>
    <row r="7357" ht="15" customHeight="1">
      <c r="A7357" t="inlineStr">
        <is>
          <t>A 44896-2025</t>
        </is>
      </c>
      <c r="B7357" s="1" t="n">
        <v>45918.50519675926</v>
      </c>
      <c r="C7357" s="1" t="n">
        <v>45962</v>
      </c>
      <c r="D7357" t="inlineStr">
        <is>
          <t>JÖNKÖPINGS LÄN</t>
        </is>
      </c>
      <c r="E7357" t="inlineStr">
        <is>
          <t>GISLAVED</t>
        </is>
      </c>
      <c r="G7357" t="n">
        <v>0.5</v>
      </c>
      <c r="H7357" t="n">
        <v>0</v>
      </c>
      <c r="I7357" t="n">
        <v>0</v>
      </c>
      <c r="J7357" t="n">
        <v>0</v>
      </c>
      <c r="K7357" t="n">
        <v>0</v>
      </c>
      <c r="L7357" t="n">
        <v>0</v>
      </c>
      <c r="M7357" t="n">
        <v>0</v>
      </c>
      <c r="N7357" t="n">
        <v>0</v>
      </c>
      <c r="O7357" t="n">
        <v>0</v>
      </c>
      <c r="P7357" t="n">
        <v>0</v>
      </c>
      <c r="Q7357" t="n">
        <v>0</v>
      </c>
      <c r="R7357" s="2" t="inlineStr"/>
    </row>
    <row r="7358" ht="15" customHeight="1">
      <c r="A7358" t="inlineStr">
        <is>
          <t>A 53743-2025</t>
        </is>
      </c>
      <c r="B7358" s="1" t="n">
        <v>45960.64703703704</v>
      </c>
      <c r="C7358" s="1" t="n">
        <v>45962</v>
      </c>
      <c r="D7358" t="inlineStr">
        <is>
          <t>JÖNKÖPINGS LÄN</t>
        </is>
      </c>
      <c r="E7358" t="inlineStr">
        <is>
          <t>VETLANDA</t>
        </is>
      </c>
      <c r="G7358" t="n">
        <v>1.1</v>
      </c>
      <c r="H7358" t="n">
        <v>0</v>
      </c>
      <c r="I7358" t="n">
        <v>0</v>
      </c>
      <c r="J7358" t="n">
        <v>0</v>
      </c>
      <c r="K7358" t="n">
        <v>0</v>
      </c>
      <c r="L7358" t="n">
        <v>0</v>
      </c>
      <c r="M7358" t="n">
        <v>0</v>
      </c>
      <c r="N7358" t="n">
        <v>0</v>
      </c>
      <c r="O7358" t="n">
        <v>0</v>
      </c>
      <c r="P7358" t="n">
        <v>0</v>
      </c>
      <c r="Q7358" t="n">
        <v>0</v>
      </c>
      <c r="R7358" s="2" t="inlineStr"/>
    </row>
    <row r="7359" ht="15" customHeight="1">
      <c r="A7359" t="inlineStr">
        <is>
          <t>A 44883-2025</t>
        </is>
      </c>
      <c r="B7359" s="1" t="n">
        <v>45918.48857638889</v>
      </c>
      <c r="C7359" s="1" t="n">
        <v>45962</v>
      </c>
      <c r="D7359" t="inlineStr">
        <is>
          <t>JÖNKÖPINGS LÄN</t>
        </is>
      </c>
      <c r="E7359" t="inlineStr">
        <is>
          <t>EKSJÖ</t>
        </is>
      </c>
      <c r="G7359" t="n">
        <v>3.9</v>
      </c>
      <c r="H7359" t="n">
        <v>0</v>
      </c>
      <c r="I7359" t="n">
        <v>0</v>
      </c>
      <c r="J7359" t="n">
        <v>0</v>
      </c>
      <c r="K7359" t="n">
        <v>0</v>
      </c>
      <c r="L7359" t="n">
        <v>0</v>
      </c>
      <c r="M7359" t="n">
        <v>0</v>
      </c>
      <c r="N7359" t="n">
        <v>0</v>
      </c>
      <c r="O7359" t="n">
        <v>0</v>
      </c>
      <c r="P7359" t="n">
        <v>0</v>
      </c>
      <c r="Q7359" t="n">
        <v>0</v>
      </c>
      <c r="R7359" s="2" t="inlineStr"/>
    </row>
    <row r="7360" ht="15" customHeight="1">
      <c r="A7360" t="inlineStr">
        <is>
          <t>A 53845-2025</t>
        </is>
      </c>
      <c r="B7360" s="1" t="n">
        <v>45961.36596064815</v>
      </c>
      <c r="C7360" s="1" t="n">
        <v>45962</v>
      </c>
      <c r="D7360" t="inlineStr">
        <is>
          <t>JÖNKÖPINGS LÄN</t>
        </is>
      </c>
      <c r="E7360" t="inlineStr">
        <is>
          <t>GNOSJÖ</t>
        </is>
      </c>
      <c r="G7360" t="n">
        <v>2.5</v>
      </c>
      <c r="H7360" t="n">
        <v>0</v>
      </c>
      <c r="I7360" t="n">
        <v>0</v>
      </c>
      <c r="J7360" t="n">
        <v>0</v>
      </c>
      <c r="K7360" t="n">
        <v>0</v>
      </c>
      <c r="L7360" t="n">
        <v>0</v>
      </c>
      <c r="M7360" t="n">
        <v>0</v>
      </c>
      <c r="N7360" t="n">
        <v>0</v>
      </c>
      <c r="O7360" t="n">
        <v>0</v>
      </c>
      <c r="P7360" t="n">
        <v>0</v>
      </c>
      <c r="Q7360" t="n">
        <v>0</v>
      </c>
      <c r="R7360" s="2" t="inlineStr"/>
    </row>
    <row r="7361" ht="15" customHeight="1">
      <c r="A7361" t="inlineStr">
        <is>
          <t>A 53738-2025</t>
        </is>
      </c>
      <c r="B7361" s="1" t="n">
        <v>45960.6453587963</v>
      </c>
      <c r="C7361" s="1" t="n">
        <v>45962</v>
      </c>
      <c r="D7361" t="inlineStr">
        <is>
          <t>JÖNKÖPINGS LÄN</t>
        </is>
      </c>
      <c r="E7361" t="inlineStr">
        <is>
          <t>VETLANDA</t>
        </is>
      </c>
      <c r="G7361" t="n">
        <v>1.3</v>
      </c>
      <c r="H7361" t="n">
        <v>0</v>
      </c>
      <c r="I7361" t="n">
        <v>0</v>
      </c>
      <c r="J7361" t="n">
        <v>0</v>
      </c>
      <c r="K7361" t="n">
        <v>0</v>
      </c>
      <c r="L7361" t="n">
        <v>0</v>
      </c>
      <c r="M7361" t="n">
        <v>0</v>
      </c>
      <c r="N7361" t="n">
        <v>0</v>
      </c>
      <c r="O7361" t="n">
        <v>0</v>
      </c>
      <c r="P7361" t="n">
        <v>0</v>
      </c>
      <c r="Q7361" t="n">
        <v>0</v>
      </c>
      <c r="R7361" s="2" t="inlineStr"/>
    </row>
    <row r="7362" ht="15" customHeight="1">
      <c r="A7362" t="inlineStr">
        <is>
          <t>A 45002-2025</t>
        </is>
      </c>
      <c r="B7362" s="1" t="n">
        <v>45918.66293981481</v>
      </c>
      <c r="C7362" s="1" t="n">
        <v>45962</v>
      </c>
      <c r="D7362" t="inlineStr">
        <is>
          <t>JÖNKÖPINGS LÄN</t>
        </is>
      </c>
      <c r="E7362" t="inlineStr">
        <is>
          <t>GISLAVED</t>
        </is>
      </c>
      <c r="G7362" t="n">
        <v>2.4</v>
      </c>
      <c r="H7362" t="n">
        <v>0</v>
      </c>
      <c r="I7362" t="n">
        <v>0</v>
      </c>
      <c r="J7362" t="n">
        <v>0</v>
      </c>
      <c r="K7362" t="n">
        <v>0</v>
      </c>
      <c r="L7362" t="n">
        <v>0</v>
      </c>
      <c r="M7362" t="n">
        <v>0</v>
      </c>
      <c r="N7362" t="n">
        <v>0</v>
      </c>
      <c r="O7362" t="n">
        <v>0</v>
      </c>
      <c r="P7362" t="n">
        <v>0</v>
      </c>
      <c r="Q7362" t="n">
        <v>0</v>
      </c>
      <c r="R7362" s="2" t="inlineStr"/>
    </row>
    <row r="7363" ht="15" customHeight="1">
      <c r="A7363" t="inlineStr">
        <is>
          <t>A 45047-2025</t>
        </is>
      </c>
      <c r="B7363" s="1" t="n">
        <v>45919.29105324074</v>
      </c>
      <c r="C7363" s="1" t="n">
        <v>45962</v>
      </c>
      <c r="D7363" t="inlineStr">
        <is>
          <t>JÖNKÖPINGS LÄN</t>
        </is>
      </c>
      <c r="E7363" t="inlineStr">
        <is>
          <t>NÄSSJÖ</t>
        </is>
      </c>
      <c r="G7363" t="n">
        <v>3.8</v>
      </c>
      <c r="H7363" t="n">
        <v>0</v>
      </c>
      <c r="I7363" t="n">
        <v>0</v>
      </c>
      <c r="J7363" t="n">
        <v>0</v>
      </c>
      <c r="K7363" t="n">
        <v>0</v>
      </c>
      <c r="L7363" t="n">
        <v>0</v>
      </c>
      <c r="M7363" t="n">
        <v>0</v>
      </c>
      <c r="N7363" t="n">
        <v>0</v>
      </c>
      <c r="O7363" t="n">
        <v>0</v>
      </c>
      <c r="P7363" t="n">
        <v>0</v>
      </c>
      <c r="Q7363" t="n">
        <v>0</v>
      </c>
      <c r="R7363" s="2" t="inlineStr"/>
    </row>
    <row r="7364" ht="15" customHeight="1">
      <c r="A7364" t="inlineStr">
        <is>
          <t>A 53963-2025</t>
        </is>
      </c>
      <c r="B7364" s="1" t="n">
        <v>45961.5391087963</v>
      </c>
      <c r="C7364" s="1" t="n">
        <v>45962</v>
      </c>
      <c r="D7364" t="inlineStr">
        <is>
          <t>JÖNKÖPINGS LÄN</t>
        </is>
      </c>
      <c r="E7364" t="inlineStr">
        <is>
          <t>GISLAVED</t>
        </is>
      </c>
      <c r="G7364" t="n">
        <v>0.7</v>
      </c>
      <c r="H7364" t="n">
        <v>0</v>
      </c>
      <c r="I7364" t="n">
        <v>0</v>
      </c>
      <c r="J7364" t="n">
        <v>0</v>
      </c>
      <c r="K7364" t="n">
        <v>0</v>
      </c>
      <c r="L7364" t="n">
        <v>0</v>
      </c>
      <c r="M7364" t="n">
        <v>0</v>
      </c>
      <c r="N7364" t="n">
        <v>0</v>
      </c>
      <c r="O7364" t="n">
        <v>0</v>
      </c>
      <c r="P7364" t="n">
        <v>0</v>
      </c>
      <c r="Q7364" t="n">
        <v>0</v>
      </c>
      <c r="R7364" s="2" t="inlineStr"/>
    </row>
    <row r="7365" ht="15" customHeight="1">
      <c r="A7365" t="inlineStr">
        <is>
          <t>A 45212-2025</t>
        </is>
      </c>
      <c r="B7365" s="1" t="n">
        <v>45919.57049768518</v>
      </c>
      <c r="C7365" s="1" t="n">
        <v>45962</v>
      </c>
      <c r="D7365" t="inlineStr">
        <is>
          <t>JÖNKÖPINGS LÄN</t>
        </is>
      </c>
      <c r="E7365" t="inlineStr">
        <is>
          <t>ANEBY</t>
        </is>
      </c>
      <c r="G7365" t="n">
        <v>0.6</v>
      </c>
      <c r="H7365" t="n">
        <v>0</v>
      </c>
      <c r="I7365" t="n">
        <v>0</v>
      </c>
      <c r="J7365" t="n">
        <v>0</v>
      </c>
      <c r="K7365" t="n">
        <v>0</v>
      </c>
      <c r="L7365" t="n">
        <v>0</v>
      </c>
      <c r="M7365" t="n">
        <v>0</v>
      </c>
      <c r="N7365" t="n">
        <v>0</v>
      </c>
      <c r="O7365" t="n">
        <v>0</v>
      </c>
      <c r="P7365" t="n">
        <v>0</v>
      </c>
      <c r="Q7365" t="n">
        <v>0</v>
      </c>
      <c r="R7365" s="2" t="inlineStr"/>
    </row>
    <row r="7366" ht="15" customHeight="1">
      <c r="A7366" t="inlineStr">
        <is>
          <t>A 44775-2025</t>
        </is>
      </c>
      <c r="B7366" s="1" t="n">
        <v>45917.83934027778</v>
      </c>
      <c r="C7366" s="1" t="n">
        <v>45962</v>
      </c>
      <c r="D7366" t="inlineStr">
        <is>
          <t>JÖNKÖPINGS LÄN</t>
        </is>
      </c>
      <c r="E7366" t="inlineStr">
        <is>
          <t>JÖNKÖPING</t>
        </is>
      </c>
      <c r="G7366" t="n">
        <v>1.7</v>
      </c>
      <c r="H7366" t="n">
        <v>0</v>
      </c>
      <c r="I7366" t="n">
        <v>0</v>
      </c>
      <c r="J7366" t="n">
        <v>0</v>
      </c>
      <c r="K7366" t="n">
        <v>0</v>
      </c>
      <c r="L7366" t="n">
        <v>0</v>
      </c>
      <c r="M7366" t="n">
        <v>0</v>
      </c>
      <c r="N7366" t="n">
        <v>0</v>
      </c>
      <c r="O7366" t="n">
        <v>0</v>
      </c>
      <c r="P7366" t="n">
        <v>0</v>
      </c>
      <c r="Q7366" t="n">
        <v>0</v>
      </c>
      <c r="R7366" s="2" t="inlineStr"/>
    </row>
    <row r="7367">
      <c r="A7367" t="inlineStr">
        <is>
          <t>A 53670-2025</t>
        </is>
      </c>
      <c r="B7367" s="1" t="n">
        <v>45960</v>
      </c>
      <c r="C7367" s="1" t="n">
        <v>45962</v>
      </c>
      <c r="D7367" t="inlineStr">
        <is>
          <t>JÖNKÖPINGS LÄN</t>
        </is>
      </c>
      <c r="E7367" t="inlineStr">
        <is>
          <t>GISLAVED</t>
        </is>
      </c>
      <c r="G7367" t="n">
        <v>0.7</v>
      </c>
      <c r="H7367" t="n">
        <v>0</v>
      </c>
      <c r="I7367" t="n">
        <v>0</v>
      </c>
      <c r="J7367" t="n">
        <v>0</v>
      </c>
      <c r="K7367" t="n">
        <v>0</v>
      </c>
      <c r="L7367" t="n">
        <v>0</v>
      </c>
      <c r="M7367" t="n">
        <v>0</v>
      </c>
      <c r="N7367" t="n">
        <v>0</v>
      </c>
      <c r="O7367" t="n">
        <v>0</v>
      </c>
      <c r="P7367" t="n">
        <v>0</v>
      </c>
      <c r="Q7367" t="n">
        <v>0</v>
      </c>
      <c r="R736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2025-11-01T10:04:17Z</dcterms:created>
  <dcterms:modified xmlns:dcterms="http://purl.org/dc/terms/" xmlns:xsi="http://www.w3.org/2001/XMLSchema-instance" xsi:type="dcterms:W3CDTF">2025-11-01T10:04:23Z</dcterms:modified>
</cp:coreProperties>
</file>