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45957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45957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45957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55743-2023</t>
        </is>
      </c>
      <c r="B5" s="1" t="n">
        <v>45239</v>
      </c>
      <c r="C5" s="1" t="n">
        <v>45957</v>
      </c>
      <c r="D5" t="inlineStr">
        <is>
          <t>KRONOBERGS LÄN</t>
        </is>
      </c>
      <c r="E5" t="inlineStr">
        <is>
          <t>ALVESTA</t>
        </is>
      </c>
      <c r="G5" t="n">
        <v>4.9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Brandticka
Bronshjon
Dropptaggsvamp
Stor revmossa
Thomsons trägnagare
Västlig hakmossa</t>
        </is>
      </c>
      <c r="S5">
        <f>HYPERLINK("https://klasma.github.io/Logging_0764/artfynd/A 55743-2023 artfynd.xlsx", "A 55743-2023")</f>
        <v/>
      </c>
      <c r="T5">
        <f>HYPERLINK("https://klasma.github.io/Logging_0764/kartor/A 55743-2023 karta.png", "A 55743-2023")</f>
        <v/>
      </c>
      <c r="U5">
        <f>HYPERLINK("https://klasma.github.io/Logging_0764/knärot/A 55743-2023 karta knärot.png", "A 55743-2023")</f>
        <v/>
      </c>
      <c r="V5">
        <f>HYPERLINK("https://klasma.github.io/Logging_0764/klagomål/A 55743-2023 FSC-klagomål.docx", "A 55743-2023")</f>
        <v/>
      </c>
      <c r="W5">
        <f>HYPERLINK("https://klasma.github.io/Logging_0764/klagomålsmail/A 55743-2023 FSC-klagomål mail.docx", "A 55743-2023")</f>
        <v/>
      </c>
      <c r="X5">
        <f>HYPERLINK("https://klasma.github.io/Logging_0764/tillsyn/A 55743-2023 tillsynsbegäran.docx", "A 55743-2023")</f>
        <v/>
      </c>
      <c r="Y5">
        <f>HYPERLINK("https://klasma.github.io/Logging_0764/tillsynsmail/A 55743-2023 tillsynsbegäran mail.docx", "A 55743-2023")</f>
        <v/>
      </c>
    </row>
    <row r="6" ht="15" customHeight="1">
      <c r="A6" t="inlineStr">
        <is>
          <t>A 39037-2025</t>
        </is>
      </c>
      <c r="B6" s="1" t="n">
        <v>45888.42537037037</v>
      </c>
      <c r="C6" s="1" t="n">
        <v>45957</v>
      </c>
      <c r="D6" t="inlineStr">
        <is>
          <t>KRONOBERGS LÄN</t>
        </is>
      </c>
      <c r="E6" t="inlineStr">
        <is>
          <t>VÄXJÖ</t>
        </is>
      </c>
      <c r="G6" t="n">
        <v>2.2</v>
      </c>
      <c r="H6" t="n">
        <v>1</v>
      </c>
      <c r="I6" t="n">
        <v>6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Bårdlav
Fällmossa
Korallblylav
Rävticka
Skinnlav
Västlig hakmossa
Blåsippa</t>
        </is>
      </c>
      <c r="S6">
        <f>HYPERLINK("https://klasma.github.io/Logging_0780/artfynd/A 39037-2025 artfynd.xlsx", "A 39037-2025")</f>
        <v/>
      </c>
      <c r="T6">
        <f>HYPERLINK("https://klasma.github.io/Logging_0780/kartor/A 39037-2025 karta.png", "A 39037-2025")</f>
        <v/>
      </c>
      <c r="V6">
        <f>HYPERLINK("https://klasma.github.io/Logging_0780/klagomål/A 39037-2025 FSC-klagomål.docx", "A 39037-2025")</f>
        <v/>
      </c>
      <c r="W6">
        <f>HYPERLINK("https://klasma.github.io/Logging_0780/klagomålsmail/A 39037-2025 FSC-klagomål mail.docx", "A 39037-2025")</f>
        <v/>
      </c>
      <c r="X6">
        <f>HYPERLINK("https://klasma.github.io/Logging_0780/tillsyn/A 39037-2025 tillsynsbegäran.docx", "A 39037-2025")</f>
        <v/>
      </c>
      <c r="Y6">
        <f>HYPERLINK("https://klasma.github.io/Logging_0780/tillsynsmail/A 39037-2025 tillsynsbegäran mail.docx", "A 39037-2025")</f>
        <v/>
      </c>
    </row>
    <row r="7" ht="15" customHeight="1">
      <c r="A7" t="inlineStr">
        <is>
          <t>A 40356-2025</t>
        </is>
      </c>
      <c r="B7" s="1" t="n">
        <v>45895</v>
      </c>
      <c r="C7" s="1" t="n">
        <v>45957</v>
      </c>
      <c r="D7" t="inlineStr">
        <is>
          <t>KRONOBERGS LÄN</t>
        </is>
      </c>
      <c r="E7" t="inlineStr">
        <is>
          <t>TINGSRYD</t>
        </is>
      </c>
      <c r="G7" t="n">
        <v>3.4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Praktvaxing
Scharlakansvaxing
Sommarfibbla
Blodvaxing
Gulvaxing
Småvaxing
Sprödvaxing</t>
        </is>
      </c>
      <c r="S7">
        <f>HYPERLINK("https://klasma.github.io/Logging_0763/artfynd/A 40356-2025 artfynd.xlsx", "A 40356-2025")</f>
        <v/>
      </c>
      <c r="T7">
        <f>HYPERLINK("https://klasma.github.io/Logging_0763/kartor/A 40356-2025 karta.png", "A 40356-2025")</f>
        <v/>
      </c>
      <c r="V7">
        <f>HYPERLINK("https://klasma.github.io/Logging_0763/klagomål/A 40356-2025 FSC-klagomål.docx", "A 40356-2025")</f>
        <v/>
      </c>
      <c r="W7">
        <f>HYPERLINK("https://klasma.github.io/Logging_0763/klagomålsmail/A 40356-2025 FSC-klagomål mail.docx", "A 40356-2025")</f>
        <v/>
      </c>
      <c r="X7">
        <f>HYPERLINK("https://klasma.github.io/Logging_0763/tillsyn/A 40356-2025 tillsynsbegäran.docx", "A 40356-2025")</f>
        <v/>
      </c>
      <c r="Y7">
        <f>HYPERLINK("https://klasma.github.io/Logging_0763/tillsynsmail/A 40356-2025 tillsynsbegäran mail.docx", "A 40356-2025")</f>
        <v/>
      </c>
    </row>
    <row r="8" ht="15" customHeight="1">
      <c r="A8" t="inlineStr">
        <is>
          <t>A 48933-2025</t>
        </is>
      </c>
      <c r="B8" s="1" t="n">
        <v>45937.52355324074</v>
      </c>
      <c r="C8" s="1" t="n">
        <v>45957</v>
      </c>
      <c r="D8" t="inlineStr">
        <is>
          <t>KRONOBERGS LÄN</t>
        </is>
      </c>
      <c r="E8" t="inlineStr">
        <is>
          <t>ALVESTA</t>
        </is>
      </c>
      <c r="G8" t="n">
        <v>1.9</v>
      </c>
      <c r="H8" t="n">
        <v>3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Slåttergubbe
Slåtterfibbla
Solvända
Vårstarr
Grönvit nattviol
Blåsippa
Gullviva</t>
        </is>
      </c>
      <c r="S8">
        <f>HYPERLINK("https://klasma.github.io/Logging_0764/artfynd/A 48933-2025 artfynd.xlsx", "A 48933-2025")</f>
        <v/>
      </c>
      <c r="T8">
        <f>HYPERLINK("https://klasma.github.io/Logging_0764/kartor/A 48933-2025 karta.png", "A 48933-2025")</f>
        <v/>
      </c>
      <c r="V8">
        <f>HYPERLINK("https://klasma.github.io/Logging_0764/klagomål/A 48933-2025 FSC-klagomål.docx", "A 48933-2025")</f>
        <v/>
      </c>
      <c r="W8">
        <f>HYPERLINK("https://klasma.github.io/Logging_0764/klagomålsmail/A 48933-2025 FSC-klagomål mail.docx", "A 48933-2025")</f>
        <v/>
      </c>
      <c r="X8">
        <f>HYPERLINK("https://klasma.github.io/Logging_0764/tillsyn/A 48933-2025 tillsynsbegäran.docx", "A 48933-2025")</f>
        <v/>
      </c>
      <c r="Y8">
        <f>HYPERLINK("https://klasma.github.io/Logging_0764/tillsynsmail/A 48933-2025 tillsynsbegäran mail.docx", "A 48933-2025")</f>
        <v/>
      </c>
    </row>
    <row r="9" ht="15" customHeight="1">
      <c r="A9" t="inlineStr">
        <is>
          <t>A 10361-2023</t>
        </is>
      </c>
      <c r="B9" s="1" t="n">
        <v>44980</v>
      </c>
      <c r="C9" s="1" t="n">
        <v>45957</v>
      </c>
      <c r="D9" t="inlineStr">
        <is>
          <t>KRONOBERGS LÄN</t>
        </is>
      </c>
      <c r="E9" t="inlineStr">
        <is>
          <t>TINGSRYD</t>
        </is>
      </c>
      <c r="G9" t="n">
        <v>2.1</v>
      </c>
      <c r="H9" t="n">
        <v>7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Barbastell
Brunlångöra
Nordfladdermus
Dvärgpipistrell
Gråskimlig fladdermus
Större brunfladdermus
Vattenfladdermus</t>
        </is>
      </c>
      <c r="S9">
        <f>HYPERLINK("https://klasma.github.io/Logging_0763/artfynd/A 10361-2023 artfynd.xlsx", "A 10361-2023")</f>
        <v/>
      </c>
      <c r="T9">
        <f>HYPERLINK("https://klasma.github.io/Logging_0763/kartor/A 10361-2023 karta.png", "A 10361-2023")</f>
        <v/>
      </c>
      <c r="V9">
        <f>HYPERLINK("https://klasma.github.io/Logging_0763/klagomål/A 10361-2023 FSC-klagomål.docx", "A 10361-2023")</f>
        <v/>
      </c>
      <c r="W9">
        <f>HYPERLINK("https://klasma.github.io/Logging_0763/klagomålsmail/A 10361-2023 FSC-klagomål mail.docx", "A 10361-2023")</f>
        <v/>
      </c>
      <c r="X9">
        <f>HYPERLINK("https://klasma.github.io/Logging_0763/tillsyn/A 10361-2023 tillsynsbegäran.docx", "A 10361-2023")</f>
        <v/>
      </c>
      <c r="Y9">
        <f>HYPERLINK("https://klasma.github.io/Logging_0763/tillsynsmail/A 10361-2023 tillsynsbegäran mail.docx", "A 10361-2023")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45957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12644-2024</t>
        </is>
      </c>
      <c r="B11" s="1" t="n">
        <v>45384.34295138889</v>
      </c>
      <c r="C11" s="1" t="n">
        <v>45957</v>
      </c>
      <c r="D11" t="inlineStr">
        <is>
          <t>KRONOBERGS LÄN</t>
        </is>
      </c>
      <c r="E11" t="inlineStr">
        <is>
          <t>VÄXJÖ</t>
        </is>
      </c>
      <c r="G11" t="n">
        <v>0.9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Västlig hakmossa
Vågbandad barkbock
Gröngöling
Kungsfågel
Skogsduva</t>
        </is>
      </c>
      <c r="S11">
        <f>HYPERLINK("https://klasma.github.io/Logging_0780/artfynd/A 12644-2024 artfynd.xlsx", "A 12644-2024")</f>
        <v/>
      </c>
      <c r="T11">
        <f>HYPERLINK("https://klasma.github.io/Logging_0780/kartor/A 12644-2024 karta.png", "A 12644-2024")</f>
        <v/>
      </c>
      <c r="V11">
        <f>HYPERLINK("https://klasma.github.io/Logging_0780/klagomål/A 12644-2024 FSC-klagomål.docx", "A 12644-2024")</f>
        <v/>
      </c>
      <c r="W11">
        <f>HYPERLINK("https://klasma.github.io/Logging_0780/klagomålsmail/A 12644-2024 FSC-klagomål mail.docx", "A 12644-2024")</f>
        <v/>
      </c>
      <c r="X11">
        <f>HYPERLINK("https://klasma.github.io/Logging_0780/tillsyn/A 12644-2024 tillsynsbegäran.docx", "A 12644-2024")</f>
        <v/>
      </c>
      <c r="Y11">
        <f>HYPERLINK("https://klasma.github.io/Logging_0780/tillsynsmail/A 12644-2024 tillsynsbegäran mail.docx", "A 12644-2024")</f>
        <v/>
      </c>
      <c r="Z11">
        <f>HYPERLINK("https://klasma.github.io/Logging_0780/fåglar/A 12644-2024 prioriterade fågelarter.docx", "A 12644-2024")</f>
        <v/>
      </c>
    </row>
    <row r="12" ht="15" customHeight="1">
      <c r="A12" t="inlineStr">
        <is>
          <t>A 12437-2025</t>
        </is>
      </c>
      <c r="B12" s="1" t="n">
        <v>45730.47016203704</v>
      </c>
      <c r="C12" s="1" t="n">
        <v>45957</v>
      </c>
      <c r="D12" t="inlineStr">
        <is>
          <t>KRONOBERGS LÄN</t>
        </is>
      </c>
      <c r="E12" t="inlineStr">
        <is>
          <t>ALVESTA</t>
        </is>
      </c>
      <c r="G12" t="n">
        <v>104.3</v>
      </c>
      <c r="H12" t="n">
        <v>5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Spillkråka
Svartvit flugsnappare
Ärtsångare
Gröngöling
Skogsduva</t>
        </is>
      </c>
      <c r="S12">
        <f>HYPERLINK("https://klasma.github.io/Logging_0764/artfynd/A 12437-2025 artfynd.xlsx", "A 12437-2025")</f>
        <v/>
      </c>
      <c r="T12">
        <f>HYPERLINK("https://klasma.github.io/Logging_0764/kartor/A 12437-2025 karta.png", "A 12437-2025")</f>
        <v/>
      </c>
      <c r="V12">
        <f>HYPERLINK("https://klasma.github.io/Logging_0764/klagomål/A 12437-2025 FSC-klagomål.docx", "A 12437-2025")</f>
        <v/>
      </c>
      <c r="W12">
        <f>HYPERLINK("https://klasma.github.io/Logging_0764/klagomålsmail/A 12437-2025 FSC-klagomål mail.docx", "A 12437-2025")</f>
        <v/>
      </c>
      <c r="X12">
        <f>HYPERLINK("https://klasma.github.io/Logging_0764/tillsyn/A 12437-2025 tillsynsbegäran.docx", "A 12437-2025")</f>
        <v/>
      </c>
      <c r="Y12">
        <f>HYPERLINK("https://klasma.github.io/Logging_0764/tillsynsmail/A 12437-2025 tillsynsbegäran mail.docx", "A 12437-2025")</f>
        <v/>
      </c>
      <c r="Z12">
        <f>HYPERLINK("https://klasma.github.io/Logging_0764/fåglar/A 12437-2025 prioriterade fågelarter.docx", "A 12437-2025")</f>
        <v/>
      </c>
    </row>
    <row r="13" ht="15" customHeight="1">
      <c r="A13" t="inlineStr">
        <is>
          <t>A 37062-2021</t>
        </is>
      </c>
      <c r="B13" s="1" t="n">
        <v>44393</v>
      </c>
      <c r="C13" s="1" t="n">
        <v>45957</v>
      </c>
      <c r="D13" t="inlineStr">
        <is>
          <t>KRONOBERGS LÄN</t>
        </is>
      </c>
      <c r="E13" t="inlineStr">
        <is>
          <t>MARKARYD</t>
        </is>
      </c>
      <c r="G13" t="n">
        <v>9.800000000000001</v>
      </c>
      <c r="H13" t="n">
        <v>0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Lunglav
Havstulpanlav
Platt fjädermossa
Scytinium lichenoides s.lat.
Stor knopplav</t>
        </is>
      </c>
      <c r="S13">
        <f>HYPERLINK("https://klasma.github.io/Logging_0767/artfynd/A 37062-2021 artfynd.xlsx", "A 37062-2021")</f>
        <v/>
      </c>
      <c r="T13">
        <f>HYPERLINK("https://klasma.github.io/Logging_0767/kartor/A 37062-2021 karta.png", "A 37062-2021")</f>
        <v/>
      </c>
      <c r="V13">
        <f>HYPERLINK("https://klasma.github.io/Logging_0767/klagomål/A 37062-2021 FSC-klagomål.docx", "A 37062-2021")</f>
        <v/>
      </c>
      <c r="W13">
        <f>HYPERLINK("https://klasma.github.io/Logging_0767/klagomålsmail/A 37062-2021 FSC-klagomål mail.docx", "A 37062-2021")</f>
        <v/>
      </c>
      <c r="X13">
        <f>HYPERLINK("https://klasma.github.io/Logging_0767/tillsyn/A 37062-2021 tillsynsbegäran.docx", "A 37062-2021")</f>
        <v/>
      </c>
      <c r="Y13">
        <f>HYPERLINK("https://klasma.github.io/Logging_0767/tillsynsmail/A 37062-2021 tillsynsbegäran mail.docx", "A 37062-2021")</f>
        <v/>
      </c>
    </row>
    <row r="14" ht="15" customHeight="1">
      <c r="A14" t="inlineStr">
        <is>
          <t>A 27315-2025</t>
        </is>
      </c>
      <c r="B14" s="1" t="n">
        <v>45812.58784722222</v>
      </c>
      <c r="C14" s="1" t="n">
        <v>45957</v>
      </c>
      <c r="D14" t="inlineStr">
        <is>
          <t>KRONOBERGS LÄN</t>
        </is>
      </c>
      <c r="E14" t="inlineStr">
        <is>
          <t>VÄXJÖ</t>
        </is>
      </c>
      <c r="G14" t="n">
        <v>28.5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Tallriska
Talltita
Blåmossa
Kungsfågel
Tjäder</t>
        </is>
      </c>
      <c r="S14">
        <f>HYPERLINK("https://klasma.github.io/Logging_0780/artfynd/A 27315-2025 artfynd.xlsx", "A 27315-2025")</f>
        <v/>
      </c>
      <c r="T14">
        <f>HYPERLINK("https://klasma.github.io/Logging_0780/kartor/A 27315-2025 karta.png", "A 27315-2025")</f>
        <v/>
      </c>
      <c r="V14">
        <f>HYPERLINK("https://klasma.github.io/Logging_0780/klagomål/A 27315-2025 FSC-klagomål.docx", "A 27315-2025")</f>
        <v/>
      </c>
      <c r="W14">
        <f>HYPERLINK("https://klasma.github.io/Logging_0780/klagomålsmail/A 27315-2025 FSC-klagomål mail.docx", "A 27315-2025")</f>
        <v/>
      </c>
      <c r="X14">
        <f>HYPERLINK("https://klasma.github.io/Logging_0780/tillsyn/A 27315-2025 tillsynsbegäran.docx", "A 27315-2025")</f>
        <v/>
      </c>
      <c r="Y14">
        <f>HYPERLINK("https://klasma.github.io/Logging_0780/tillsynsmail/A 27315-2025 tillsynsbegäran mail.docx", "A 27315-2025")</f>
        <v/>
      </c>
      <c r="Z14">
        <f>HYPERLINK("https://klasma.github.io/Logging_0780/fåglar/A 27315-2025 prioriterade fågelarter.docx", "A 27315-2025")</f>
        <v/>
      </c>
    </row>
    <row r="15" ht="15" customHeight="1">
      <c r="A15" t="inlineStr">
        <is>
          <t>A 12437-2025</t>
        </is>
      </c>
      <c r="B15" s="1" t="n">
        <v>45730.47016203704</v>
      </c>
      <c r="C15" s="1" t="n">
        <v>45957</v>
      </c>
      <c r="D15" t="inlineStr">
        <is>
          <t>KRONOBERGS LÄN</t>
        </is>
      </c>
      <c r="E15" t="inlineStr">
        <is>
          <t>ALVESTA</t>
        </is>
      </c>
      <c r="G15" t="n">
        <v>104.3</v>
      </c>
      <c r="H15" t="n">
        <v>5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Spillkråka
Svartvit flugsnappare
Ärtsångare
Gröngöling
Skogsduva</t>
        </is>
      </c>
      <c r="S15">
        <f>HYPERLINK("https://klasma.github.io/Logging_0764/artfynd/A 12437-2025 artfynd.xlsx", "A 12437-2025")</f>
        <v/>
      </c>
      <c r="T15">
        <f>HYPERLINK("https://klasma.github.io/Logging_0764/kartor/A 12437-2025 karta.png", "A 12437-2025")</f>
        <v/>
      </c>
      <c r="V15">
        <f>HYPERLINK("https://klasma.github.io/Logging_0764/klagomål/A 12437-2025 FSC-klagomål.docx", "A 12437-2025")</f>
        <v/>
      </c>
      <c r="W15">
        <f>HYPERLINK("https://klasma.github.io/Logging_0764/klagomålsmail/A 12437-2025 FSC-klagomål mail.docx", "A 12437-2025")</f>
        <v/>
      </c>
      <c r="X15">
        <f>HYPERLINK("https://klasma.github.io/Logging_0764/tillsyn/A 12437-2025 tillsynsbegäran.docx", "A 12437-2025")</f>
        <v/>
      </c>
      <c r="Y15">
        <f>HYPERLINK("https://klasma.github.io/Logging_0764/tillsynsmail/A 12437-2025 tillsynsbegäran mail.docx", "A 12437-2025")</f>
        <v/>
      </c>
      <c r="Z15">
        <f>HYPERLINK("https://klasma.github.io/Logging_0764/fåglar/A 12437-2025 prioriterade fågelarter.docx", "A 12437-2025")</f>
        <v/>
      </c>
    </row>
    <row r="16" ht="15" customHeight="1">
      <c r="A16" t="inlineStr">
        <is>
          <t>A 26127-2024</t>
        </is>
      </c>
      <c r="B16" s="1" t="n">
        <v>45468</v>
      </c>
      <c r="C16" s="1" t="n">
        <v>45957</v>
      </c>
      <c r="D16" t="inlineStr">
        <is>
          <t>KRONOBERGS LÄN</t>
        </is>
      </c>
      <c r="E16" t="inlineStr">
        <is>
          <t>VÄXJÖ</t>
        </is>
      </c>
      <c r="G16" t="n">
        <v>8</v>
      </c>
      <c r="H16" t="n">
        <v>4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Motaggsvamp
Talltita
Skogsödla
Vanlig groda
Fläcknycklar</t>
        </is>
      </c>
      <c r="S16">
        <f>HYPERLINK("https://klasma.github.io/Logging_0780/artfynd/A 26127-2024 artfynd.xlsx", "A 26127-2024")</f>
        <v/>
      </c>
      <c r="T16">
        <f>HYPERLINK("https://klasma.github.io/Logging_0780/kartor/A 26127-2024 karta.png", "A 26127-2024")</f>
        <v/>
      </c>
      <c r="V16">
        <f>HYPERLINK("https://klasma.github.io/Logging_0780/klagomål/A 26127-2024 FSC-klagomål.docx", "A 26127-2024")</f>
        <v/>
      </c>
      <c r="W16">
        <f>HYPERLINK("https://klasma.github.io/Logging_0780/klagomålsmail/A 26127-2024 FSC-klagomål mail.docx", "A 26127-2024")</f>
        <v/>
      </c>
      <c r="X16">
        <f>HYPERLINK("https://klasma.github.io/Logging_0780/tillsyn/A 26127-2024 tillsynsbegäran.docx", "A 26127-2024")</f>
        <v/>
      </c>
      <c r="Y16">
        <f>HYPERLINK("https://klasma.github.io/Logging_0780/tillsynsmail/A 26127-2024 tillsynsbegäran mail.docx", "A 26127-2024")</f>
        <v/>
      </c>
      <c r="Z16">
        <f>HYPERLINK("https://klasma.github.io/Logging_0780/fåglar/A 26127-2024 prioriterade fågelarter.docx", "A 26127-2024")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45957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2576-2024</t>
        </is>
      </c>
      <c r="B18" s="1" t="n">
        <v>45313</v>
      </c>
      <c r="C18" s="1" t="n">
        <v>45957</v>
      </c>
      <c r="D18" t="inlineStr">
        <is>
          <t>KRONOBERGS LÄN</t>
        </is>
      </c>
      <c r="E18" t="inlineStr">
        <is>
          <t>UPPVIDINGE</t>
        </is>
      </c>
      <c r="G18" t="n">
        <v>2.8</v>
      </c>
      <c r="H18" t="n">
        <v>3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Spillkråka
Korallrot
Stor revmossa</t>
        </is>
      </c>
      <c r="S18">
        <f>HYPERLINK("https://klasma.github.io/Logging_0760/artfynd/A 2576-2024 artfynd.xlsx", "A 2576-2024")</f>
        <v/>
      </c>
      <c r="T18">
        <f>HYPERLINK("https://klasma.github.io/Logging_0760/kartor/A 2576-2024 karta.png", "A 2576-2024")</f>
        <v/>
      </c>
      <c r="U18">
        <f>HYPERLINK("https://klasma.github.io/Logging_0760/knärot/A 2576-2024 karta knärot.png", "A 2576-2024")</f>
        <v/>
      </c>
      <c r="V18">
        <f>HYPERLINK("https://klasma.github.io/Logging_0760/klagomål/A 2576-2024 FSC-klagomål.docx", "A 2576-2024")</f>
        <v/>
      </c>
      <c r="W18">
        <f>HYPERLINK("https://klasma.github.io/Logging_0760/klagomålsmail/A 2576-2024 FSC-klagomål mail.docx", "A 2576-2024")</f>
        <v/>
      </c>
      <c r="X18">
        <f>HYPERLINK("https://klasma.github.io/Logging_0760/tillsyn/A 2576-2024 tillsynsbegäran.docx", "A 2576-2024")</f>
        <v/>
      </c>
      <c r="Y18">
        <f>HYPERLINK("https://klasma.github.io/Logging_0760/tillsynsmail/A 2576-2024 tillsynsbegäran mail.docx", "A 2576-2024")</f>
        <v/>
      </c>
      <c r="Z18">
        <f>HYPERLINK("https://klasma.github.io/Logging_0760/fåglar/A 2576-2024 prioriterade fågelarter.docx", "A 2576-2024")</f>
        <v/>
      </c>
    </row>
    <row r="19" ht="15" customHeight="1">
      <c r="A19" t="inlineStr">
        <is>
          <t>A 27866-2024</t>
        </is>
      </c>
      <c r="B19" s="1" t="n">
        <v>45475</v>
      </c>
      <c r="C19" s="1" t="n">
        <v>45957</v>
      </c>
      <c r="D19" t="inlineStr">
        <is>
          <t>KRONOBERGS LÄN</t>
        </is>
      </c>
      <c r="E19" t="inlineStr">
        <is>
          <t>UPPVIDINGE</t>
        </is>
      </c>
      <c r="G19" t="n">
        <v>2.6</v>
      </c>
      <c r="H19" t="n">
        <v>0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4</v>
      </c>
      <c r="R19" s="2" t="inlineStr">
        <is>
          <t>Backmåra
Spindelört
Spindelörtskinnbagge
Uloma rufa</t>
        </is>
      </c>
      <c r="S19">
        <f>HYPERLINK("https://klasma.github.io/Logging_0760/artfynd/A 27866-2024 artfynd.xlsx", "A 27866-2024")</f>
        <v/>
      </c>
      <c r="T19">
        <f>HYPERLINK("https://klasma.github.io/Logging_0760/kartor/A 27866-2024 karta.png", "A 27866-2024")</f>
        <v/>
      </c>
      <c r="V19">
        <f>HYPERLINK("https://klasma.github.io/Logging_0760/klagomål/A 27866-2024 FSC-klagomål.docx", "A 27866-2024")</f>
        <v/>
      </c>
      <c r="W19">
        <f>HYPERLINK("https://klasma.github.io/Logging_0760/klagomålsmail/A 27866-2024 FSC-klagomål mail.docx", "A 27866-2024")</f>
        <v/>
      </c>
      <c r="X19">
        <f>HYPERLINK("https://klasma.github.io/Logging_0760/tillsyn/A 27866-2024 tillsynsbegäran.docx", "A 27866-2024")</f>
        <v/>
      </c>
      <c r="Y19">
        <f>HYPERLINK("https://klasma.github.io/Logging_0760/tillsynsmail/A 27866-2024 tillsynsbegäran mail.docx", "A 27866-2024")</f>
        <v/>
      </c>
    </row>
    <row r="20" ht="15" customHeight="1">
      <c r="A20" t="inlineStr">
        <is>
          <t>A 297-2024</t>
        </is>
      </c>
      <c r="B20" s="1" t="n">
        <v>45294</v>
      </c>
      <c r="C20" s="1" t="n">
        <v>45957</v>
      </c>
      <c r="D20" t="inlineStr">
        <is>
          <t>KRONOBERGS LÄN</t>
        </is>
      </c>
      <c r="E20" t="inlineStr">
        <is>
          <t>VÄXJÖ</t>
        </is>
      </c>
      <c r="F20" t="inlineStr">
        <is>
          <t>Kyrkan</t>
        </is>
      </c>
      <c r="G20" t="n">
        <v>8.199999999999999</v>
      </c>
      <c r="H20" t="n">
        <v>3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Talltita
Blomkålssvamp
Kungsfågel
Tjäder</t>
        </is>
      </c>
      <c r="S20">
        <f>HYPERLINK("https://klasma.github.io/Logging_0780/artfynd/A 297-2024 artfynd.xlsx", "A 297-2024")</f>
        <v/>
      </c>
      <c r="T20">
        <f>HYPERLINK("https://klasma.github.io/Logging_0780/kartor/A 297-2024 karta.png", "A 297-2024")</f>
        <v/>
      </c>
      <c r="V20">
        <f>HYPERLINK("https://klasma.github.io/Logging_0780/klagomål/A 297-2024 FSC-klagomål.docx", "A 297-2024")</f>
        <v/>
      </c>
      <c r="W20">
        <f>HYPERLINK("https://klasma.github.io/Logging_0780/klagomålsmail/A 297-2024 FSC-klagomål mail.docx", "A 297-2024")</f>
        <v/>
      </c>
      <c r="X20">
        <f>HYPERLINK("https://klasma.github.io/Logging_0780/tillsyn/A 297-2024 tillsynsbegäran.docx", "A 297-2024")</f>
        <v/>
      </c>
      <c r="Y20">
        <f>HYPERLINK("https://klasma.github.io/Logging_0780/tillsynsmail/A 297-2024 tillsynsbegäran mail.docx", "A 297-2024")</f>
        <v/>
      </c>
      <c r="Z20">
        <f>HYPERLINK("https://klasma.github.io/Logging_0780/fåglar/A 297-2024 prioriterade fågelarter.docx", "A 297-2024")</f>
        <v/>
      </c>
    </row>
    <row r="21" ht="15" customHeight="1">
      <c r="A21" t="inlineStr">
        <is>
          <t>A 66733-2020</t>
        </is>
      </c>
      <c r="B21" s="1" t="n">
        <v>44175</v>
      </c>
      <c r="C21" s="1" t="n">
        <v>45957</v>
      </c>
      <c r="D21" t="inlineStr">
        <is>
          <t>KRONOBERGS LÄN</t>
        </is>
      </c>
      <c r="E21" t="inlineStr">
        <is>
          <t>UPPVIDINGE</t>
        </is>
      </c>
      <c r="G21" t="n">
        <v>3.3</v>
      </c>
      <c r="H21" t="n">
        <v>1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Knärot
Blåmossa
Grönpyrola
Kryddspindling</t>
        </is>
      </c>
      <c r="S21">
        <f>HYPERLINK("https://klasma.github.io/Logging_0760/artfynd/A 66733-2020 artfynd.xlsx", "A 66733-2020")</f>
        <v/>
      </c>
      <c r="T21">
        <f>HYPERLINK("https://klasma.github.io/Logging_0760/kartor/A 66733-2020 karta.png", "A 66733-2020")</f>
        <v/>
      </c>
      <c r="U21">
        <f>HYPERLINK("https://klasma.github.io/Logging_0760/knärot/A 66733-2020 karta knärot.png", "A 66733-2020")</f>
        <v/>
      </c>
      <c r="V21">
        <f>HYPERLINK("https://klasma.github.io/Logging_0760/klagomål/A 66733-2020 FSC-klagomål.docx", "A 66733-2020")</f>
        <v/>
      </c>
      <c r="W21">
        <f>HYPERLINK("https://klasma.github.io/Logging_0760/klagomålsmail/A 66733-2020 FSC-klagomål mail.docx", "A 66733-2020")</f>
        <v/>
      </c>
      <c r="X21">
        <f>HYPERLINK("https://klasma.github.io/Logging_0760/tillsyn/A 66733-2020 tillsynsbegäran.docx", "A 66733-2020")</f>
        <v/>
      </c>
      <c r="Y21">
        <f>HYPERLINK("https://klasma.github.io/Logging_0760/tillsynsmail/A 66733-2020 tillsynsbegäran mail.docx", "A 66733-2020")</f>
        <v/>
      </c>
    </row>
    <row r="22" ht="15" customHeight="1">
      <c r="A22" t="inlineStr">
        <is>
          <t>A 49699-2023</t>
        </is>
      </c>
      <c r="B22" s="1" t="n">
        <v>45208</v>
      </c>
      <c r="C22" s="1" t="n">
        <v>45957</v>
      </c>
      <c r="D22" t="inlineStr">
        <is>
          <t>KRONOBERGS LÄN</t>
        </is>
      </c>
      <c r="E22" t="inlineStr">
        <is>
          <t>TINGSRYD</t>
        </is>
      </c>
      <c r="G22" t="n">
        <v>1.9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Skogsalm
Buskskvätta
Dvärgpipistrell
Törnskata</t>
        </is>
      </c>
      <c r="S22">
        <f>HYPERLINK("https://klasma.github.io/Logging_0763/artfynd/A 49699-2023 artfynd.xlsx", "A 49699-2023")</f>
        <v/>
      </c>
      <c r="T22">
        <f>HYPERLINK("https://klasma.github.io/Logging_0763/kartor/A 49699-2023 karta.png", "A 49699-2023")</f>
        <v/>
      </c>
      <c r="V22">
        <f>HYPERLINK("https://klasma.github.io/Logging_0763/klagomål/A 49699-2023 FSC-klagomål.docx", "A 49699-2023")</f>
        <v/>
      </c>
      <c r="W22">
        <f>HYPERLINK("https://klasma.github.io/Logging_0763/klagomålsmail/A 49699-2023 FSC-klagomål mail.docx", "A 49699-2023")</f>
        <v/>
      </c>
      <c r="X22">
        <f>HYPERLINK("https://klasma.github.io/Logging_0763/tillsyn/A 49699-2023 tillsynsbegäran.docx", "A 49699-2023")</f>
        <v/>
      </c>
      <c r="Y22">
        <f>HYPERLINK("https://klasma.github.io/Logging_0763/tillsynsmail/A 49699-2023 tillsynsbegäran mail.docx", "A 49699-2023")</f>
        <v/>
      </c>
      <c r="Z22">
        <f>HYPERLINK("https://klasma.github.io/Logging_0763/fåglar/A 49699-2023 prioriterade fågelarter.docx", "A 49699-2023")</f>
        <v/>
      </c>
    </row>
    <row r="23" ht="15" customHeight="1">
      <c r="A23" t="inlineStr">
        <is>
          <t>A 34130-2022</t>
        </is>
      </c>
      <c r="B23" s="1" t="n">
        <v>44791</v>
      </c>
      <c r="C23" s="1" t="n">
        <v>45957</v>
      </c>
      <c r="D23" t="inlineStr">
        <is>
          <t>KRONOBERGS LÄN</t>
        </is>
      </c>
      <c r="E23" t="inlineStr">
        <is>
          <t>TINGSRYD</t>
        </is>
      </c>
      <c r="G23" t="n">
        <v>3.5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Granspira
Loppstarr
Ängsstarr</t>
        </is>
      </c>
      <c r="S23">
        <f>HYPERLINK("https://klasma.github.io/Logging_0763/artfynd/A 34130-2022 artfynd.xlsx", "A 34130-2022")</f>
        <v/>
      </c>
      <c r="T23">
        <f>HYPERLINK("https://klasma.github.io/Logging_0763/kartor/A 34130-2022 karta.png", "A 34130-2022")</f>
        <v/>
      </c>
      <c r="V23">
        <f>HYPERLINK("https://klasma.github.io/Logging_0763/klagomål/A 34130-2022 FSC-klagomål.docx", "A 34130-2022")</f>
        <v/>
      </c>
      <c r="W23">
        <f>HYPERLINK("https://klasma.github.io/Logging_0763/klagomålsmail/A 34130-2022 FSC-klagomål mail.docx", "A 34130-2022")</f>
        <v/>
      </c>
      <c r="X23">
        <f>HYPERLINK("https://klasma.github.io/Logging_0763/tillsyn/A 34130-2022 tillsynsbegäran.docx", "A 34130-2022")</f>
        <v/>
      </c>
      <c r="Y23">
        <f>HYPERLINK("https://klasma.github.io/Logging_0763/tillsynsmail/A 34130-2022 tillsynsbegäran mail.docx", "A 34130-2022")</f>
        <v/>
      </c>
    </row>
    <row r="24" ht="15" customHeight="1">
      <c r="A24" t="inlineStr">
        <is>
          <t>A 26375-2022</t>
        </is>
      </c>
      <c r="B24" s="1" t="n">
        <v>44735</v>
      </c>
      <c r="C24" s="1" t="n">
        <v>45957</v>
      </c>
      <c r="D24" t="inlineStr">
        <is>
          <t>KRONOBERGS LÄN</t>
        </is>
      </c>
      <c r="E24" t="inlineStr">
        <is>
          <t>LJUNGBY</t>
        </is>
      </c>
      <c r="G24" t="n">
        <v>9.1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Gropticka
Stor revmossa
Vågbandad barkbock</t>
        </is>
      </c>
      <c r="S24">
        <f>HYPERLINK("https://klasma.github.io/Logging_0781/artfynd/A 26375-2022 artfynd.xlsx", "A 26375-2022")</f>
        <v/>
      </c>
      <c r="T24">
        <f>HYPERLINK("https://klasma.github.io/Logging_0781/kartor/A 26375-2022 karta.png", "A 26375-2022")</f>
        <v/>
      </c>
      <c r="V24">
        <f>HYPERLINK("https://klasma.github.io/Logging_0781/klagomål/A 26375-2022 FSC-klagomål.docx", "A 26375-2022")</f>
        <v/>
      </c>
      <c r="W24">
        <f>HYPERLINK("https://klasma.github.io/Logging_0781/klagomålsmail/A 26375-2022 FSC-klagomål mail.docx", "A 26375-2022")</f>
        <v/>
      </c>
      <c r="X24">
        <f>HYPERLINK("https://klasma.github.io/Logging_0781/tillsyn/A 26375-2022 tillsynsbegäran.docx", "A 26375-2022")</f>
        <v/>
      </c>
      <c r="Y24">
        <f>HYPERLINK("https://klasma.github.io/Logging_0781/tillsynsmail/A 26375-2022 tillsynsbegäran mail.docx", "A 26375-2022")</f>
        <v/>
      </c>
    </row>
    <row r="25" ht="15" customHeight="1">
      <c r="A25" t="inlineStr">
        <is>
          <t>A 27619-2022</t>
        </is>
      </c>
      <c r="B25" s="1" t="n">
        <v>44743</v>
      </c>
      <c r="C25" s="1" t="n">
        <v>45957</v>
      </c>
      <c r="D25" t="inlineStr">
        <is>
          <t>KRONOBERGS LÄN</t>
        </is>
      </c>
      <c r="E25" t="inlineStr">
        <is>
          <t>MARKARYD</t>
        </is>
      </c>
      <c r="G25" t="n">
        <v>25.7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Blanksvart trämyra
Västlig hakmossa
Huggorm</t>
        </is>
      </c>
      <c r="S25">
        <f>HYPERLINK("https://klasma.github.io/Logging_0767/artfynd/A 27619-2022 artfynd.xlsx", "A 27619-2022")</f>
        <v/>
      </c>
      <c r="T25">
        <f>HYPERLINK("https://klasma.github.io/Logging_0767/kartor/A 27619-2022 karta.png", "A 27619-2022")</f>
        <v/>
      </c>
      <c r="V25">
        <f>HYPERLINK("https://klasma.github.io/Logging_0767/klagomål/A 27619-2022 FSC-klagomål.docx", "A 27619-2022")</f>
        <v/>
      </c>
      <c r="W25">
        <f>HYPERLINK("https://klasma.github.io/Logging_0767/klagomålsmail/A 27619-2022 FSC-klagomål mail.docx", "A 27619-2022")</f>
        <v/>
      </c>
      <c r="X25">
        <f>HYPERLINK("https://klasma.github.io/Logging_0767/tillsyn/A 27619-2022 tillsynsbegäran.docx", "A 27619-2022")</f>
        <v/>
      </c>
      <c r="Y25">
        <f>HYPERLINK("https://klasma.github.io/Logging_0767/tillsynsmail/A 27619-2022 tillsynsbegäran mail.docx", "A 27619-2022")</f>
        <v/>
      </c>
    </row>
    <row r="26" ht="15" customHeight="1">
      <c r="A26" t="inlineStr">
        <is>
          <t>A 21810-2021</t>
        </is>
      </c>
      <c r="B26" s="1" t="n">
        <v>44319</v>
      </c>
      <c r="C26" s="1" t="n">
        <v>45957</v>
      </c>
      <c r="D26" t="inlineStr">
        <is>
          <t>KRONOBERGS LÄN</t>
        </is>
      </c>
      <c r="E26" t="inlineStr">
        <is>
          <t>ALVESTA</t>
        </is>
      </c>
      <c r="G26" t="n">
        <v>11</v>
      </c>
      <c r="H26" t="n">
        <v>2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Rödvingetrast
Scharlakansskål
Revlummer</t>
        </is>
      </c>
      <c r="S26">
        <f>HYPERLINK("https://klasma.github.io/Logging_0764/artfynd/A 21810-2021 artfynd.xlsx", "A 21810-2021")</f>
        <v/>
      </c>
      <c r="T26">
        <f>HYPERLINK("https://klasma.github.io/Logging_0764/kartor/A 21810-2021 karta.png", "A 21810-2021")</f>
        <v/>
      </c>
      <c r="V26">
        <f>HYPERLINK("https://klasma.github.io/Logging_0764/klagomål/A 21810-2021 FSC-klagomål.docx", "A 21810-2021")</f>
        <v/>
      </c>
      <c r="W26">
        <f>HYPERLINK("https://klasma.github.io/Logging_0764/klagomålsmail/A 21810-2021 FSC-klagomål mail.docx", "A 21810-2021")</f>
        <v/>
      </c>
      <c r="X26">
        <f>HYPERLINK("https://klasma.github.io/Logging_0764/tillsyn/A 21810-2021 tillsynsbegäran.docx", "A 21810-2021")</f>
        <v/>
      </c>
      <c r="Y26">
        <f>HYPERLINK("https://klasma.github.io/Logging_0764/tillsynsmail/A 21810-2021 tillsynsbegäran mail.docx", "A 21810-2021")</f>
        <v/>
      </c>
      <c r="Z26">
        <f>HYPERLINK("https://klasma.github.io/Logging_0764/fåglar/A 21810-2021 prioriterade fågelarter.docx", "A 21810-2021")</f>
        <v/>
      </c>
    </row>
    <row r="27" ht="15" customHeight="1">
      <c r="A27" t="inlineStr">
        <is>
          <t>A 52675-2024</t>
        </is>
      </c>
      <c r="B27" s="1" t="n">
        <v>45610</v>
      </c>
      <c r="C27" s="1" t="n">
        <v>45957</v>
      </c>
      <c r="D27" t="inlineStr">
        <is>
          <t>KRONOBERGS LÄN</t>
        </is>
      </c>
      <c r="E27" t="inlineStr">
        <is>
          <t>ALVESTA</t>
        </is>
      </c>
      <c r="F27" t="inlineStr">
        <is>
          <t>Kyrkan</t>
        </is>
      </c>
      <c r="G27" t="n">
        <v>1.2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Grovticka
Västlig hakmossa
Revlummer</t>
        </is>
      </c>
      <c r="S27">
        <f>HYPERLINK("https://klasma.github.io/Logging_0764/artfynd/A 52675-2024 artfynd.xlsx", "A 52675-2024")</f>
        <v/>
      </c>
      <c r="T27">
        <f>HYPERLINK("https://klasma.github.io/Logging_0764/kartor/A 52675-2024 karta.png", "A 52675-2024")</f>
        <v/>
      </c>
      <c r="V27">
        <f>HYPERLINK("https://klasma.github.io/Logging_0764/klagomål/A 52675-2024 FSC-klagomål.docx", "A 52675-2024")</f>
        <v/>
      </c>
      <c r="W27">
        <f>HYPERLINK("https://klasma.github.io/Logging_0764/klagomålsmail/A 52675-2024 FSC-klagomål mail.docx", "A 52675-2024")</f>
        <v/>
      </c>
      <c r="X27">
        <f>HYPERLINK("https://klasma.github.io/Logging_0764/tillsyn/A 52675-2024 tillsynsbegäran.docx", "A 52675-2024")</f>
        <v/>
      </c>
      <c r="Y27">
        <f>HYPERLINK("https://klasma.github.io/Logging_0764/tillsynsmail/A 52675-2024 tillsynsbegäran mail.docx", "A 52675-2024")</f>
        <v/>
      </c>
    </row>
    <row r="28" ht="15" customHeight="1">
      <c r="A28" t="inlineStr">
        <is>
          <t>A 24339-2023</t>
        </is>
      </c>
      <c r="B28" s="1" t="n">
        <v>45081</v>
      </c>
      <c r="C28" s="1" t="n">
        <v>45957</v>
      </c>
      <c r="D28" t="inlineStr">
        <is>
          <t>KRONOBERGS LÄN</t>
        </is>
      </c>
      <c r="E28" t="inlineStr">
        <is>
          <t>VÄXJÖ</t>
        </is>
      </c>
      <c r="G28" t="n">
        <v>3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Tofsvipa
Spillkråka
Huggorm</t>
        </is>
      </c>
      <c r="S28">
        <f>HYPERLINK("https://klasma.github.io/Logging_0780/artfynd/A 24339-2023 artfynd.xlsx", "A 24339-2023")</f>
        <v/>
      </c>
      <c r="T28">
        <f>HYPERLINK("https://klasma.github.io/Logging_0780/kartor/A 24339-2023 karta.png", "A 24339-2023")</f>
        <v/>
      </c>
      <c r="V28">
        <f>HYPERLINK("https://klasma.github.io/Logging_0780/klagomål/A 24339-2023 FSC-klagomål.docx", "A 24339-2023")</f>
        <v/>
      </c>
      <c r="W28">
        <f>HYPERLINK("https://klasma.github.io/Logging_0780/klagomålsmail/A 24339-2023 FSC-klagomål mail.docx", "A 24339-2023")</f>
        <v/>
      </c>
      <c r="X28">
        <f>HYPERLINK("https://klasma.github.io/Logging_0780/tillsyn/A 24339-2023 tillsynsbegäran.docx", "A 24339-2023")</f>
        <v/>
      </c>
      <c r="Y28">
        <f>HYPERLINK("https://klasma.github.io/Logging_0780/tillsynsmail/A 24339-2023 tillsynsbegäran mail.docx", "A 24339-2023")</f>
        <v/>
      </c>
      <c r="Z28">
        <f>HYPERLINK("https://klasma.github.io/Logging_0780/fåglar/A 24339-2023 prioriterade fågelarter.docx", "A 24339-2023")</f>
        <v/>
      </c>
    </row>
    <row r="29" ht="15" customHeight="1">
      <c r="A29" t="inlineStr">
        <is>
          <t>A 51425-2024</t>
        </is>
      </c>
      <c r="B29" s="1" t="n">
        <v>45604.4624537037</v>
      </c>
      <c r="C29" s="1" t="n">
        <v>45957</v>
      </c>
      <c r="D29" t="inlineStr">
        <is>
          <t>KRONOBERGS LÄN</t>
        </is>
      </c>
      <c r="E29" t="inlineStr">
        <is>
          <t>UPPVIDINGE</t>
        </is>
      </c>
      <c r="G29" t="n">
        <v>1.2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Rostfläck
Tjäder</t>
        </is>
      </c>
      <c r="S29">
        <f>HYPERLINK("https://klasma.github.io/Logging_0760/artfynd/A 51425-2024 artfynd.xlsx", "A 51425-2024")</f>
        <v/>
      </c>
      <c r="T29">
        <f>HYPERLINK("https://klasma.github.io/Logging_0760/kartor/A 51425-2024 karta.png", "A 51425-2024")</f>
        <v/>
      </c>
      <c r="V29">
        <f>HYPERLINK("https://klasma.github.io/Logging_0760/klagomål/A 51425-2024 FSC-klagomål.docx", "A 51425-2024")</f>
        <v/>
      </c>
      <c r="W29">
        <f>HYPERLINK("https://klasma.github.io/Logging_0760/klagomålsmail/A 51425-2024 FSC-klagomål mail.docx", "A 51425-2024")</f>
        <v/>
      </c>
      <c r="X29">
        <f>HYPERLINK("https://klasma.github.io/Logging_0760/tillsyn/A 51425-2024 tillsynsbegäran.docx", "A 51425-2024")</f>
        <v/>
      </c>
      <c r="Y29">
        <f>HYPERLINK("https://klasma.github.io/Logging_0760/tillsynsmail/A 51425-2024 tillsynsbegäran mail.docx", "A 51425-2024")</f>
        <v/>
      </c>
      <c r="Z29">
        <f>HYPERLINK("https://klasma.github.io/Logging_0760/fåglar/A 51425-2024 prioriterade fågelarter.docx", "A 51425-2024")</f>
        <v/>
      </c>
    </row>
    <row r="30" ht="15" customHeight="1">
      <c r="A30" t="inlineStr">
        <is>
          <t>A 43369-2024</t>
        </is>
      </c>
      <c r="B30" s="1" t="n">
        <v>45568</v>
      </c>
      <c r="C30" s="1" t="n">
        <v>45957</v>
      </c>
      <c r="D30" t="inlineStr">
        <is>
          <t>KRONOBERGS LÄN</t>
        </is>
      </c>
      <c r="E30" t="inlineStr">
        <is>
          <t>LJUNGBY</t>
        </is>
      </c>
      <c r="G30" t="n">
        <v>1.6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3</v>
      </c>
      <c r="R30" s="2" t="inlineStr">
        <is>
          <t>Slåttergubbe
Fläcknycklar
Grönvit nattviol</t>
        </is>
      </c>
      <c r="S30">
        <f>HYPERLINK("https://klasma.github.io/Logging_0781/artfynd/A 43369-2024 artfynd.xlsx", "A 43369-2024")</f>
        <v/>
      </c>
      <c r="T30">
        <f>HYPERLINK("https://klasma.github.io/Logging_0781/kartor/A 43369-2024 karta.png", "A 43369-2024")</f>
        <v/>
      </c>
      <c r="V30">
        <f>HYPERLINK("https://klasma.github.io/Logging_0781/klagomål/A 43369-2024 FSC-klagomål.docx", "A 43369-2024")</f>
        <v/>
      </c>
      <c r="W30">
        <f>HYPERLINK("https://klasma.github.io/Logging_0781/klagomålsmail/A 43369-2024 FSC-klagomål mail.docx", "A 43369-2024")</f>
        <v/>
      </c>
      <c r="X30">
        <f>HYPERLINK("https://klasma.github.io/Logging_0781/tillsyn/A 43369-2024 tillsynsbegäran.docx", "A 43369-2024")</f>
        <v/>
      </c>
      <c r="Y30">
        <f>HYPERLINK("https://klasma.github.io/Logging_0781/tillsynsmail/A 43369-2024 tillsynsbegäran mail.docx", "A 43369-2024")</f>
        <v/>
      </c>
    </row>
    <row r="31" ht="15" customHeight="1">
      <c r="A31" t="inlineStr">
        <is>
          <t>A 47420-2025</t>
        </is>
      </c>
      <c r="B31" s="1" t="n">
        <v>45930</v>
      </c>
      <c r="C31" s="1" t="n">
        <v>45957</v>
      </c>
      <c r="D31" t="inlineStr">
        <is>
          <t>KRONOBERGS LÄN</t>
        </is>
      </c>
      <c r="E31" t="inlineStr">
        <is>
          <t>UPPVIDINGE</t>
        </is>
      </c>
      <c r="F31" t="inlineStr">
        <is>
          <t>Kyrkan</t>
        </is>
      </c>
      <c r="G31" t="n">
        <v>7.8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Talltita
Zontaggsvamp
Kungsfågel</t>
        </is>
      </c>
      <c r="S31">
        <f>HYPERLINK("https://klasma.github.io/Logging_0760/artfynd/A 47420-2025 artfynd.xlsx", "A 47420-2025")</f>
        <v/>
      </c>
      <c r="T31">
        <f>HYPERLINK("https://klasma.github.io/Logging_0760/kartor/A 47420-2025 karta.png", "A 47420-2025")</f>
        <v/>
      </c>
      <c r="V31">
        <f>HYPERLINK("https://klasma.github.io/Logging_0760/klagomål/A 47420-2025 FSC-klagomål.docx", "A 47420-2025")</f>
        <v/>
      </c>
      <c r="W31">
        <f>HYPERLINK("https://klasma.github.io/Logging_0760/klagomålsmail/A 47420-2025 FSC-klagomål mail.docx", "A 47420-2025")</f>
        <v/>
      </c>
      <c r="X31">
        <f>HYPERLINK("https://klasma.github.io/Logging_0760/tillsyn/A 47420-2025 tillsynsbegäran.docx", "A 47420-2025")</f>
        <v/>
      </c>
      <c r="Y31">
        <f>HYPERLINK("https://klasma.github.io/Logging_0760/tillsynsmail/A 47420-2025 tillsynsbegäran mail.docx", "A 47420-2025")</f>
        <v/>
      </c>
      <c r="Z31">
        <f>HYPERLINK("https://klasma.github.io/Logging_0760/fåglar/A 47420-2025 prioriterade fågelarter.docx", "A 47420-2025")</f>
        <v/>
      </c>
    </row>
    <row r="32" ht="15" customHeight="1">
      <c r="A32" t="inlineStr">
        <is>
          <t>A 33088-2025</t>
        </is>
      </c>
      <c r="B32" s="1" t="n">
        <v>45840.46792824074</v>
      </c>
      <c r="C32" s="1" t="n">
        <v>45957</v>
      </c>
      <c r="D32" t="inlineStr">
        <is>
          <t>KRONOBERGS LÄN</t>
        </is>
      </c>
      <c r="E32" t="inlineStr">
        <is>
          <t>UPPVIDINGE</t>
        </is>
      </c>
      <c r="G32" t="n">
        <v>2.6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Fjällig taggsvamp s.str.
Skarp dropptaggsvamp
Blåsippa</t>
        </is>
      </c>
      <c r="S32">
        <f>HYPERLINK("https://klasma.github.io/Logging_0760/artfynd/A 33088-2025 artfynd.xlsx", "A 33088-2025")</f>
        <v/>
      </c>
      <c r="T32">
        <f>HYPERLINK("https://klasma.github.io/Logging_0760/kartor/A 33088-2025 karta.png", "A 33088-2025")</f>
        <v/>
      </c>
      <c r="V32">
        <f>HYPERLINK("https://klasma.github.io/Logging_0760/klagomål/A 33088-2025 FSC-klagomål.docx", "A 33088-2025")</f>
        <v/>
      </c>
      <c r="W32">
        <f>HYPERLINK("https://klasma.github.io/Logging_0760/klagomålsmail/A 33088-2025 FSC-klagomål mail.docx", "A 33088-2025")</f>
        <v/>
      </c>
      <c r="X32">
        <f>HYPERLINK("https://klasma.github.io/Logging_0760/tillsyn/A 33088-2025 tillsynsbegäran.docx", "A 33088-2025")</f>
        <v/>
      </c>
      <c r="Y32">
        <f>HYPERLINK("https://klasma.github.io/Logging_0760/tillsynsmail/A 33088-2025 tillsynsbegäran mail.docx", "A 33088-2025")</f>
        <v/>
      </c>
    </row>
    <row r="33" ht="15" customHeight="1">
      <c r="A33" t="inlineStr">
        <is>
          <t>A 37528-2023</t>
        </is>
      </c>
      <c r="B33" s="1" t="n">
        <v>45158</v>
      </c>
      <c r="C33" s="1" t="n">
        <v>45957</v>
      </c>
      <c r="D33" t="inlineStr">
        <is>
          <t>KRONOBERGS LÄN</t>
        </is>
      </c>
      <c r="E33" t="inlineStr">
        <is>
          <t>UPPVIDINGE</t>
        </is>
      </c>
      <c r="G33" t="n">
        <v>3.5</v>
      </c>
      <c r="H33" t="n">
        <v>0</v>
      </c>
      <c r="I33" t="n">
        <v>3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Blomkålssvamp
Fjällig taggsvamp s.str.
Grönpyrola</t>
        </is>
      </c>
      <c r="S33">
        <f>HYPERLINK("https://klasma.github.io/Logging_0760/artfynd/A 37528-2023 artfynd.xlsx", "A 37528-2023")</f>
        <v/>
      </c>
      <c r="T33">
        <f>HYPERLINK("https://klasma.github.io/Logging_0760/kartor/A 37528-2023 karta.png", "A 37528-2023")</f>
        <v/>
      </c>
      <c r="V33">
        <f>HYPERLINK("https://klasma.github.io/Logging_0760/klagomål/A 37528-2023 FSC-klagomål.docx", "A 37528-2023")</f>
        <v/>
      </c>
      <c r="W33">
        <f>HYPERLINK("https://klasma.github.io/Logging_0760/klagomålsmail/A 37528-2023 FSC-klagomål mail.docx", "A 37528-2023")</f>
        <v/>
      </c>
      <c r="X33">
        <f>HYPERLINK("https://klasma.github.io/Logging_0760/tillsyn/A 37528-2023 tillsynsbegäran.docx", "A 37528-2023")</f>
        <v/>
      </c>
      <c r="Y33">
        <f>HYPERLINK("https://klasma.github.io/Logging_0760/tillsynsmail/A 37528-2023 tillsynsbegäran mail.docx", "A 37528-2023")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45957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5027-2023</t>
        </is>
      </c>
      <c r="B35" s="1" t="n">
        <v>44958.56475694444</v>
      </c>
      <c r="C35" s="1" t="n">
        <v>45957</v>
      </c>
      <c r="D35" t="inlineStr">
        <is>
          <t>KRONOBERGS LÄN</t>
        </is>
      </c>
      <c r="E35" t="inlineStr">
        <is>
          <t>VÄXJÖ</t>
        </is>
      </c>
      <c r="G35" t="n">
        <v>3.1</v>
      </c>
      <c r="H35" t="n">
        <v>3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Gulsparv
Göktyta
Törnskata</t>
        </is>
      </c>
      <c r="S35">
        <f>HYPERLINK("https://klasma.github.io/Logging_0780/artfynd/A 5027-2023 artfynd.xlsx", "A 5027-2023")</f>
        <v/>
      </c>
      <c r="T35">
        <f>HYPERLINK("https://klasma.github.io/Logging_0780/kartor/A 5027-2023 karta.png", "A 5027-2023")</f>
        <v/>
      </c>
      <c r="V35">
        <f>HYPERLINK("https://klasma.github.io/Logging_0780/klagomål/A 5027-2023 FSC-klagomål.docx", "A 5027-2023")</f>
        <v/>
      </c>
      <c r="W35">
        <f>HYPERLINK("https://klasma.github.io/Logging_0780/klagomålsmail/A 5027-2023 FSC-klagomål mail.docx", "A 5027-2023")</f>
        <v/>
      </c>
      <c r="X35">
        <f>HYPERLINK("https://klasma.github.io/Logging_0780/tillsyn/A 5027-2023 tillsynsbegäran.docx", "A 5027-2023")</f>
        <v/>
      </c>
      <c r="Y35">
        <f>HYPERLINK("https://klasma.github.io/Logging_0780/tillsynsmail/A 5027-2023 tillsynsbegäran mail.docx", "A 5027-2023")</f>
        <v/>
      </c>
      <c r="Z35">
        <f>HYPERLINK("https://klasma.github.io/Logging_0780/fåglar/A 5027-2023 prioriterade fågelarter.docx", "A 5027-2023")</f>
        <v/>
      </c>
    </row>
    <row r="36" ht="15" customHeight="1">
      <c r="A36" t="inlineStr">
        <is>
          <t>A 51450-2023</t>
        </is>
      </c>
      <c r="B36" s="1" t="n">
        <v>45215</v>
      </c>
      <c r="C36" s="1" t="n">
        <v>45957</v>
      </c>
      <c r="D36" t="inlineStr">
        <is>
          <t>KRONOBERGS LÄN</t>
        </is>
      </c>
      <c r="E36" t="inlineStr">
        <is>
          <t>ÄLMHULT</t>
        </is>
      </c>
      <c r="G36" t="n">
        <v>60.9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Tallticka
Blåmossa
Stor revmossa</t>
        </is>
      </c>
      <c r="S36">
        <f>HYPERLINK("https://klasma.github.io/Logging_0765/artfynd/A 51450-2023 artfynd.xlsx", "A 51450-2023")</f>
        <v/>
      </c>
      <c r="T36">
        <f>HYPERLINK("https://klasma.github.io/Logging_0765/kartor/A 51450-2023 karta.png", "A 51450-2023")</f>
        <v/>
      </c>
      <c r="V36">
        <f>HYPERLINK("https://klasma.github.io/Logging_0765/klagomål/A 51450-2023 FSC-klagomål.docx", "A 51450-2023")</f>
        <v/>
      </c>
      <c r="W36">
        <f>HYPERLINK("https://klasma.github.io/Logging_0765/klagomålsmail/A 51450-2023 FSC-klagomål mail.docx", "A 51450-2023")</f>
        <v/>
      </c>
      <c r="X36">
        <f>HYPERLINK("https://klasma.github.io/Logging_0765/tillsyn/A 51450-2023 tillsynsbegäran.docx", "A 51450-2023")</f>
        <v/>
      </c>
      <c r="Y36">
        <f>HYPERLINK("https://klasma.github.io/Logging_0765/tillsynsmail/A 51450-2023 tillsynsbegäran mail.docx", "A 51450-2023")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45957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  <c r="Z37">
        <f>HYPERLINK("https://klasma.github.io/Logging_0760/fåglar/A 45777-2023 prioriterade fågelarter.docx", "A 45777-2023")</f>
        <v/>
      </c>
    </row>
    <row r="38" ht="15" customHeight="1">
      <c r="A38" t="inlineStr">
        <is>
          <t>A 20623-2021</t>
        </is>
      </c>
      <c r="B38" s="1" t="n">
        <v>44315</v>
      </c>
      <c r="C38" s="1" t="n">
        <v>45957</v>
      </c>
      <c r="D38" t="inlineStr">
        <is>
          <t>KRONOBERGS LÄN</t>
        </is>
      </c>
      <c r="E38" t="inlineStr">
        <is>
          <t>UPPVIDINGE</t>
        </is>
      </c>
      <c r="G38" t="n">
        <v>12</v>
      </c>
      <c r="H38" t="n">
        <v>0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Åkerrättika
Solvända</t>
        </is>
      </c>
      <c r="S38">
        <f>HYPERLINK("https://klasma.github.io/Logging_0760/artfynd/A 20623-2021 artfynd.xlsx", "A 20623-2021")</f>
        <v/>
      </c>
      <c r="T38">
        <f>HYPERLINK("https://klasma.github.io/Logging_0760/kartor/A 20623-2021 karta.png", "A 20623-2021")</f>
        <v/>
      </c>
      <c r="V38">
        <f>HYPERLINK("https://klasma.github.io/Logging_0760/klagomål/A 20623-2021 FSC-klagomål.docx", "A 20623-2021")</f>
        <v/>
      </c>
      <c r="W38">
        <f>HYPERLINK("https://klasma.github.io/Logging_0760/klagomålsmail/A 20623-2021 FSC-klagomål mail.docx", "A 20623-2021")</f>
        <v/>
      </c>
      <c r="X38">
        <f>HYPERLINK("https://klasma.github.io/Logging_0760/tillsyn/A 20623-2021 tillsynsbegäran.docx", "A 20623-2021")</f>
        <v/>
      </c>
      <c r="Y38">
        <f>HYPERLINK("https://klasma.github.io/Logging_0760/tillsynsmail/A 20623-2021 tillsynsbegäran mail.docx", "A 20623-2021")</f>
        <v/>
      </c>
    </row>
    <row r="39" ht="15" customHeight="1">
      <c r="A39" t="inlineStr">
        <is>
          <t>A 11648-2021</t>
        </is>
      </c>
      <c r="B39" s="1" t="n">
        <v>44264</v>
      </c>
      <c r="C39" s="1" t="n">
        <v>45957</v>
      </c>
      <c r="D39" t="inlineStr">
        <is>
          <t>KRONOBERGS LÄN</t>
        </is>
      </c>
      <c r="E39" t="inlineStr">
        <is>
          <t>VÄXJÖ</t>
        </is>
      </c>
      <c r="F39" t="inlineStr">
        <is>
          <t>Sveaskog</t>
        </is>
      </c>
      <c r="G39" t="n">
        <v>4.1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1</v>
      </c>
      <c r="O39" t="n">
        <v>2</v>
      </c>
      <c r="P39" t="n">
        <v>1</v>
      </c>
      <c r="Q39" t="n">
        <v>2</v>
      </c>
      <c r="R39" s="2" t="inlineStr">
        <is>
          <t>Pimpinellros
Slåttergubbe</t>
        </is>
      </c>
      <c r="S39">
        <f>HYPERLINK("https://klasma.github.io/Logging_0780/artfynd/A 11648-2021 artfynd.xlsx", "A 11648-2021")</f>
        <v/>
      </c>
      <c r="T39">
        <f>HYPERLINK("https://klasma.github.io/Logging_0780/kartor/A 11648-2021 karta.png", "A 11648-2021")</f>
        <v/>
      </c>
      <c r="V39">
        <f>HYPERLINK("https://klasma.github.io/Logging_0780/klagomål/A 11648-2021 FSC-klagomål.docx", "A 11648-2021")</f>
        <v/>
      </c>
      <c r="W39">
        <f>HYPERLINK("https://klasma.github.io/Logging_0780/klagomålsmail/A 11648-2021 FSC-klagomål mail.docx", "A 11648-2021")</f>
        <v/>
      </c>
      <c r="X39">
        <f>HYPERLINK("https://klasma.github.io/Logging_0780/tillsyn/A 11648-2021 tillsynsbegäran.docx", "A 11648-2021")</f>
        <v/>
      </c>
      <c r="Y39">
        <f>HYPERLINK("https://klasma.github.io/Logging_0780/tillsynsmail/A 11648-2021 tillsynsbegäran mail.docx", "A 11648-2021")</f>
        <v/>
      </c>
    </row>
    <row r="40" ht="15" customHeight="1">
      <c r="A40" t="inlineStr">
        <is>
          <t>A 2988-2021</t>
        </is>
      </c>
      <c r="B40" s="1" t="n">
        <v>44216</v>
      </c>
      <c r="C40" s="1" t="n">
        <v>45957</v>
      </c>
      <c r="D40" t="inlineStr">
        <is>
          <t>KRONOBERGS LÄN</t>
        </is>
      </c>
      <c r="E40" t="inlineStr">
        <is>
          <t>LJUNGBY</t>
        </is>
      </c>
      <c r="G40" t="n">
        <v>7.7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Knärot
Spillkråka</t>
        </is>
      </c>
      <c r="S40">
        <f>HYPERLINK("https://klasma.github.io/Logging_0781/artfynd/A 2988-2021 artfynd.xlsx", "A 2988-2021")</f>
        <v/>
      </c>
      <c r="T40">
        <f>HYPERLINK("https://klasma.github.io/Logging_0781/kartor/A 2988-2021 karta.png", "A 2988-2021")</f>
        <v/>
      </c>
      <c r="U40">
        <f>HYPERLINK("https://klasma.github.io/Logging_0781/knärot/A 2988-2021 karta knärot.png", "A 2988-2021")</f>
        <v/>
      </c>
      <c r="V40">
        <f>HYPERLINK("https://klasma.github.io/Logging_0781/klagomål/A 2988-2021 FSC-klagomål.docx", "A 2988-2021")</f>
        <v/>
      </c>
      <c r="W40">
        <f>HYPERLINK("https://klasma.github.io/Logging_0781/klagomålsmail/A 2988-2021 FSC-klagomål mail.docx", "A 2988-2021")</f>
        <v/>
      </c>
      <c r="X40">
        <f>HYPERLINK("https://klasma.github.io/Logging_0781/tillsyn/A 2988-2021 tillsynsbegäran.docx", "A 2988-2021")</f>
        <v/>
      </c>
      <c r="Y40">
        <f>HYPERLINK("https://klasma.github.io/Logging_0781/tillsynsmail/A 2988-2021 tillsynsbegäran mail.docx", "A 2988-2021")</f>
        <v/>
      </c>
      <c r="Z40">
        <f>HYPERLINK("https://klasma.github.io/Logging_0781/fåglar/A 2988-2021 prioriterade fågelarter.docx", "A 2988-2021")</f>
        <v/>
      </c>
    </row>
    <row r="41" ht="15" customHeight="1">
      <c r="A41" t="inlineStr">
        <is>
          <t>A 25716-2021</t>
        </is>
      </c>
      <c r="B41" s="1" t="n">
        <v>44343</v>
      </c>
      <c r="C41" s="1" t="n">
        <v>45957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Äkta lopplummer</t>
        </is>
      </c>
      <c r="S41">
        <f>HYPERLINK("https://klasma.github.io/Logging_0781/artfynd/A 25716-2021 artfynd.xlsx", "A 25716-2021")</f>
        <v/>
      </c>
      <c r="T41">
        <f>HYPERLINK("https://klasma.github.io/Logging_0781/kartor/A 25716-2021 karta.png", "A 25716-2021")</f>
        <v/>
      </c>
      <c r="U41">
        <f>HYPERLINK("https://klasma.github.io/Logging_0781/knärot/A 25716-2021 karta knärot.png", "A 25716-2021")</f>
        <v/>
      </c>
      <c r="V41">
        <f>HYPERLINK("https://klasma.github.io/Logging_0781/klagomål/A 25716-2021 FSC-klagomål.docx", "A 25716-2021")</f>
        <v/>
      </c>
      <c r="W41">
        <f>HYPERLINK("https://klasma.github.io/Logging_0781/klagomålsmail/A 25716-2021 FSC-klagomål mail.docx", "A 25716-2021")</f>
        <v/>
      </c>
      <c r="X41">
        <f>HYPERLINK("https://klasma.github.io/Logging_0781/tillsyn/A 25716-2021 tillsynsbegäran.docx", "A 25716-2021")</f>
        <v/>
      </c>
      <c r="Y41">
        <f>HYPERLINK("https://klasma.github.io/Logging_0781/tillsynsmail/A 25716-2021 tillsynsbegäran mail.docx", "A 25716-2021")</f>
        <v/>
      </c>
    </row>
    <row r="42" ht="15" customHeight="1">
      <c r="A42" t="inlineStr">
        <is>
          <t>A 49727-2021</t>
        </is>
      </c>
      <c r="B42" s="1" t="n">
        <v>44455</v>
      </c>
      <c r="C42" s="1" t="n">
        <v>45957</v>
      </c>
      <c r="D42" t="inlineStr">
        <is>
          <t>KRONOBERGS LÄN</t>
        </is>
      </c>
      <c r="E42" t="inlineStr">
        <is>
          <t>UPPVIDINGE</t>
        </is>
      </c>
      <c r="G42" t="n">
        <v>1.2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Fjällig taggsvamp s.str.
Grönpyrola</t>
        </is>
      </c>
      <c r="S42">
        <f>HYPERLINK("https://klasma.github.io/Logging_0760/artfynd/A 49727-2021 artfynd.xlsx", "A 49727-2021")</f>
        <v/>
      </c>
      <c r="T42">
        <f>HYPERLINK("https://klasma.github.io/Logging_0760/kartor/A 49727-2021 karta.png", "A 49727-2021")</f>
        <v/>
      </c>
      <c r="V42">
        <f>HYPERLINK("https://klasma.github.io/Logging_0760/klagomål/A 49727-2021 FSC-klagomål.docx", "A 49727-2021")</f>
        <v/>
      </c>
      <c r="W42">
        <f>HYPERLINK("https://klasma.github.io/Logging_0760/klagomålsmail/A 49727-2021 FSC-klagomål mail.docx", "A 49727-2021")</f>
        <v/>
      </c>
      <c r="X42">
        <f>HYPERLINK("https://klasma.github.io/Logging_0760/tillsyn/A 49727-2021 tillsynsbegäran.docx", "A 49727-2021")</f>
        <v/>
      </c>
      <c r="Y42">
        <f>HYPERLINK("https://klasma.github.io/Logging_0760/tillsynsmail/A 49727-2021 tillsynsbegäran mail.docx", "A 49727-2021")</f>
        <v/>
      </c>
    </row>
    <row r="43" ht="15" customHeight="1">
      <c r="A43" t="inlineStr">
        <is>
          <t>A 49737-2022</t>
        </is>
      </c>
      <c r="B43" s="1" t="n">
        <v>44859</v>
      </c>
      <c r="C43" s="1" t="n">
        <v>45957</v>
      </c>
      <c r="D43" t="inlineStr">
        <is>
          <t>KRONOBERGS LÄN</t>
        </is>
      </c>
      <c r="E43" t="inlineStr">
        <is>
          <t>UPPVIDINGE</t>
        </is>
      </c>
      <c r="G43" t="n">
        <v>2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Slåttergubbe
Spindelört</t>
        </is>
      </c>
      <c r="S43">
        <f>HYPERLINK("https://klasma.github.io/Logging_0760/artfynd/A 49737-2022 artfynd.xlsx", "A 49737-2022")</f>
        <v/>
      </c>
      <c r="T43">
        <f>HYPERLINK("https://klasma.github.io/Logging_0760/kartor/A 49737-2022 karta.png", "A 49737-2022")</f>
        <v/>
      </c>
      <c r="V43">
        <f>HYPERLINK("https://klasma.github.io/Logging_0760/klagomål/A 49737-2022 FSC-klagomål.docx", "A 49737-2022")</f>
        <v/>
      </c>
      <c r="W43">
        <f>HYPERLINK("https://klasma.github.io/Logging_0760/klagomålsmail/A 49737-2022 FSC-klagomål mail.docx", "A 49737-2022")</f>
        <v/>
      </c>
      <c r="X43">
        <f>HYPERLINK("https://klasma.github.io/Logging_0760/tillsyn/A 49737-2022 tillsynsbegäran.docx", "A 49737-2022")</f>
        <v/>
      </c>
      <c r="Y43">
        <f>HYPERLINK("https://klasma.github.io/Logging_0760/tillsynsmail/A 49737-2022 tillsynsbegäran mail.docx", "A 49737-2022")</f>
        <v/>
      </c>
    </row>
    <row r="44" ht="15" customHeight="1">
      <c r="A44" t="inlineStr">
        <is>
          <t>A 4825-2022</t>
        </is>
      </c>
      <c r="B44" s="1" t="n">
        <v>44592</v>
      </c>
      <c r="C44" s="1" t="n">
        <v>45957</v>
      </c>
      <c r="D44" t="inlineStr">
        <is>
          <t>KRONOBERGS LÄN</t>
        </is>
      </c>
      <c r="E44" t="inlineStr">
        <is>
          <t>ALVESTA</t>
        </is>
      </c>
      <c r="G44" t="n">
        <v>6.7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Spillkråka
Blåmossa</t>
        </is>
      </c>
      <c r="S44">
        <f>HYPERLINK("https://klasma.github.io/Logging_0764/artfynd/A 4825-2022 artfynd.xlsx", "A 4825-2022")</f>
        <v/>
      </c>
      <c r="T44">
        <f>HYPERLINK("https://klasma.github.io/Logging_0764/kartor/A 4825-2022 karta.png", "A 4825-2022")</f>
        <v/>
      </c>
      <c r="V44">
        <f>HYPERLINK("https://klasma.github.io/Logging_0764/klagomål/A 4825-2022 FSC-klagomål.docx", "A 4825-2022")</f>
        <v/>
      </c>
      <c r="W44">
        <f>HYPERLINK("https://klasma.github.io/Logging_0764/klagomålsmail/A 4825-2022 FSC-klagomål mail.docx", "A 4825-2022")</f>
        <v/>
      </c>
      <c r="X44">
        <f>HYPERLINK("https://klasma.github.io/Logging_0764/tillsyn/A 4825-2022 tillsynsbegäran.docx", "A 4825-2022")</f>
        <v/>
      </c>
      <c r="Y44">
        <f>HYPERLINK("https://klasma.github.io/Logging_0764/tillsynsmail/A 4825-2022 tillsynsbegäran mail.docx", "A 4825-2022")</f>
        <v/>
      </c>
      <c r="Z44">
        <f>HYPERLINK("https://klasma.github.io/Logging_0764/fåglar/A 4825-2022 prioriterade fågelarter.docx", "A 4825-2022")</f>
        <v/>
      </c>
    </row>
    <row r="45" ht="15" customHeight="1">
      <c r="A45" t="inlineStr">
        <is>
          <t>A 36046-2024</t>
        </is>
      </c>
      <c r="B45" s="1" t="n">
        <v>45533</v>
      </c>
      <c r="C45" s="1" t="n">
        <v>45957</v>
      </c>
      <c r="D45" t="inlineStr">
        <is>
          <t>KRONOBERGS LÄN</t>
        </is>
      </c>
      <c r="E45" t="inlineStr">
        <is>
          <t>LJUNGBY</t>
        </is>
      </c>
      <c r="G45" t="n">
        <v>4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Brunpudrad nållav
Brandticka</t>
        </is>
      </c>
      <c r="S45">
        <f>HYPERLINK("https://klasma.github.io/Logging_0781/artfynd/A 36046-2024 artfynd.xlsx", "A 36046-2024")</f>
        <v/>
      </c>
      <c r="T45">
        <f>HYPERLINK("https://klasma.github.io/Logging_0781/kartor/A 36046-2024 karta.png", "A 36046-2024")</f>
        <v/>
      </c>
      <c r="V45">
        <f>HYPERLINK("https://klasma.github.io/Logging_0781/klagomål/A 36046-2024 FSC-klagomål.docx", "A 36046-2024")</f>
        <v/>
      </c>
      <c r="W45">
        <f>HYPERLINK("https://klasma.github.io/Logging_0781/klagomålsmail/A 36046-2024 FSC-klagomål mail.docx", "A 36046-2024")</f>
        <v/>
      </c>
      <c r="X45">
        <f>HYPERLINK("https://klasma.github.io/Logging_0781/tillsyn/A 36046-2024 tillsynsbegäran.docx", "A 36046-2024")</f>
        <v/>
      </c>
      <c r="Y45">
        <f>HYPERLINK("https://klasma.github.io/Logging_0781/tillsynsmail/A 36046-2024 tillsynsbegäran mail.docx", "A 36046-2024")</f>
        <v/>
      </c>
    </row>
    <row r="46" ht="15" customHeight="1">
      <c r="A46" t="inlineStr">
        <is>
          <t>A 13196-2024</t>
        </is>
      </c>
      <c r="B46" s="1" t="n">
        <v>45386</v>
      </c>
      <c r="C46" s="1" t="n">
        <v>45957</v>
      </c>
      <c r="D46" t="inlineStr">
        <is>
          <t>KRONOBERGS LÄN</t>
        </is>
      </c>
      <c r="E46" t="inlineStr">
        <is>
          <t>ÄLMHULT</t>
        </is>
      </c>
      <c r="G46" t="n">
        <v>1.5</v>
      </c>
      <c r="H46" t="n">
        <v>2</v>
      </c>
      <c r="I46" t="n">
        <v>0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2</v>
      </c>
      <c r="R46" s="2" t="inlineStr">
        <is>
          <t>Tofsvipa
Smådopping</t>
        </is>
      </c>
      <c r="S46">
        <f>HYPERLINK("https://klasma.github.io/Logging_0765/artfynd/A 13196-2024 artfynd.xlsx", "A 13196-2024")</f>
        <v/>
      </c>
      <c r="T46">
        <f>HYPERLINK("https://klasma.github.io/Logging_0765/kartor/A 13196-2024 karta.png", "A 13196-2024")</f>
        <v/>
      </c>
      <c r="V46">
        <f>HYPERLINK("https://klasma.github.io/Logging_0765/klagomål/A 13196-2024 FSC-klagomål.docx", "A 13196-2024")</f>
        <v/>
      </c>
      <c r="W46">
        <f>HYPERLINK("https://klasma.github.io/Logging_0765/klagomålsmail/A 13196-2024 FSC-klagomål mail.docx", "A 13196-2024")</f>
        <v/>
      </c>
      <c r="X46">
        <f>HYPERLINK("https://klasma.github.io/Logging_0765/tillsyn/A 13196-2024 tillsynsbegäran.docx", "A 13196-2024")</f>
        <v/>
      </c>
      <c r="Y46">
        <f>HYPERLINK("https://klasma.github.io/Logging_0765/tillsynsmail/A 13196-2024 tillsynsbegäran mail.docx", "A 13196-2024")</f>
        <v/>
      </c>
    </row>
    <row r="47" ht="15" customHeight="1">
      <c r="A47" t="inlineStr">
        <is>
          <t>A 23115-2024</t>
        </is>
      </c>
      <c r="B47" s="1" t="n">
        <v>45450.57783564815</v>
      </c>
      <c r="C47" s="1" t="n">
        <v>45957</v>
      </c>
      <c r="D47" t="inlineStr">
        <is>
          <t>KRONOBERGS LÄN</t>
        </is>
      </c>
      <c r="E47" t="inlineStr">
        <is>
          <t>UPPVIDINGE</t>
        </is>
      </c>
      <c r="G47" t="n">
        <v>4.8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2</v>
      </c>
      <c r="R47" s="2" t="inlineStr">
        <is>
          <t>Knärot
Ullticka</t>
        </is>
      </c>
      <c r="S47">
        <f>HYPERLINK("https://klasma.github.io/Logging_0760/artfynd/A 23115-2024 artfynd.xlsx", "A 23115-2024")</f>
        <v/>
      </c>
      <c r="T47">
        <f>HYPERLINK("https://klasma.github.io/Logging_0760/kartor/A 23115-2024 karta.png", "A 23115-2024")</f>
        <v/>
      </c>
      <c r="U47">
        <f>HYPERLINK("https://klasma.github.io/Logging_0760/knärot/A 23115-2024 karta knärot.png", "A 23115-2024")</f>
        <v/>
      </c>
      <c r="V47">
        <f>HYPERLINK("https://klasma.github.io/Logging_0760/klagomål/A 23115-2024 FSC-klagomål.docx", "A 23115-2024")</f>
        <v/>
      </c>
      <c r="W47">
        <f>HYPERLINK("https://klasma.github.io/Logging_0760/klagomålsmail/A 23115-2024 FSC-klagomål mail.docx", "A 23115-2024")</f>
        <v/>
      </c>
      <c r="X47">
        <f>HYPERLINK("https://klasma.github.io/Logging_0760/tillsyn/A 23115-2024 tillsynsbegäran.docx", "A 23115-2024")</f>
        <v/>
      </c>
      <c r="Y47">
        <f>HYPERLINK("https://klasma.github.io/Logging_0760/tillsynsmail/A 23115-2024 tillsynsbegäran mail.docx", "A 23115-2024")</f>
        <v/>
      </c>
    </row>
    <row r="48" ht="15" customHeight="1">
      <c r="A48" t="inlineStr">
        <is>
          <t>A 51691-2022</t>
        </is>
      </c>
      <c r="B48" s="1" t="n">
        <v>44872</v>
      </c>
      <c r="C48" s="1" t="n">
        <v>45957</v>
      </c>
      <c r="D48" t="inlineStr">
        <is>
          <t>KRONOBERGS LÄN</t>
        </is>
      </c>
      <c r="E48" t="inlineStr">
        <is>
          <t>TINGSRYD</t>
        </is>
      </c>
      <c r="G48" t="n">
        <v>3.5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Blåmossa</t>
        </is>
      </c>
      <c r="S48">
        <f>HYPERLINK("https://klasma.github.io/Logging_0763/artfynd/A 51691-2022 artfynd.xlsx", "A 51691-2022")</f>
        <v/>
      </c>
      <c r="T48">
        <f>HYPERLINK("https://klasma.github.io/Logging_0763/kartor/A 51691-2022 karta.png", "A 51691-2022")</f>
        <v/>
      </c>
      <c r="U48">
        <f>HYPERLINK("https://klasma.github.io/Logging_0763/knärot/A 51691-2022 karta knärot.png", "A 51691-2022")</f>
        <v/>
      </c>
      <c r="V48">
        <f>HYPERLINK("https://klasma.github.io/Logging_0763/klagomål/A 51691-2022 FSC-klagomål.docx", "A 51691-2022")</f>
        <v/>
      </c>
      <c r="W48">
        <f>HYPERLINK("https://klasma.github.io/Logging_0763/klagomålsmail/A 51691-2022 FSC-klagomål mail.docx", "A 51691-2022")</f>
        <v/>
      </c>
      <c r="X48">
        <f>HYPERLINK("https://klasma.github.io/Logging_0763/tillsyn/A 51691-2022 tillsynsbegäran.docx", "A 51691-2022")</f>
        <v/>
      </c>
      <c r="Y48">
        <f>HYPERLINK("https://klasma.github.io/Logging_0763/tillsynsmail/A 51691-2022 tillsynsbegäran mail.docx", "A 51691-2022")</f>
        <v/>
      </c>
    </row>
    <row r="49" ht="15" customHeight="1">
      <c r="A49" t="inlineStr">
        <is>
          <t>A 28168-2023</t>
        </is>
      </c>
      <c r="B49" s="1" t="n">
        <v>45099.51319444444</v>
      </c>
      <c r="C49" s="1" t="n">
        <v>45957</v>
      </c>
      <c r="D49" t="inlineStr">
        <is>
          <t>KRONOBERGS LÄN</t>
        </is>
      </c>
      <c r="E49" t="inlineStr">
        <is>
          <t>TINGSRYD</t>
        </is>
      </c>
      <c r="G49" t="n">
        <v>1.1</v>
      </c>
      <c r="H49" t="n">
        <v>0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Mörk dunört
Åkerkål</t>
        </is>
      </c>
      <c r="S49">
        <f>HYPERLINK("https://klasma.github.io/Logging_0763/artfynd/A 28168-2023 artfynd.xlsx", "A 28168-2023")</f>
        <v/>
      </c>
      <c r="T49">
        <f>HYPERLINK("https://klasma.github.io/Logging_0763/kartor/A 28168-2023 karta.png", "A 28168-2023")</f>
        <v/>
      </c>
      <c r="V49">
        <f>HYPERLINK("https://klasma.github.io/Logging_0763/klagomål/A 28168-2023 FSC-klagomål.docx", "A 28168-2023")</f>
        <v/>
      </c>
      <c r="W49">
        <f>HYPERLINK("https://klasma.github.io/Logging_0763/klagomålsmail/A 28168-2023 FSC-klagomål mail.docx", "A 28168-2023")</f>
        <v/>
      </c>
      <c r="X49">
        <f>HYPERLINK("https://klasma.github.io/Logging_0763/tillsyn/A 28168-2023 tillsynsbegäran.docx", "A 28168-2023")</f>
        <v/>
      </c>
      <c r="Y49">
        <f>HYPERLINK("https://klasma.github.io/Logging_0763/tillsynsmail/A 28168-2023 tillsynsbegäran mail.docx", "A 28168-2023")</f>
        <v/>
      </c>
    </row>
    <row r="50" ht="15" customHeight="1">
      <c r="A50" t="inlineStr">
        <is>
          <t>A 18207-2023</t>
        </is>
      </c>
      <c r="B50" s="1" t="n">
        <v>45041.38268518518</v>
      </c>
      <c r="C50" s="1" t="n">
        <v>45957</v>
      </c>
      <c r="D50" t="inlineStr">
        <is>
          <t>KRONOBERGS LÄN</t>
        </is>
      </c>
      <c r="E50" t="inlineStr">
        <is>
          <t>ALVESTA</t>
        </is>
      </c>
      <c r="G50" t="n">
        <v>2.1</v>
      </c>
      <c r="H50" t="n">
        <v>0</v>
      </c>
      <c r="I50" t="n">
        <v>0</v>
      </c>
      <c r="J50" t="n">
        <v>0</v>
      </c>
      <c r="K50" t="n">
        <v>1</v>
      </c>
      <c r="L50" t="n">
        <v>1</v>
      </c>
      <c r="M50" t="n">
        <v>0</v>
      </c>
      <c r="N50" t="n">
        <v>0</v>
      </c>
      <c r="O50" t="n">
        <v>2</v>
      </c>
      <c r="P50" t="n">
        <v>2</v>
      </c>
      <c r="Q50" t="n">
        <v>2</v>
      </c>
      <c r="R50" s="2" t="inlineStr">
        <is>
          <t>Ask
Gulvit blekspik</t>
        </is>
      </c>
      <c r="S50">
        <f>HYPERLINK("https://klasma.github.io/Logging_0764/artfynd/A 18207-2023 artfynd.xlsx", "A 18207-2023")</f>
        <v/>
      </c>
      <c r="T50">
        <f>HYPERLINK("https://klasma.github.io/Logging_0764/kartor/A 18207-2023 karta.png", "A 18207-2023")</f>
        <v/>
      </c>
      <c r="V50">
        <f>HYPERLINK("https://klasma.github.io/Logging_0764/klagomål/A 18207-2023 FSC-klagomål.docx", "A 18207-2023")</f>
        <v/>
      </c>
      <c r="W50">
        <f>HYPERLINK("https://klasma.github.io/Logging_0764/klagomålsmail/A 18207-2023 FSC-klagomål mail.docx", "A 18207-2023")</f>
        <v/>
      </c>
      <c r="X50">
        <f>HYPERLINK("https://klasma.github.io/Logging_0764/tillsyn/A 18207-2023 tillsynsbegäran.docx", "A 18207-2023")</f>
        <v/>
      </c>
      <c r="Y50">
        <f>HYPERLINK("https://klasma.github.io/Logging_0764/tillsynsmail/A 18207-2023 tillsynsbegäran mail.docx", "A 18207-2023")</f>
        <v/>
      </c>
    </row>
    <row r="51" ht="15" customHeight="1">
      <c r="A51" t="inlineStr">
        <is>
          <t>A 25812-2025</t>
        </is>
      </c>
      <c r="B51" s="1" t="n">
        <v>45804</v>
      </c>
      <c r="C51" s="1" t="n">
        <v>45957</v>
      </c>
      <c r="D51" t="inlineStr">
        <is>
          <t>KRONOBERGS LÄN</t>
        </is>
      </c>
      <c r="E51" t="inlineStr">
        <is>
          <t>ALVESTA</t>
        </is>
      </c>
      <c r="G51" t="n">
        <v>3.2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Loppstarr
Ängsstarr</t>
        </is>
      </c>
      <c r="S51">
        <f>HYPERLINK("https://klasma.github.io/Logging_0764/artfynd/A 25812-2025 artfynd.xlsx", "A 25812-2025")</f>
        <v/>
      </c>
      <c r="T51">
        <f>HYPERLINK("https://klasma.github.io/Logging_0764/kartor/A 25812-2025 karta.png", "A 25812-2025")</f>
        <v/>
      </c>
      <c r="V51">
        <f>HYPERLINK("https://klasma.github.io/Logging_0764/klagomål/A 25812-2025 FSC-klagomål.docx", "A 25812-2025")</f>
        <v/>
      </c>
      <c r="W51">
        <f>HYPERLINK("https://klasma.github.io/Logging_0764/klagomålsmail/A 25812-2025 FSC-klagomål mail.docx", "A 25812-2025")</f>
        <v/>
      </c>
      <c r="X51">
        <f>HYPERLINK("https://klasma.github.io/Logging_0764/tillsyn/A 25812-2025 tillsynsbegäran.docx", "A 25812-2025")</f>
        <v/>
      </c>
      <c r="Y51">
        <f>HYPERLINK("https://klasma.github.io/Logging_0764/tillsynsmail/A 25812-2025 tillsynsbegäran mail.docx", "A 25812-2025")</f>
        <v/>
      </c>
    </row>
    <row r="52" ht="15" customHeight="1">
      <c r="A52" t="inlineStr">
        <is>
          <t>A 47480-2025</t>
        </is>
      </c>
      <c r="B52" s="1" t="n">
        <v>45930</v>
      </c>
      <c r="C52" s="1" t="n">
        <v>45957</v>
      </c>
      <c r="D52" t="inlineStr">
        <is>
          <t>KRONOBERGS LÄN</t>
        </is>
      </c>
      <c r="E52" t="inlineStr">
        <is>
          <t>UPPVIDINGE</t>
        </is>
      </c>
      <c r="F52" t="inlineStr">
        <is>
          <t>Kyrkan</t>
        </is>
      </c>
      <c r="G52" t="n">
        <v>3.8</v>
      </c>
      <c r="H52" t="n">
        <v>2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Korallrot
Spindelblomster</t>
        </is>
      </c>
      <c r="S52">
        <f>HYPERLINK("https://klasma.github.io/Logging_0760/artfynd/A 47480-2025 artfynd.xlsx", "A 47480-2025")</f>
        <v/>
      </c>
      <c r="T52">
        <f>HYPERLINK("https://klasma.github.io/Logging_0760/kartor/A 47480-2025 karta.png", "A 47480-2025")</f>
        <v/>
      </c>
      <c r="V52">
        <f>HYPERLINK("https://klasma.github.io/Logging_0760/klagomål/A 47480-2025 FSC-klagomål.docx", "A 47480-2025")</f>
        <v/>
      </c>
      <c r="W52">
        <f>HYPERLINK("https://klasma.github.io/Logging_0760/klagomålsmail/A 47480-2025 FSC-klagomål mail.docx", "A 47480-2025")</f>
        <v/>
      </c>
      <c r="X52">
        <f>HYPERLINK("https://klasma.github.io/Logging_0760/tillsyn/A 47480-2025 tillsynsbegäran.docx", "A 47480-2025")</f>
        <v/>
      </c>
      <c r="Y52">
        <f>HYPERLINK("https://klasma.github.io/Logging_0760/tillsynsmail/A 47480-2025 tillsynsbegäran mail.docx", "A 47480-2025")</f>
        <v/>
      </c>
    </row>
    <row r="53" ht="15" customHeight="1">
      <c r="A53" t="inlineStr">
        <is>
          <t>A 53849-2023</t>
        </is>
      </c>
      <c r="B53" s="1" t="n">
        <v>45224</v>
      </c>
      <c r="C53" s="1" t="n">
        <v>45957</v>
      </c>
      <c r="D53" t="inlineStr">
        <is>
          <t>KRONOBERGS LÄN</t>
        </is>
      </c>
      <c r="E53" t="inlineStr">
        <is>
          <t>LJUNGBY</t>
        </is>
      </c>
      <c r="F53" t="inlineStr">
        <is>
          <t>Kyrkan</t>
        </is>
      </c>
      <c r="G53" t="n">
        <v>1</v>
      </c>
      <c r="H53" t="n">
        <v>1</v>
      </c>
      <c r="I53" t="n">
        <v>0</v>
      </c>
      <c r="J53" t="n">
        <v>1</v>
      </c>
      <c r="K53" t="n">
        <v>0</v>
      </c>
      <c r="L53" t="n">
        <v>1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Vit stork
Igelkott</t>
        </is>
      </c>
      <c r="S53">
        <f>HYPERLINK("https://klasma.github.io/Logging_0781/artfynd/A 53849-2023 artfynd.xlsx", "A 53849-2023")</f>
        <v/>
      </c>
      <c r="T53">
        <f>HYPERLINK("https://klasma.github.io/Logging_0781/kartor/A 53849-2023 karta.png", "A 53849-2023")</f>
        <v/>
      </c>
      <c r="V53">
        <f>HYPERLINK("https://klasma.github.io/Logging_0781/klagomål/A 53849-2023 FSC-klagomål.docx", "A 53849-2023")</f>
        <v/>
      </c>
      <c r="W53">
        <f>HYPERLINK("https://klasma.github.io/Logging_0781/klagomålsmail/A 53849-2023 FSC-klagomål mail.docx", "A 53849-2023")</f>
        <v/>
      </c>
      <c r="X53">
        <f>HYPERLINK("https://klasma.github.io/Logging_0781/tillsyn/A 53849-2023 tillsynsbegäran.docx", "A 53849-2023")</f>
        <v/>
      </c>
      <c r="Y53">
        <f>HYPERLINK("https://klasma.github.io/Logging_0781/tillsynsmail/A 53849-2023 tillsynsbegäran mail.docx", "A 53849-2023")</f>
        <v/>
      </c>
    </row>
    <row r="54" ht="15" customHeight="1">
      <c r="A54" t="inlineStr">
        <is>
          <t>A 26756-2025</t>
        </is>
      </c>
      <c r="B54" s="1" t="n">
        <v>45810.5565162037</v>
      </c>
      <c r="C54" s="1" t="n">
        <v>45957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Slåttergubbe
Fläcknycklar</t>
        </is>
      </c>
      <c r="S54">
        <f>HYPERLINK("https://klasma.github.io/Logging_0763/artfynd/A 26756-2025 artfynd.xlsx", "A 26756-2025")</f>
        <v/>
      </c>
      <c r="T54">
        <f>HYPERLINK("https://klasma.github.io/Logging_0763/kartor/A 26756-2025 karta.png", "A 26756-2025")</f>
        <v/>
      </c>
      <c r="V54">
        <f>HYPERLINK("https://klasma.github.io/Logging_0763/klagomål/A 26756-2025 FSC-klagomål.docx", "A 26756-2025")</f>
        <v/>
      </c>
      <c r="W54">
        <f>HYPERLINK("https://klasma.github.io/Logging_0763/klagomålsmail/A 26756-2025 FSC-klagomål mail.docx", "A 26756-2025")</f>
        <v/>
      </c>
      <c r="X54">
        <f>HYPERLINK("https://klasma.github.io/Logging_0763/tillsyn/A 26756-2025 tillsynsbegäran.docx", "A 26756-2025")</f>
        <v/>
      </c>
      <c r="Y54">
        <f>HYPERLINK("https://klasma.github.io/Logging_0763/tillsynsmail/A 26756-2025 tillsynsbegäran mail.docx", "A 26756-2025")</f>
        <v/>
      </c>
    </row>
    <row r="55" ht="15" customHeight="1">
      <c r="A55" t="inlineStr">
        <is>
          <t>A 70221-2021</t>
        </is>
      </c>
      <c r="B55" s="1" t="n">
        <v>44535</v>
      </c>
      <c r="C55" s="1" t="n">
        <v>45957</v>
      </c>
      <c r="D55" t="inlineStr">
        <is>
          <t>KRONOBERGS LÄN</t>
        </is>
      </c>
      <c r="E55" t="inlineStr">
        <is>
          <t>ALVESTA</t>
        </is>
      </c>
      <c r="G55" t="n">
        <v>1.1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Brunpudrad nållav
Gulnål</t>
        </is>
      </c>
      <c r="S55">
        <f>HYPERLINK("https://klasma.github.io/Logging_0764/artfynd/A 70221-2021 artfynd.xlsx", "A 70221-2021")</f>
        <v/>
      </c>
      <c r="T55">
        <f>HYPERLINK("https://klasma.github.io/Logging_0764/kartor/A 70221-2021 karta.png", "A 70221-2021")</f>
        <v/>
      </c>
      <c r="V55">
        <f>HYPERLINK("https://klasma.github.io/Logging_0764/klagomål/A 70221-2021 FSC-klagomål.docx", "A 70221-2021")</f>
        <v/>
      </c>
      <c r="W55">
        <f>HYPERLINK("https://klasma.github.io/Logging_0764/klagomålsmail/A 70221-2021 FSC-klagomål mail.docx", "A 70221-2021")</f>
        <v/>
      </c>
      <c r="X55">
        <f>HYPERLINK("https://klasma.github.io/Logging_0764/tillsyn/A 70221-2021 tillsynsbegäran.docx", "A 70221-2021")</f>
        <v/>
      </c>
      <c r="Y55">
        <f>HYPERLINK("https://klasma.github.io/Logging_0764/tillsynsmail/A 70221-2021 tillsynsbegäran mail.docx", "A 70221-2021")</f>
        <v/>
      </c>
    </row>
    <row r="56" ht="15" customHeight="1">
      <c r="A56" t="inlineStr">
        <is>
          <t>A 8314-2022</t>
        </is>
      </c>
      <c r="B56" s="1" t="n">
        <v>44610</v>
      </c>
      <c r="C56" s="1" t="n">
        <v>45957</v>
      </c>
      <c r="D56" t="inlineStr">
        <is>
          <t>KRONOBERGS LÄN</t>
        </is>
      </c>
      <c r="E56" t="inlineStr">
        <is>
          <t>LJUNGBY</t>
        </is>
      </c>
      <c r="F56" t="inlineStr">
        <is>
          <t>Kommuner</t>
        </is>
      </c>
      <c r="G56" t="n">
        <v>5.5</v>
      </c>
      <c r="H56" t="n">
        <v>0</v>
      </c>
      <c r="I56" t="n">
        <v>2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Fällmossa
Klippfrullania</t>
        </is>
      </c>
      <c r="S56">
        <f>HYPERLINK("https://klasma.github.io/Logging_0781/artfynd/A 8314-2022 artfynd.xlsx", "A 8314-2022")</f>
        <v/>
      </c>
      <c r="T56">
        <f>HYPERLINK("https://klasma.github.io/Logging_0781/kartor/A 8314-2022 karta.png", "A 8314-2022")</f>
        <v/>
      </c>
      <c r="V56">
        <f>HYPERLINK("https://klasma.github.io/Logging_0781/klagomål/A 8314-2022 FSC-klagomål.docx", "A 8314-2022")</f>
        <v/>
      </c>
      <c r="W56">
        <f>HYPERLINK("https://klasma.github.io/Logging_0781/klagomålsmail/A 8314-2022 FSC-klagomål mail.docx", "A 8314-2022")</f>
        <v/>
      </c>
      <c r="X56">
        <f>HYPERLINK("https://klasma.github.io/Logging_0781/tillsyn/A 8314-2022 tillsynsbegäran.docx", "A 8314-2022")</f>
        <v/>
      </c>
      <c r="Y56">
        <f>HYPERLINK("https://klasma.github.io/Logging_0781/tillsynsmail/A 8314-2022 tillsynsbegäran mail.docx", "A 8314-2022")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45957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HYPERLINK("https://klasma.github.io/Logging_0781/artfynd/A 10670-2021 artfynd.xlsx", "A 10670-2021")</f>
        <v/>
      </c>
      <c r="T57">
        <f>HYPERLINK("https://klasma.github.io/Logging_0781/kartor/A 10670-2021 karta.png", "A 10670-2021")</f>
        <v/>
      </c>
      <c r="V57">
        <f>HYPERLINK("https://klasma.github.io/Logging_0781/klagomål/A 10670-2021 FSC-klagomål.docx", "A 10670-2021")</f>
        <v/>
      </c>
      <c r="W57">
        <f>HYPERLINK("https://klasma.github.io/Logging_0781/klagomålsmail/A 10670-2021 FSC-klagomål mail.docx", "A 10670-2021")</f>
        <v/>
      </c>
      <c r="X57">
        <f>HYPERLINK("https://klasma.github.io/Logging_0781/tillsyn/A 10670-2021 tillsynsbegäran.docx", "A 10670-2021")</f>
        <v/>
      </c>
      <c r="Y57">
        <f>HYPERLINK("https://klasma.github.io/Logging_0781/tillsynsmail/A 10670-2021 tillsynsbegäran mail.docx", "A 10670-2021")</f>
        <v/>
      </c>
      <c r="Z57">
        <f>HYPERLINK("https://klasma.github.io/Logging_0781/fåglar/A 10670-2021 prioriterade fågelarter.docx", "A 10670-2021")</f>
        <v/>
      </c>
    </row>
    <row r="58" ht="15" customHeight="1">
      <c r="A58" t="inlineStr">
        <is>
          <t>A 24031-2023</t>
        </is>
      </c>
      <c r="B58" s="1" t="n">
        <v>45078</v>
      </c>
      <c r="C58" s="1" t="n">
        <v>45957</v>
      </c>
      <c r="D58" t="inlineStr">
        <is>
          <t>KRONOBERGS LÄN</t>
        </is>
      </c>
      <c r="E58" t="inlineStr">
        <is>
          <t>LJUNGBY</t>
        </is>
      </c>
      <c r="G58" t="n">
        <v>3.3</v>
      </c>
      <c r="H58" t="n">
        <v>0</v>
      </c>
      <c r="I58" t="n">
        <v>2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Fällmossa
Klippfrullania</t>
        </is>
      </c>
      <c r="S58">
        <f>HYPERLINK("https://klasma.github.io/Logging_0781/artfynd/A 24031-2023 artfynd.xlsx", "A 24031-2023")</f>
        <v/>
      </c>
      <c r="T58">
        <f>HYPERLINK("https://klasma.github.io/Logging_0781/kartor/A 24031-2023 karta.png", "A 24031-2023")</f>
        <v/>
      </c>
      <c r="V58">
        <f>HYPERLINK("https://klasma.github.io/Logging_0781/klagomål/A 24031-2023 FSC-klagomål.docx", "A 24031-2023")</f>
        <v/>
      </c>
      <c r="W58">
        <f>HYPERLINK("https://klasma.github.io/Logging_0781/klagomålsmail/A 24031-2023 FSC-klagomål mail.docx", "A 24031-2023")</f>
        <v/>
      </c>
      <c r="X58">
        <f>HYPERLINK("https://klasma.github.io/Logging_0781/tillsyn/A 24031-2023 tillsynsbegäran.docx", "A 24031-2023")</f>
        <v/>
      </c>
      <c r="Y58">
        <f>HYPERLINK("https://klasma.github.io/Logging_0781/tillsynsmail/A 24031-2023 tillsynsbegäran mail.docx", "A 24031-2023")</f>
        <v/>
      </c>
    </row>
    <row r="59" ht="15" customHeight="1">
      <c r="A59" t="inlineStr">
        <is>
          <t>A 29988-2025</t>
        </is>
      </c>
      <c r="B59" s="1" t="n">
        <v>45826.4996875</v>
      </c>
      <c r="C59" s="1" t="n">
        <v>45957</v>
      </c>
      <c r="D59" t="inlineStr">
        <is>
          <t>KRONOBERGS LÄN</t>
        </is>
      </c>
      <c r="E59" t="inlineStr">
        <is>
          <t>UPPVIDINGE</t>
        </is>
      </c>
      <c r="G59" t="n">
        <v>1.1</v>
      </c>
      <c r="H59" t="n">
        <v>0</v>
      </c>
      <c r="I59" t="n">
        <v>0</v>
      </c>
      <c r="J59" t="n">
        <v>0</v>
      </c>
      <c r="K59" t="n">
        <v>2</v>
      </c>
      <c r="L59" t="n">
        <v>0</v>
      </c>
      <c r="M59" t="n">
        <v>0</v>
      </c>
      <c r="N59" t="n">
        <v>0</v>
      </c>
      <c r="O59" t="n">
        <v>2</v>
      </c>
      <c r="P59" t="n">
        <v>2</v>
      </c>
      <c r="Q59" t="n">
        <v>2</v>
      </c>
      <c r="R59" s="2" t="inlineStr">
        <is>
          <t>Slåttergubbe
Slåttergubbemal</t>
        </is>
      </c>
      <c r="S59">
        <f>HYPERLINK("https://klasma.github.io/Logging_0760/artfynd/A 29988-2025 artfynd.xlsx", "A 29988-2025")</f>
        <v/>
      </c>
      <c r="T59">
        <f>HYPERLINK("https://klasma.github.io/Logging_0760/kartor/A 29988-2025 karta.png", "A 29988-2025")</f>
        <v/>
      </c>
      <c r="V59">
        <f>HYPERLINK("https://klasma.github.io/Logging_0760/klagomål/A 29988-2025 FSC-klagomål.docx", "A 29988-2025")</f>
        <v/>
      </c>
      <c r="W59">
        <f>HYPERLINK("https://klasma.github.io/Logging_0760/klagomålsmail/A 29988-2025 FSC-klagomål mail.docx", "A 29988-2025")</f>
        <v/>
      </c>
      <c r="X59">
        <f>HYPERLINK("https://klasma.github.io/Logging_0760/tillsyn/A 29988-2025 tillsynsbegäran.docx", "A 29988-2025")</f>
        <v/>
      </c>
      <c r="Y59">
        <f>HYPERLINK("https://klasma.github.io/Logging_0760/tillsynsmail/A 29988-2025 tillsynsbegäran mail.docx", "A 29988-2025")</f>
        <v/>
      </c>
    </row>
    <row r="60" ht="15" customHeight="1">
      <c r="A60" t="inlineStr">
        <is>
          <t>A 32944-2024</t>
        </is>
      </c>
      <c r="B60" s="1" t="n">
        <v>45517.34768518519</v>
      </c>
      <c r="C60" s="1" t="n">
        <v>45957</v>
      </c>
      <c r="D60" t="inlineStr">
        <is>
          <t>KRONOBERGS LÄN</t>
        </is>
      </c>
      <c r="E60" t="inlineStr">
        <is>
          <t>UPPVIDINGE</t>
        </is>
      </c>
      <c r="G60" t="n">
        <v>7.9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Blåmossa
Revlummer</t>
        </is>
      </c>
      <c r="S60">
        <f>HYPERLINK("https://klasma.github.io/Logging_0760/artfynd/A 32944-2024 artfynd.xlsx", "A 32944-2024")</f>
        <v/>
      </c>
      <c r="T60">
        <f>HYPERLINK("https://klasma.github.io/Logging_0760/kartor/A 32944-2024 karta.png", "A 32944-2024")</f>
        <v/>
      </c>
      <c r="V60">
        <f>HYPERLINK("https://klasma.github.io/Logging_0760/klagomål/A 32944-2024 FSC-klagomål.docx", "A 32944-2024")</f>
        <v/>
      </c>
      <c r="W60">
        <f>HYPERLINK("https://klasma.github.io/Logging_0760/klagomålsmail/A 32944-2024 FSC-klagomål mail.docx", "A 32944-2024")</f>
        <v/>
      </c>
      <c r="X60">
        <f>HYPERLINK("https://klasma.github.io/Logging_0760/tillsyn/A 32944-2024 tillsynsbegäran.docx", "A 32944-2024")</f>
        <v/>
      </c>
      <c r="Y60">
        <f>HYPERLINK("https://klasma.github.io/Logging_0760/tillsynsmail/A 32944-2024 tillsynsbegäran mail.docx", "A 32944-2024")</f>
        <v/>
      </c>
    </row>
    <row r="61" ht="15" customHeight="1">
      <c r="A61" t="inlineStr">
        <is>
          <t>A 39307-2025</t>
        </is>
      </c>
      <c r="B61" s="1" t="n">
        <v>45889</v>
      </c>
      <c r="C61" s="1" t="n">
        <v>45957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Dropptaggsvamp</t>
        </is>
      </c>
      <c r="S61">
        <f>HYPERLINK("https://klasma.github.io/Logging_0760/artfynd/A 39307-2025 artfynd.xlsx", "A 39307-2025")</f>
        <v/>
      </c>
      <c r="T61">
        <f>HYPERLINK("https://klasma.github.io/Logging_0760/kartor/A 39307-2025 karta.png", "A 39307-2025")</f>
        <v/>
      </c>
      <c r="U61">
        <f>HYPERLINK("https://klasma.github.io/Logging_0760/knärot/A 39307-2025 karta knärot.png", "A 39307-2025")</f>
        <v/>
      </c>
      <c r="V61">
        <f>HYPERLINK("https://klasma.github.io/Logging_0760/klagomål/A 39307-2025 FSC-klagomål.docx", "A 39307-2025")</f>
        <v/>
      </c>
      <c r="W61">
        <f>HYPERLINK("https://klasma.github.io/Logging_0760/klagomålsmail/A 39307-2025 FSC-klagomål mail.docx", "A 39307-2025")</f>
        <v/>
      </c>
      <c r="X61">
        <f>HYPERLINK("https://klasma.github.io/Logging_0760/tillsyn/A 39307-2025 tillsynsbegäran.docx", "A 39307-2025")</f>
        <v/>
      </c>
      <c r="Y61">
        <f>HYPERLINK("https://klasma.github.io/Logging_0760/tillsynsmail/A 39307-2025 tillsynsbegäran mail.docx", "A 39307-2025")</f>
        <v/>
      </c>
    </row>
    <row r="62" ht="15" customHeight="1">
      <c r="A62" t="inlineStr">
        <is>
          <t>A 15743-2024</t>
        </is>
      </c>
      <c r="B62" s="1" t="n">
        <v>45404.55137731481</v>
      </c>
      <c r="C62" s="1" t="n">
        <v>45957</v>
      </c>
      <c r="D62" t="inlineStr">
        <is>
          <t>KRONOBERGS LÄN</t>
        </is>
      </c>
      <c r="E62" t="inlineStr">
        <is>
          <t>UPPVIDINGE</t>
        </is>
      </c>
      <c r="G62" t="n">
        <v>5.8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Grönpyrola
Mattlummer</t>
        </is>
      </c>
      <c r="S62">
        <f>HYPERLINK("https://klasma.github.io/Logging_0760/artfynd/A 15743-2024 artfynd.xlsx", "A 15743-2024")</f>
        <v/>
      </c>
      <c r="T62">
        <f>HYPERLINK("https://klasma.github.io/Logging_0760/kartor/A 15743-2024 karta.png", "A 15743-2024")</f>
        <v/>
      </c>
      <c r="V62">
        <f>HYPERLINK("https://klasma.github.io/Logging_0760/klagomål/A 15743-2024 FSC-klagomål.docx", "A 15743-2024")</f>
        <v/>
      </c>
      <c r="W62">
        <f>HYPERLINK("https://klasma.github.io/Logging_0760/klagomålsmail/A 15743-2024 FSC-klagomål mail.docx", "A 15743-2024")</f>
        <v/>
      </c>
      <c r="X62">
        <f>HYPERLINK("https://klasma.github.io/Logging_0760/tillsyn/A 15743-2024 tillsynsbegäran.docx", "A 15743-2024")</f>
        <v/>
      </c>
      <c r="Y62">
        <f>HYPERLINK("https://klasma.github.io/Logging_0760/tillsynsmail/A 15743-2024 tillsynsbegäran mail.docx", "A 15743-2024")</f>
        <v/>
      </c>
    </row>
    <row r="63" ht="15" customHeight="1">
      <c r="A63" t="inlineStr">
        <is>
          <t>A 51489-2024</t>
        </is>
      </c>
      <c r="B63" s="1" t="n">
        <v>45604.53089120371</v>
      </c>
      <c r="C63" s="1" t="n">
        <v>45957</v>
      </c>
      <c r="D63" t="inlineStr">
        <is>
          <t>KRONOBERGS LÄN</t>
        </is>
      </c>
      <c r="E63" t="inlineStr">
        <is>
          <t>UPPVIDINGE</t>
        </is>
      </c>
      <c r="G63" t="n">
        <v>1.3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Slåtterfibbla
Tibast</t>
        </is>
      </c>
      <c r="S63">
        <f>HYPERLINK("https://klasma.github.io/Logging_0760/artfynd/A 51489-2024 artfynd.xlsx", "A 51489-2024")</f>
        <v/>
      </c>
      <c r="T63">
        <f>HYPERLINK("https://klasma.github.io/Logging_0760/kartor/A 51489-2024 karta.png", "A 51489-2024")</f>
        <v/>
      </c>
      <c r="V63">
        <f>HYPERLINK("https://klasma.github.io/Logging_0760/klagomål/A 51489-2024 FSC-klagomål.docx", "A 51489-2024")</f>
        <v/>
      </c>
      <c r="W63">
        <f>HYPERLINK("https://klasma.github.io/Logging_0760/klagomålsmail/A 51489-2024 FSC-klagomål mail.docx", "A 51489-2024")</f>
        <v/>
      </c>
      <c r="X63">
        <f>HYPERLINK("https://klasma.github.io/Logging_0760/tillsyn/A 51489-2024 tillsynsbegäran.docx", "A 51489-2024")</f>
        <v/>
      </c>
      <c r="Y63">
        <f>HYPERLINK("https://klasma.github.io/Logging_0760/tillsynsmail/A 51489-2024 tillsynsbegäran mail.docx", "A 51489-2024")</f>
        <v/>
      </c>
    </row>
    <row r="64" ht="15" customHeight="1">
      <c r="A64" t="inlineStr">
        <is>
          <t>A 8819-2024</t>
        </is>
      </c>
      <c r="B64" s="1" t="n">
        <v>45356.66606481482</v>
      </c>
      <c r="C64" s="1" t="n">
        <v>45957</v>
      </c>
      <c r="D64" t="inlineStr">
        <is>
          <t>KRONOBERGS LÄN</t>
        </is>
      </c>
      <c r="E64" t="inlineStr">
        <is>
          <t>VÄXJÖ</t>
        </is>
      </c>
      <c r="G64" t="n">
        <v>4</v>
      </c>
      <c r="H64" t="n">
        <v>2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Kungsfågel
Revlummer</t>
        </is>
      </c>
      <c r="S64">
        <f>HYPERLINK("https://klasma.github.io/Logging_0780/artfynd/A 8819-2024 artfynd.xlsx", "A 8819-2024")</f>
        <v/>
      </c>
      <c r="T64">
        <f>HYPERLINK("https://klasma.github.io/Logging_0780/kartor/A 8819-2024 karta.png", "A 8819-2024")</f>
        <v/>
      </c>
      <c r="V64">
        <f>HYPERLINK("https://klasma.github.io/Logging_0780/klagomål/A 8819-2024 FSC-klagomål.docx", "A 8819-2024")</f>
        <v/>
      </c>
      <c r="W64">
        <f>HYPERLINK("https://klasma.github.io/Logging_0780/klagomålsmail/A 8819-2024 FSC-klagomål mail.docx", "A 8819-2024")</f>
        <v/>
      </c>
      <c r="X64">
        <f>HYPERLINK("https://klasma.github.io/Logging_0780/tillsyn/A 8819-2024 tillsynsbegäran.docx", "A 8819-2024")</f>
        <v/>
      </c>
      <c r="Y64">
        <f>HYPERLINK("https://klasma.github.io/Logging_0780/tillsynsmail/A 8819-2024 tillsynsbegäran mail.docx", "A 8819-2024")</f>
        <v/>
      </c>
      <c r="Z64">
        <f>HYPERLINK("https://klasma.github.io/Logging_0780/fåglar/A 8819-2024 prioriterade fågelarter.docx", "A 8819-2024")</f>
        <v/>
      </c>
    </row>
    <row r="65" ht="15" customHeight="1">
      <c r="A65" t="inlineStr">
        <is>
          <t>A 24024-2023</t>
        </is>
      </c>
      <c r="B65" s="1" t="n">
        <v>45078</v>
      </c>
      <c r="C65" s="1" t="n">
        <v>45957</v>
      </c>
      <c r="D65" t="inlineStr">
        <is>
          <t>KRONOBERGS LÄN</t>
        </is>
      </c>
      <c r="E65" t="inlineStr">
        <is>
          <t>LJUNGBY</t>
        </is>
      </c>
      <c r="G65" t="n">
        <v>3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HYPERLINK("https://klasma.github.io/Logging_0781/artfynd/A 24024-2023 artfynd.xlsx", "A 24024-2023")</f>
        <v/>
      </c>
      <c r="T65">
        <f>HYPERLINK("https://klasma.github.io/Logging_0781/kartor/A 24024-2023 karta.png", "A 24024-2023")</f>
        <v/>
      </c>
      <c r="V65">
        <f>HYPERLINK("https://klasma.github.io/Logging_0781/klagomål/A 24024-2023 FSC-klagomål.docx", "A 24024-2023")</f>
        <v/>
      </c>
      <c r="W65">
        <f>HYPERLINK("https://klasma.github.io/Logging_0781/klagomålsmail/A 24024-2023 FSC-klagomål mail.docx", "A 24024-2023")</f>
        <v/>
      </c>
      <c r="X65">
        <f>HYPERLINK("https://klasma.github.io/Logging_0781/tillsyn/A 24024-2023 tillsynsbegäran.docx", "A 24024-2023")</f>
        <v/>
      </c>
      <c r="Y65">
        <f>HYPERLINK("https://klasma.github.io/Logging_0781/tillsynsmail/A 24024-2023 tillsynsbegäran mail.docx", "A 24024-2023")</f>
        <v/>
      </c>
    </row>
    <row r="66" ht="15" customHeight="1">
      <c r="A66" t="inlineStr">
        <is>
          <t>A 7102-2025</t>
        </is>
      </c>
      <c r="B66" s="1" t="n">
        <v>45701.89549768518</v>
      </c>
      <c r="C66" s="1" t="n">
        <v>45957</v>
      </c>
      <c r="D66" t="inlineStr">
        <is>
          <t>KRONOBERGS LÄN</t>
        </is>
      </c>
      <c r="E66" t="inlineStr">
        <is>
          <t>LJUNGBY</t>
        </is>
      </c>
      <c r="G66" t="n">
        <v>6.8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Grönpyrola
Mattlummer</t>
        </is>
      </c>
      <c r="S66">
        <f>HYPERLINK("https://klasma.github.io/Logging_0781/artfynd/A 7102-2025 artfynd.xlsx", "A 7102-2025")</f>
        <v/>
      </c>
      <c r="T66">
        <f>HYPERLINK("https://klasma.github.io/Logging_0781/kartor/A 7102-2025 karta.png", "A 7102-2025")</f>
        <v/>
      </c>
      <c r="V66">
        <f>HYPERLINK("https://klasma.github.io/Logging_0781/klagomål/A 7102-2025 FSC-klagomål.docx", "A 7102-2025")</f>
        <v/>
      </c>
      <c r="W66">
        <f>HYPERLINK("https://klasma.github.io/Logging_0781/klagomålsmail/A 7102-2025 FSC-klagomål mail.docx", "A 7102-2025")</f>
        <v/>
      </c>
      <c r="X66">
        <f>HYPERLINK("https://klasma.github.io/Logging_0781/tillsyn/A 7102-2025 tillsynsbegäran.docx", "A 7102-2025")</f>
        <v/>
      </c>
      <c r="Y66">
        <f>HYPERLINK("https://klasma.github.io/Logging_0781/tillsynsmail/A 7102-2025 tillsynsbegäran mail.docx", "A 7102-2025")</f>
        <v/>
      </c>
    </row>
    <row r="67" ht="15" customHeight="1">
      <c r="A67" t="inlineStr">
        <is>
          <t>A 18959-2021</t>
        </is>
      </c>
      <c r="B67" s="1" t="n">
        <v>44308</v>
      </c>
      <c r="C67" s="1" t="n">
        <v>45957</v>
      </c>
      <c r="D67" t="inlineStr">
        <is>
          <t>KRONOBERGS LÄN</t>
        </is>
      </c>
      <c r="E67" t="inlineStr">
        <is>
          <t>LESSEBO</t>
        </is>
      </c>
      <c r="G67" t="n">
        <v>4.9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Brunpudrad nållav
Tallticka</t>
        </is>
      </c>
      <c r="S67">
        <f>HYPERLINK("https://klasma.github.io/Logging_0761/artfynd/A 18959-2021 artfynd.xlsx", "A 18959-2021")</f>
        <v/>
      </c>
      <c r="T67">
        <f>HYPERLINK("https://klasma.github.io/Logging_0761/kartor/A 18959-2021 karta.png", "A 18959-2021")</f>
        <v/>
      </c>
      <c r="V67">
        <f>HYPERLINK("https://klasma.github.io/Logging_0761/klagomål/A 18959-2021 FSC-klagomål.docx", "A 18959-2021")</f>
        <v/>
      </c>
      <c r="W67">
        <f>HYPERLINK("https://klasma.github.io/Logging_0761/klagomålsmail/A 18959-2021 FSC-klagomål mail.docx", "A 18959-2021")</f>
        <v/>
      </c>
      <c r="X67">
        <f>HYPERLINK("https://klasma.github.io/Logging_0761/tillsyn/A 18959-2021 tillsynsbegäran.docx", "A 18959-2021")</f>
        <v/>
      </c>
      <c r="Y67">
        <f>HYPERLINK("https://klasma.github.io/Logging_0761/tillsynsmail/A 18959-2021 tillsynsbegäran mail.docx", "A 18959-2021")</f>
        <v/>
      </c>
    </row>
    <row r="68" ht="15" customHeight="1">
      <c r="A68" t="inlineStr">
        <is>
          <t>A 45510-2023</t>
        </is>
      </c>
      <c r="B68" s="1" t="n">
        <v>45194</v>
      </c>
      <c r="C68" s="1" t="n">
        <v>45957</v>
      </c>
      <c r="D68" t="inlineStr">
        <is>
          <t>KRONOBERGS LÄN</t>
        </is>
      </c>
      <c r="E68" t="inlineStr">
        <is>
          <t>LJUNGBY</t>
        </is>
      </c>
      <c r="G68" t="n">
        <v>1.9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45510-2023 artfynd.xlsx", "A 45510-2023")</f>
        <v/>
      </c>
      <c r="T68">
        <f>HYPERLINK("https://klasma.github.io/Logging_0781/kartor/A 45510-2023 karta.png", "A 45510-2023")</f>
        <v/>
      </c>
      <c r="V68">
        <f>HYPERLINK("https://klasma.github.io/Logging_0781/klagomål/A 45510-2023 FSC-klagomål.docx", "A 45510-2023")</f>
        <v/>
      </c>
      <c r="W68">
        <f>HYPERLINK("https://klasma.github.io/Logging_0781/klagomålsmail/A 45510-2023 FSC-klagomål mail.docx", "A 45510-2023")</f>
        <v/>
      </c>
      <c r="X68">
        <f>HYPERLINK("https://klasma.github.io/Logging_0781/tillsyn/A 45510-2023 tillsynsbegäran.docx", "A 45510-2023")</f>
        <v/>
      </c>
      <c r="Y68">
        <f>HYPERLINK("https://klasma.github.io/Logging_0781/tillsynsmail/A 45510-2023 tillsynsbegäran mail.docx", "A 45510-2023")</f>
        <v/>
      </c>
    </row>
    <row r="69" ht="15" customHeight="1">
      <c r="A69" t="inlineStr">
        <is>
          <t>A 51058-2023</t>
        </is>
      </c>
      <c r="B69" s="1" t="n">
        <v>45211</v>
      </c>
      <c r="C69" s="1" t="n">
        <v>45957</v>
      </c>
      <c r="D69" t="inlineStr">
        <is>
          <t>KRONOBERGS LÄN</t>
        </is>
      </c>
      <c r="E69" t="inlineStr">
        <is>
          <t>LJUNGBY</t>
        </is>
      </c>
      <c r="G69" t="n">
        <v>3.5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Blomkålssvamp
Äkta lopplummer</t>
        </is>
      </c>
      <c r="S69">
        <f>HYPERLINK("https://klasma.github.io/Logging_0781/artfynd/A 51058-2023 artfynd.xlsx", "A 51058-2023")</f>
        <v/>
      </c>
      <c r="T69">
        <f>HYPERLINK("https://klasma.github.io/Logging_0781/kartor/A 51058-2023 karta.png", "A 51058-2023")</f>
        <v/>
      </c>
      <c r="V69">
        <f>HYPERLINK("https://klasma.github.io/Logging_0781/klagomål/A 51058-2023 FSC-klagomål.docx", "A 51058-2023")</f>
        <v/>
      </c>
      <c r="W69">
        <f>HYPERLINK("https://klasma.github.io/Logging_0781/klagomålsmail/A 51058-2023 FSC-klagomål mail.docx", "A 51058-2023")</f>
        <v/>
      </c>
      <c r="X69">
        <f>HYPERLINK("https://klasma.github.io/Logging_0781/tillsyn/A 51058-2023 tillsynsbegäran.docx", "A 51058-2023")</f>
        <v/>
      </c>
      <c r="Y69">
        <f>HYPERLINK("https://klasma.github.io/Logging_0781/tillsynsmail/A 51058-2023 tillsynsbegäran mail.docx", "A 51058-2023")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45957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1917-2023</t>
        </is>
      </c>
      <c r="B71" s="1" t="n">
        <v>44937</v>
      </c>
      <c r="C71" s="1" t="n">
        <v>45957</v>
      </c>
      <c r="D71" t="inlineStr">
        <is>
          <t>KRONOBERGS LÄN</t>
        </is>
      </c>
      <c r="E71" t="inlineStr">
        <is>
          <t>UPPVIDINGE</t>
        </is>
      </c>
      <c r="F71" t="inlineStr">
        <is>
          <t>Kommuner</t>
        </is>
      </c>
      <c r="G71" t="n">
        <v>9.1</v>
      </c>
      <c r="H71" t="n">
        <v>2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Skogsödla
Revlummer</t>
        </is>
      </c>
      <c r="S71">
        <f>HYPERLINK("https://klasma.github.io/Logging_0760/artfynd/A 1917-2023 artfynd.xlsx", "A 1917-2023")</f>
        <v/>
      </c>
      <c r="T71">
        <f>HYPERLINK("https://klasma.github.io/Logging_0760/kartor/A 1917-2023 karta.png", "A 1917-2023")</f>
        <v/>
      </c>
      <c r="V71">
        <f>HYPERLINK("https://klasma.github.io/Logging_0760/klagomål/A 1917-2023 FSC-klagomål.docx", "A 1917-2023")</f>
        <v/>
      </c>
      <c r="W71">
        <f>HYPERLINK("https://klasma.github.io/Logging_0760/klagomålsmail/A 1917-2023 FSC-klagomål mail.docx", "A 1917-2023")</f>
        <v/>
      </c>
      <c r="X71">
        <f>HYPERLINK("https://klasma.github.io/Logging_0760/tillsyn/A 1917-2023 tillsynsbegäran.docx", "A 1917-2023")</f>
        <v/>
      </c>
      <c r="Y71">
        <f>HYPERLINK("https://klasma.github.io/Logging_0760/tillsynsmail/A 1917-2023 tillsynsbegäran mail.docx", "A 1917-2023")</f>
        <v/>
      </c>
    </row>
    <row r="72" ht="15" customHeight="1">
      <c r="A72" t="inlineStr">
        <is>
          <t>A 12841-2025</t>
        </is>
      </c>
      <c r="B72" s="1" t="n">
        <v>45733.64422453703</v>
      </c>
      <c r="C72" s="1" t="n">
        <v>45957</v>
      </c>
      <c r="D72" t="inlineStr">
        <is>
          <t>KRONOBERGS LÄN</t>
        </is>
      </c>
      <c r="E72" t="inlineStr">
        <is>
          <t>LJUNGBY</t>
        </is>
      </c>
      <c r="G72" t="n">
        <v>5.2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Brunlångöra
Nordfladdermus</t>
        </is>
      </c>
      <c r="S72">
        <f>HYPERLINK("https://klasma.github.io/Logging_0781/artfynd/A 12841-2025 artfynd.xlsx", "A 12841-2025")</f>
        <v/>
      </c>
      <c r="T72">
        <f>HYPERLINK("https://klasma.github.io/Logging_0781/kartor/A 12841-2025 karta.png", "A 12841-2025")</f>
        <v/>
      </c>
      <c r="V72">
        <f>HYPERLINK("https://klasma.github.io/Logging_0781/klagomål/A 12841-2025 FSC-klagomål.docx", "A 12841-2025")</f>
        <v/>
      </c>
      <c r="W72">
        <f>HYPERLINK("https://klasma.github.io/Logging_0781/klagomålsmail/A 12841-2025 FSC-klagomål mail.docx", "A 12841-2025")</f>
        <v/>
      </c>
      <c r="X72">
        <f>HYPERLINK("https://klasma.github.io/Logging_0781/tillsyn/A 12841-2025 tillsynsbegäran.docx", "A 12841-2025")</f>
        <v/>
      </c>
      <c r="Y72">
        <f>HYPERLINK("https://klasma.github.io/Logging_0781/tillsynsmail/A 12841-2025 tillsynsbegäran mail.docx", "A 12841-2025")</f>
        <v/>
      </c>
    </row>
    <row r="73" ht="15" customHeight="1">
      <c r="A73" t="inlineStr">
        <is>
          <t>A 39507-2022</t>
        </is>
      </c>
      <c r="B73" s="1" t="n">
        <v>44818</v>
      </c>
      <c r="C73" s="1" t="n">
        <v>45957</v>
      </c>
      <c r="D73" t="inlineStr">
        <is>
          <t>KRONOBERGS LÄN</t>
        </is>
      </c>
      <c r="E73" t="inlineStr">
        <is>
          <t>MARKARYD</t>
        </is>
      </c>
      <c r="F73" t="inlineStr">
        <is>
          <t>Kommuner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Havstulpanlav
Klippfrullania</t>
        </is>
      </c>
      <c r="S73">
        <f>HYPERLINK("https://klasma.github.io/Logging_0767/artfynd/A 39507-2022 artfynd.xlsx", "A 39507-2022")</f>
        <v/>
      </c>
      <c r="T73">
        <f>HYPERLINK("https://klasma.github.io/Logging_0767/kartor/A 39507-2022 karta.png", "A 39507-2022")</f>
        <v/>
      </c>
      <c r="V73">
        <f>HYPERLINK("https://klasma.github.io/Logging_0767/klagomål/A 39507-2022 FSC-klagomål.docx", "A 39507-2022")</f>
        <v/>
      </c>
      <c r="W73">
        <f>HYPERLINK("https://klasma.github.io/Logging_0767/klagomålsmail/A 39507-2022 FSC-klagomål mail.docx", "A 39507-2022")</f>
        <v/>
      </c>
      <c r="X73">
        <f>HYPERLINK("https://klasma.github.io/Logging_0767/tillsyn/A 39507-2022 tillsynsbegäran.docx", "A 39507-2022")</f>
        <v/>
      </c>
      <c r="Y73">
        <f>HYPERLINK("https://klasma.github.io/Logging_0767/tillsynsmail/A 39507-2022 tillsynsbegäran mail.docx", "A 39507-2022")</f>
        <v/>
      </c>
    </row>
    <row r="74" ht="15" customHeight="1">
      <c r="A74" t="inlineStr">
        <is>
          <t>A 51447-2024</t>
        </is>
      </c>
      <c r="B74" s="1" t="n">
        <v>45604.48800925926</v>
      </c>
      <c r="C74" s="1" t="n">
        <v>45957</v>
      </c>
      <c r="D74" t="inlineStr">
        <is>
          <t>KRONOBERGS LÄN</t>
        </is>
      </c>
      <c r="E74" t="inlineStr">
        <is>
          <t>UPPVIDINGE</t>
        </is>
      </c>
      <c r="G74" t="n">
        <v>1.1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Trådticka
Tjäder</t>
        </is>
      </c>
      <c r="S74">
        <f>HYPERLINK("https://klasma.github.io/Logging_0760/artfynd/A 51447-2024 artfynd.xlsx", "A 51447-2024")</f>
        <v/>
      </c>
      <c r="T74">
        <f>HYPERLINK("https://klasma.github.io/Logging_0760/kartor/A 51447-2024 karta.png", "A 51447-2024")</f>
        <v/>
      </c>
      <c r="V74">
        <f>HYPERLINK("https://klasma.github.io/Logging_0760/klagomål/A 51447-2024 FSC-klagomål.docx", "A 51447-2024")</f>
        <v/>
      </c>
      <c r="W74">
        <f>HYPERLINK("https://klasma.github.io/Logging_0760/klagomålsmail/A 51447-2024 FSC-klagomål mail.docx", "A 51447-2024")</f>
        <v/>
      </c>
      <c r="X74">
        <f>HYPERLINK("https://klasma.github.io/Logging_0760/tillsyn/A 51447-2024 tillsynsbegäran.docx", "A 51447-2024")</f>
        <v/>
      </c>
      <c r="Y74">
        <f>HYPERLINK("https://klasma.github.io/Logging_0760/tillsynsmail/A 51447-2024 tillsynsbegäran mail.docx", "A 51447-2024")</f>
        <v/>
      </c>
      <c r="Z74">
        <f>HYPERLINK("https://klasma.github.io/Logging_0760/fåglar/A 51447-2024 prioriterade fågelarter.docx", "A 51447-2024")</f>
        <v/>
      </c>
    </row>
    <row r="75" ht="15" customHeight="1">
      <c r="A75" t="inlineStr">
        <is>
          <t>A 42930-2022</t>
        </is>
      </c>
      <c r="B75" s="1" t="n">
        <v>44833</v>
      </c>
      <c r="C75" s="1" t="n">
        <v>45957</v>
      </c>
      <c r="D75" t="inlineStr">
        <is>
          <t>KRONOBERGS LÄN</t>
        </is>
      </c>
      <c r="E75" t="inlineStr">
        <is>
          <t>UPPVIDINGE</t>
        </is>
      </c>
      <c r="F75" t="inlineStr">
        <is>
          <t>Sveaskog</t>
        </is>
      </c>
      <c r="G75" t="n">
        <v>1.1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Solvända
Fläcknycklar</t>
        </is>
      </c>
      <c r="S75">
        <f>HYPERLINK("https://klasma.github.io/Logging_0760/artfynd/A 42930-2022 artfynd.xlsx", "A 42930-2022")</f>
        <v/>
      </c>
      <c r="T75">
        <f>HYPERLINK("https://klasma.github.io/Logging_0760/kartor/A 42930-2022 karta.png", "A 42930-2022")</f>
        <v/>
      </c>
      <c r="V75">
        <f>HYPERLINK("https://klasma.github.io/Logging_0760/klagomål/A 42930-2022 FSC-klagomål.docx", "A 42930-2022")</f>
        <v/>
      </c>
      <c r="W75">
        <f>HYPERLINK("https://klasma.github.io/Logging_0760/klagomålsmail/A 42930-2022 FSC-klagomål mail.docx", "A 42930-2022")</f>
        <v/>
      </c>
      <c r="X75">
        <f>HYPERLINK("https://klasma.github.io/Logging_0760/tillsyn/A 42930-2022 tillsynsbegäran.docx", "A 42930-2022")</f>
        <v/>
      </c>
      <c r="Y75">
        <f>HYPERLINK("https://klasma.github.io/Logging_0760/tillsynsmail/A 42930-2022 tillsynsbegäran mail.docx", "A 42930-2022")</f>
        <v/>
      </c>
    </row>
    <row r="76" ht="15" customHeight="1">
      <c r="A76" t="inlineStr">
        <is>
          <t>A 69689-2021</t>
        </is>
      </c>
      <c r="B76" s="1" t="n">
        <v>44532</v>
      </c>
      <c r="C76" s="1" t="n">
        <v>45957</v>
      </c>
      <c r="D76" t="inlineStr">
        <is>
          <t>KRONOBERGS LÄN</t>
        </is>
      </c>
      <c r="E76" t="inlineStr">
        <is>
          <t>VÄXJÖ</t>
        </is>
      </c>
      <c r="F76" t="inlineStr">
        <is>
          <t>Övriga statliga verk och myndigheter</t>
        </is>
      </c>
      <c r="G76" t="n">
        <v>2.7</v>
      </c>
      <c r="H76" t="n">
        <v>2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Talltita
Hasselmus</t>
        </is>
      </c>
      <c r="S76">
        <f>HYPERLINK("https://klasma.github.io/Logging_0780/artfynd/A 69689-2021 artfynd.xlsx", "A 69689-2021")</f>
        <v/>
      </c>
      <c r="T76">
        <f>HYPERLINK("https://klasma.github.io/Logging_0780/kartor/A 69689-2021 karta.png", "A 69689-2021")</f>
        <v/>
      </c>
      <c r="V76">
        <f>HYPERLINK("https://klasma.github.io/Logging_0780/klagomål/A 69689-2021 FSC-klagomål.docx", "A 69689-2021")</f>
        <v/>
      </c>
      <c r="W76">
        <f>HYPERLINK("https://klasma.github.io/Logging_0780/klagomålsmail/A 69689-2021 FSC-klagomål mail.docx", "A 69689-2021")</f>
        <v/>
      </c>
      <c r="X76">
        <f>HYPERLINK("https://klasma.github.io/Logging_0780/tillsyn/A 69689-2021 tillsynsbegäran.docx", "A 69689-2021")</f>
        <v/>
      </c>
      <c r="Y76">
        <f>HYPERLINK("https://klasma.github.io/Logging_0780/tillsynsmail/A 69689-2021 tillsynsbegäran mail.docx", "A 69689-2021")</f>
        <v/>
      </c>
      <c r="Z76">
        <f>HYPERLINK("https://klasma.github.io/Logging_0780/fåglar/A 69689-2021 prioriterade fågelarter.docx", "A 69689-2021")</f>
        <v/>
      </c>
    </row>
    <row r="77" ht="15" customHeight="1">
      <c r="A77" t="inlineStr">
        <is>
          <t>A 22545-2025</t>
        </is>
      </c>
      <c r="B77" s="1" t="n">
        <v>45788.45532407407</v>
      </c>
      <c r="C77" s="1" t="n">
        <v>45957</v>
      </c>
      <c r="D77" t="inlineStr">
        <is>
          <t>KRONOBERGS LÄN</t>
        </is>
      </c>
      <c r="E77" t="inlineStr">
        <is>
          <t>VÄXJÖ</t>
        </is>
      </c>
      <c r="G77" t="n">
        <v>1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Thomsons trägnagare
Vågbandad barkbock</t>
        </is>
      </c>
      <c r="S77">
        <f>HYPERLINK("https://klasma.github.io/Logging_0780/artfynd/A 22545-2025 artfynd.xlsx", "A 22545-2025")</f>
        <v/>
      </c>
      <c r="T77">
        <f>HYPERLINK("https://klasma.github.io/Logging_0780/kartor/A 22545-2025 karta.png", "A 22545-2025")</f>
        <v/>
      </c>
      <c r="V77">
        <f>HYPERLINK("https://klasma.github.io/Logging_0780/klagomål/A 22545-2025 FSC-klagomål.docx", "A 22545-2025")</f>
        <v/>
      </c>
      <c r="W77">
        <f>HYPERLINK("https://klasma.github.io/Logging_0780/klagomålsmail/A 22545-2025 FSC-klagomål mail.docx", "A 22545-2025")</f>
        <v/>
      </c>
      <c r="X77">
        <f>HYPERLINK("https://klasma.github.io/Logging_0780/tillsyn/A 22545-2025 tillsynsbegäran.docx", "A 22545-2025")</f>
        <v/>
      </c>
      <c r="Y77">
        <f>HYPERLINK("https://klasma.github.io/Logging_0780/tillsynsmail/A 22545-2025 tillsynsbegäran mail.docx", "A 22545-2025")</f>
        <v/>
      </c>
    </row>
    <row r="78" ht="15" customHeight="1">
      <c r="A78" t="inlineStr">
        <is>
          <t>A 55971-2022</t>
        </is>
      </c>
      <c r="B78" s="1" t="n">
        <v>44889.44659722222</v>
      </c>
      <c r="C78" s="1" t="n">
        <v>45957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2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Gulsparv
Trädlärka</t>
        </is>
      </c>
      <c r="S78">
        <f>HYPERLINK("https://klasma.github.io/Logging_0765/artfynd/A 55971-2022 artfynd.xlsx", "A 55971-2022")</f>
        <v/>
      </c>
      <c r="T78">
        <f>HYPERLINK("https://klasma.github.io/Logging_0765/kartor/A 55971-2022 karta.png", "A 55971-2022")</f>
        <v/>
      </c>
      <c r="V78">
        <f>HYPERLINK("https://klasma.github.io/Logging_0765/klagomål/A 55971-2022 FSC-klagomål.docx", "A 55971-2022")</f>
        <v/>
      </c>
      <c r="W78">
        <f>HYPERLINK("https://klasma.github.io/Logging_0765/klagomålsmail/A 55971-2022 FSC-klagomål mail.docx", "A 55971-2022")</f>
        <v/>
      </c>
      <c r="X78">
        <f>HYPERLINK("https://klasma.github.io/Logging_0765/tillsyn/A 55971-2022 tillsynsbegäran.docx", "A 55971-2022")</f>
        <v/>
      </c>
      <c r="Y78">
        <f>HYPERLINK("https://klasma.github.io/Logging_0765/tillsynsmail/A 55971-2022 tillsynsbegäran mail.docx", "A 55971-2022")</f>
        <v/>
      </c>
      <c r="Z78">
        <f>HYPERLINK("https://klasma.github.io/Logging_0765/fåglar/A 55971-2022 prioriterade fågelarter.docx", "A 55971-2022")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45957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HYPERLINK("https://klasma.github.io/Logging_0760/artfynd/A 28468-2023 artfynd.xlsx", "A 28468-2023")</f>
        <v/>
      </c>
      <c r="T79">
        <f>HYPERLINK("https://klasma.github.io/Logging_0760/kartor/A 28468-2023 karta.png", "A 28468-2023")</f>
        <v/>
      </c>
      <c r="V79">
        <f>HYPERLINK("https://klasma.github.io/Logging_0760/klagomål/A 28468-2023 FSC-klagomål.docx", "A 28468-2023")</f>
        <v/>
      </c>
      <c r="W79">
        <f>HYPERLINK("https://klasma.github.io/Logging_0760/klagomålsmail/A 28468-2023 FSC-klagomål mail.docx", "A 28468-2023")</f>
        <v/>
      </c>
      <c r="X79">
        <f>HYPERLINK("https://klasma.github.io/Logging_0760/tillsyn/A 28468-2023 tillsynsbegäran.docx", "A 28468-2023")</f>
        <v/>
      </c>
      <c r="Y79">
        <f>HYPERLINK("https://klasma.github.io/Logging_0760/tillsynsmail/A 28468-2023 tillsynsbegäran mail.docx", "A 28468-2023")</f>
        <v/>
      </c>
    </row>
    <row r="80" ht="15" customHeight="1">
      <c r="A80" t="inlineStr">
        <is>
          <t>A 26684-2023</t>
        </is>
      </c>
      <c r="B80" s="1" t="n">
        <v>45093.35027777778</v>
      </c>
      <c r="C80" s="1" t="n">
        <v>45957</v>
      </c>
      <c r="D80" t="inlineStr">
        <is>
          <t>KRONOBERGS LÄN</t>
        </is>
      </c>
      <c r="E80" t="inlineStr">
        <is>
          <t>VÄXJÖ</t>
        </is>
      </c>
      <c r="G80" t="n">
        <v>7</v>
      </c>
      <c r="H80" t="n">
        <v>1</v>
      </c>
      <c r="I80" t="n">
        <v>1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Dropptaggsvamp</t>
        </is>
      </c>
      <c r="S80">
        <f>HYPERLINK("https://klasma.github.io/Logging_0780/artfynd/A 26684-2023 artfynd.xlsx", "A 26684-2023")</f>
        <v/>
      </c>
      <c r="T80">
        <f>HYPERLINK("https://klasma.github.io/Logging_0780/kartor/A 26684-2023 karta.png", "A 26684-2023")</f>
        <v/>
      </c>
      <c r="U80">
        <f>HYPERLINK("https://klasma.github.io/Logging_0780/knärot/A 26684-2023 karta knärot.png", "A 26684-2023")</f>
        <v/>
      </c>
      <c r="V80">
        <f>HYPERLINK("https://klasma.github.io/Logging_0780/klagomål/A 26684-2023 FSC-klagomål.docx", "A 26684-2023")</f>
        <v/>
      </c>
      <c r="W80">
        <f>HYPERLINK("https://klasma.github.io/Logging_0780/klagomålsmail/A 26684-2023 FSC-klagomål mail.docx", "A 26684-2023")</f>
        <v/>
      </c>
      <c r="X80">
        <f>HYPERLINK("https://klasma.github.io/Logging_0780/tillsyn/A 26684-2023 tillsynsbegäran.docx", "A 26684-2023")</f>
        <v/>
      </c>
      <c r="Y80">
        <f>HYPERLINK("https://klasma.github.io/Logging_0780/tillsynsmail/A 26684-2023 tillsynsbegäran mail.docx", "A 26684-2023")</f>
        <v/>
      </c>
    </row>
    <row r="81" ht="15" customHeight="1">
      <c r="A81" t="inlineStr">
        <is>
          <t>A 16871-2021</t>
        </is>
      </c>
      <c r="B81" s="1" t="n">
        <v>44295</v>
      </c>
      <c r="C81" s="1" t="n">
        <v>45957</v>
      </c>
      <c r="D81" t="inlineStr">
        <is>
          <t>KRONOBERGS LÄN</t>
        </is>
      </c>
      <c r="E81" t="inlineStr">
        <is>
          <t>UPPVIDINGE</t>
        </is>
      </c>
      <c r="G81" t="n">
        <v>0.7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HYPERLINK("https://klasma.github.io/Logging_0760/artfynd/A 16871-2021 artfynd.xlsx", "A 16871-2021")</f>
        <v/>
      </c>
      <c r="T81">
        <f>HYPERLINK("https://klasma.github.io/Logging_0760/kartor/A 16871-2021 karta.png", "A 16871-2021")</f>
        <v/>
      </c>
      <c r="V81">
        <f>HYPERLINK("https://klasma.github.io/Logging_0760/klagomål/A 16871-2021 FSC-klagomål.docx", "A 16871-2021")</f>
        <v/>
      </c>
      <c r="W81">
        <f>HYPERLINK("https://klasma.github.io/Logging_0760/klagomålsmail/A 16871-2021 FSC-klagomål mail.docx", "A 16871-2021")</f>
        <v/>
      </c>
      <c r="X81">
        <f>HYPERLINK("https://klasma.github.io/Logging_0760/tillsyn/A 16871-2021 tillsynsbegäran.docx", "A 16871-2021")</f>
        <v/>
      </c>
      <c r="Y81">
        <f>HYPERLINK("https://klasma.github.io/Logging_0760/tillsynsmail/A 16871-2021 tillsynsbegäran mail.docx", "A 16871-2021")</f>
        <v/>
      </c>
    </row>
    <row r="82" ht="15" customHeight="1">
      <c r="A82" t="inlineStr">
        <is>
          <t>A 32873-2021</t>
        </is>
      </c>
      <c r="B82" s="1" t="n">
        <v>44375</v>
      </c>
      <c r="C82" s="1" t="n">
        <v>45957</v>
      </c>
      <c r="D82" t="inlineStr">
        <is>
          <t>KRONOBERGS LÄN</t>
        </is>
      </c>
      <c r="E82" t="inlineStr">
        <is>
          <t>UPPVIDINGE</t>
        </is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Fjällig taggsvamp s.str.</t>
        </is>
      </c>
      <c r="S82">
        <f>HYPERLINK("https://klasma.github.io/Logging_0760/artfynd/A 32873-2021 artfynd.xlsx", "A 32873-2021")</f>
        <v/>
      </c>
      <c r="T82">
        <f>HYPERLINK("https://klasma.github.io/Logging_0760/kartor/A 32873-2021 karta.png", "A 32873-2021")</f>
        <v/>
      </c>
      <c r="V82">
        <f>HYPERLINK("https://klasma.github.io/Logging_0760/klagomål/A 32873-2021 FSC-klagomål.docx", "A 32873-2021")</f>
        <v/>
      </c>
      <c r="W82">
        <f>HYPERLINK("https://klasma.github.io/Logging_0760/klagomålsmail/A 32873-2021 FSC-klagomål mail.docx", "A 32873-2021")</f>
        <v/>
      </c>
      <c r="X82">
        <f>HYPERLINK("https://klasma.github.io/Logging_0760/tillsyn/A 32873-2021 tillsynsbegäran.docx", "A 32873-2021")</f>
        <v/>
      </c>
      <c r="Y82">
        <f>HYPERLINK("https://klasma.github.io/Logging_0760/tillsynsmail/A 32873-2021 tillsynsbegäran mail.docx", "A 32873-2021")</f>
        <v/>
      </c>
    </row>
    <row r="83" ht="15" customHeight="1">
      <c r="A83" t="inlineStr">
        <is>
          <t>A 59685-2020</t>
        </is>
      </c>
      <c r="B83" s="1" t="n">
        <v>44151</v>
      </c>
      <c r="C83" s="1" t="n">
        <v>45957</v>
      </c>
      <c r="D83" t="inlineStr">
        <is>
          <t>KRONOBERGS LÄN</t>
        </is>
      </c>
      <c r="E83" t="inlineStr">
        <is>
          <t>LJUNGBY</t>
        </is>
      </c>
      <c r="G83" t="n">
        <v>1.2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Borsttåg</t>
        </is>
      </c>
      <c r="S83">
        <f>HYPERLINK("https://klasma.github.io/Logging_0781/artfynd/A 59685-2020 artfynd.xlsx", "A 59685-2020")</f>
        <v/>
      </c>
      <c r="T83">
        <f>HYPERLINK("https://klasma.github.io/Logging_0781/kartor/A 59685-2020 karta.png", "A 59685-2020")</f>
        <v/>
      </c>
      <c r="V83">
        <f>HYPERLINK("https://klasma.github.io/Logging_0781/klagomål/A 59685-2020 FSC-klagomål.docx", "A 59685-2020")</f>
        <v/>
      </c>
      <c r="W83">
        <f>HYPERLINK("https://klasma.github.io/Logging_0781/klagomålsmail/A 59685-2020 FSC-klagomål mail.docx", "A 59685-2020")</f>
        <v/>
      </c>
      <c r="X83">
        <f>HYPERLINK("https://klasma.github.io/Logging_0781/tillsyn/A 59685-2020 tillsynsbegäran.docx", "A 59685-2020")</f>
        <v/>
      </c>
      <c r="Y83">
        <f>HYPERLINK("https://klasma.github.io/Logging_0781/tillsynsmail/A 59685-2020 tillsynsbegäran mail.docx", "A 59685-2020")</f>
        <v/>
      </c>
    </row>
    <row r="84" ht="15" customHeight="1">
      <c r="A84" t="inlineStr">
        <is>
          <t>A 13014-2021</t>
        </is>
      </c>
      <c r="B84" s="1" t="n">
        <v>44271.71099537037</v>
      </c>
      <c r="C84" s="1" t="n">
        <v>45957</v>
      </c>
      <c r="D84" t="inlineStr">
        <is>
          <t>KRONOBERGS LÄN</t>
        </is>
      </c>
      <c r="E84" t="inlineStr">
        <is>
          <t>LJUNGBY</t>
        </is>
      </c>
      <c r="G84" t="n">
        <v>0.7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Svinrot</t>
        </is>
      </c>
      <c r="S84">
        <f>HYPERLINK("https://klasma.github.io/Logging_0781/artfynd/A 13014-2021 artfynd.xlsx", "A 13014-2021")</f>
        <v/>
      </c>
      <c r="T84">
        <f>HYPERLINK("https://klasma.github.io/Logging_0781/kartor/A 13014-2021 karta.png", "A 13014-2021")</f>
        <v/>
      </c>
      <c r="V84">
        <f>HYPERLINK("https://klasma.github.io/Logging_0781/klagomål/A 13014-2021 FSC-klagomål.docx", "A 13014-2021")</f>
        <v/>
      </c>
      <c r="W84">
        <f>HYPERLINK("https://klasma.github.io/Logging_0781/klagomålsmail/A 13014-2021 FSC-klagomål mail.docx", "A 13014-2021")</f>
        <v/>
      </c>
      <c r="X84">
        <f>HYPERLINK("https://klasma.github.io/Logging_0781/tillsyn/A 13014-2021 tillsynsbegäran.docx", "A 13014-2021")</f>
        <v/>
      </c>
      <c r="Y84">
        <f>HYPERLINK("https://klasma.github.io/Logging_0781/tillsynsmail/A 13014-2021 tillsynsbegäran mail.docx", "A 13014-2021")</f>
        <v/>
      </c>
    </row>
    <row r="85" ht="15" customHeight="1">
      <c r="A85" t="inlineStr">
        <is>
          <t>A 24090-2021</t>
        </is>
      </c>
      <c r="B85" s="1" t="n">
        <v>44336</v>
      </c>
      <c r="C85" s="1" t="n">
        <v>45957</v>
      </c>
      <c r="D85" t="inlineStr">
        <is>
          <t>KRONOBERGS LÄN</t>
        </is>
      </c>
      <c r="E85" t="inlineStr">
        <is>
          <t>ALVESTA</t>
        </is>
      </c>
      <c r="G85" t="n">
        <v>2.4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Slåttergubbe</t>
        </is>
      </c>
      <c r="S85">
        <f>HYPERLINK("https://klasma.github.io/Logging_0764/artfynd/A 24090-2021 artfynd.xlsx", "A 24090-2021")</f>
        <v/>
      </c>
      <c r="T85">
        <f>HYPERLINK("https://klasma.github.io/Logging_0764/kartor/A 24090-2021 karta.png", "A 24090-2021")</f>
        <v/>
      </c>
      <c r="V85">
        <f>HYPERLINK("https://klasma.github.io/Logging_0764/klagomål/A 24090-2021 FSC-klagomål.docx", "A 24090-2021")</f>
        <v/>
      </c>
      <c r="W85">
        <f>HYPERLINK("https://klasma.github.io/Logging_0764/klagomålsmail/A 24090-2021 FSC-klagomål mail.docx", "A 24090-2021")</f>
        <v/>
      </c>
      <c r="X85">
        <f>HYPERLINK("https://klasma.github.io/Logging_0764/tillsyn/A 24090-2021 tillsynsbegäran.docx", "A 24090-2021")</f>
        <v/>
      </c>
      <c r="Y85">
        <f>HYPERLINK("https://klasma.github.io/Logging_0764/tillsynsmail/A 24090-2021 tillsynsbegäran mail.docx", "A 24090-2021")</f>
        <v/>
      </c>
    </row>
    <row r="86" ht="15" customHeight="1">
      <c r="A86" t="inlineStr">
        <is>
          <t>A 47909-2021</t>
        </is>
      </c>
      <c r="B86" s="1" t="n">
        <v>44448</v>
      </c>
      <c r="C86" s="1" t="n">
        <v>45957</v>
      </c>
      <c r="D86" t="inlineStr">
        <is>
          <t>KRONOBERGS LÄN</t>
        </is>
      </c>
      <c r="E86" t="inlineStr">
        <is>
          <t>LJUNGBY</t>
        </is>
      </c>
      <c r="G86" t="n">
        <v>2.9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Klippfrullania</t>
        </is>
      </c>
      <c r="S86">
        <f>HYPERLINK("https://klasma.github.io/Logging_0781/artfynd/A 47909-2021 artfynd.xlsx", "A 47909-2021")</f>
        <v/>
      </c>
      <c r="T86">
        <f>HYPERLINK("https://klasma.github.io/Logging_0781/kartor/A 47909-2021 karta.png", "A 47909-2021")</f>
        <v/>
      </c>
      <c r="V86">
        <f>HYPERLINK("https://klasma.github.io/Logging_0781/klagomål/A 47909-2021 FSC-klagomål.docx", "A 47909-2021")</f>
        <v/>
      </c>
      <c r="W86">
        <f>HYPERLINK("https://klasma.github.io/Logging_0781/klagomålsmail/A 47909-2021 FSC-klagomål mail.docx", "A 47909-2021")</f>
        <v/>
      </c>
      <c r="X86">
        <f>HYPERLINK("https://klasma.github.io/Logging_0781/tillsyn/A 47909-2021 tillsynsbegäran.docx", "A 47909-2021")</f>
        <v/>
      </c>
      <c r="Y86">
        <f>HYPERLINK("https://klasma.github.io/Logging_0781/tillsynsmail/A 47909-2021 tillsynsbegäran mail.docx", "A 47909-2021")</f>
        <v/>
      </c>
    </row>
    <row r="87" ht="15" customHeight="1">
      <c r="A87" t="inlineStr">
        <is>
          <t>A 69178-2020</t>
        </is>
      </c>
      <c r="B87" s="1" t="n">
        <v>44189</v>
      </c>
      <c r="C87" s="1" t="n">
        <v>45957</v>
      </c>
      <c r="D87" t="inlineStr">
        <is>
          <t>KRONOBERGS LÄN</t>
        </is>
      </c>
      <c r="E87" t="inlineStr">
        <is>
          <t>VÄXJÖ</t>
        </is>
      </c>
      <c r="G87" t="n">
        <v>1.1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Sävsparv</t>
        </is>
      </c>
      <c r="S87">
        <f>HYPERLINK("https://klasma.github.io/Logging_0780/artfynd/A 69178-2020 artfynd.xlsx", "A 69178-2020")</f>
        <v/>
      </c>
      <c r="T87">
        <f>HYPERLINK("https://klasma.github.io/Logging_0780/kartor/A 69178-2020 karta.png", "A 69178-2020")</f>
        <v/>
      </c>
      <c r="V87">
        <f>HYPERLINK("https://klasma.github.io/Logging_0780/klagomål/A 69178-2020 FSC-klagomål.docx", "A 69178-2020")</f>
        <v/>
      </c>
      <c r="W87">
        <f>HYPERLINK("https://klasma.github.io/Logging_0780/klagomålsmail/A 69178-2020 FSC-klagomål mail.docx", "A 69178-2020")</f>
        <v/>
      </c>
      <c r="X87">
        <f>HYPERLINK("https://klasma.github.io/Logging_0780/tillsyn/A 69178-2020 tillsynsbegäran.docx", "A 69178-2020")</f>
        <v/>
      </c>
      <c r="Y87">
        <f>HYPERLINK("https://klasma.github.io/Logging_0780/tillsynsmail/A 69178-2020 tillsynsbegäran mail.docx", "A 69178-2020")</f>
        <v/>
      </c>
      <c r="Z87">
        <f>HYPERLINK("https://klasma.github.io/Logging_0780/fåglar/A 69178-2020 prioriterade fågelarter.docx", "A 69178-2020")</f>
        <v/>
      </c>
    </row>
    <row r="88" ht="15" customHeight="1">
      <c r="A88" t="inlineStr">
        <is>
          <t>A 17570-2022</t>
        </is>
      </c>
      <c r="B88" s="1" t="n">
        <v>44679</v>
      </c>
      <c r="C88" s="1" t="n">
        <v>45957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Borsttåg</t>
        </is>
      </c>
      <c r="S88">
        <f>HYPERLINK("https://klasma.github.io/Logging_0781/artfynd/A 17570-2022 artfynd.xlsx", "A 17570-2022")</f>
        <v/>
      </c>
      <c r="T88">
        <f>HYPERLINK("https://klasma.github.io/Logging_0781/kartor/A 17570-2022 karta.png", "A 17570-2022")</f>
        <v/>
      </c>
      <c r="V88">
        <f>HYPERLINK("https://klasma.github.io/Logging_0781/klagomål/A 17570-2022 FSC-klagomål.docx", "A 17570-2022")</f>
        <v/>
      </c>
      <c r="W88">
        <f>HYPERLINK("https://klasma.github.io/Logging_0781/klagomålsmail/A 17570-2022 FSC-klagomål mail.docx", "A 17570-2022")</f>
        <v/>
      </c>
      <c r="X88">
        <f>HYPERLINK("https://klasma.github.io/Logging_0781/tillsyn/A 17570-2022 tillsynsbegäran.docx", "A 17570-2022")</f>
        <v/>
      </c>
      <c r="Y88">
        <f>HYPERLINK("https://klasma.github.io/Logging_0781/tillsynsmail/A 17570-2022 tillsynsbegäran mail.docx", "A 17570-2022")</f>
        <v/>
      </c>
    </row>
    <row r="89" ht="15" customHeight="1">
      <c r="A89" t="inlineStr">
        <is>
          <t>A 41124-2022</t>
        </is>
      </c>
      <c r="B89" s="1" t="n">
        <v>44825.70888888889</v>
      </c>
      <c r="C89" s="1" t="n">
        <v>45957</v>
      </c>
      <c r="D89" t="inlineStr">
        <is>
          <t>KRONOBERGS LÄN</t>
        </is>
      </c>
      <c r="E89" t="inlineStr">
        <is>
          <t>LJUNGBY</t>
        </is>
      </c>
      <c r="G89" t="n">
        <v>1.3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Göktyta</t>
        </is>
      </c>
      <c r="S89">
        <f>HYPERLINK("https://klasma.github.io/Logging_0781/artfynd/A 41124-2022 artfynd.xlsx", "A 41124-2022")</f>
        <v/>
      </c>
      <c r="T89">
        <f>HYPERLINK("https://klasma.github.io/Logging_0781/kartor/A 41124-2022 karta.png", "A 41124-2022")</f>
        <v/>
      </c>
      <c r="V89">
        <f>HYPERLINK("https://klasma.github.io/Logging_0781/klagomål/A 41124-2022 FSC-klagomål.docx", "A 41124-2022")</f>
        <v/>
      </c>
      <c r="W89">
        <f>HYPERLINK("https://klasma.github.io/Logging_0781/klagomålsmail/A 41124-2022 FSC-klagomål mail.docx", "A 41124-2022")</f>
        <v/>
      </c>
      <c r="X89">
        <f>HYPERLINK("https://klasma.github.io/Logging_0781/tillsyn/A 41124-2022 tillsynsbegäran.docx", "A 41124-2022")</f>
        <v/>
      </c>
      <c r="Y89">
        <f>HYPERLINK("https://klasma.github.io/Logging_0781/tillsynsmail/A 41124-2022 tillsynsbegäran mail.docx", "A 41124-2022")</f>
        <v/>
      </c>
      <c r="Z89">
        <f>HYPERLINK("https://klasma.github.io/Logging_0781/fåglar/A 41124-2022 prioriterade fågelarter.docx", "A 41124-2022")</f>
        <v/>
      </c>
    </row>
    <row r="90" ht="15" customHeight="1">
      <c r="A90" t="inlineStr">
        <is>
          <t>A 67665-2021</t>
        </is>
      </c>
      <c r="B90" s="1" t="n">
        <v>44524</v>
      </c>
      <c r="C90" s="1" t="n">
        <v>45957</v>
      </c>
      <c r="D90" t="inlineStr">
        <is>
          <t>KRONOBERGS LÄN</t>
        </is>
      </c>
      <c r="E90" t="inlineStr">
        <is>
          <t>LJUNGBY</t>
        </is>
      </c>
      <c r="G90" t="n">
        <v>7.8</v>
      </c>
      <c r="H90" t="n">
        <v>0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Sjötåtel</t>
        </is>
      </c>
      <c r="S90">
        <f>HYPERLINK("https://klasma.github.io/Logging_0781/artfynd/A 67665-2021 artfynd.xlsx", "A 67665-2021")</f>
        <v/>
      </c>
      <c r="T90">
        <f>HYPERLINK("https://klasma.github.io/Logging_0781/kartor/A 67665-2021 karta.png", "A 67665-2021")</f>
        <v/>
      </c>
      <c r="V90">
        <f>HYPERLINK("https://klasma.github.io/Logging_0781/klagomål/A 67665-2021 FSC-klagomål.docx", "A 67665-2021")</f>
        <v/>
      </c>
      <c r="W90">
        <f>HYPERLINK("https://klasma.github.io/Logging_0781/klagomålsmail/A 67665-2021 FSC-klagomål mail.docx", "A 67665-2021")</f>
        <v/>
      </c>
      <c r="X90">
        <f>HYPERLINK("https://klasma.github.io/Logging_0781/tillsyn/A 67665-2021 tillsynsbegäran.docx", "A 67665-2021")</f>
        <v/>
      </c>
      <c r="Y90">
        <f>HYPERLINK("https://klasma.github.io/Logging_0781/tillsynsmail/A 67665-2021 tillsynsbegäran mail.docx", "A 67665-2021")</f>
        <v/>
      </c>
    </row>
    <row r="91" ht="15" customHeight="1">
      <c r="A91" t="inlineStr">
        <is>
          <t>A 60235-2021</t>
        </is>
      </c>
      <c r="B91" s="1" t="n">
        <v>44495</v>
      </c>
      <c r="C91" s="1" t="n">
        <v>45957</v>
      </c>
      <c r="D91" t="inlineStr">
        <is>
          <t>KRONOBERGS LÄN</t>
        </is>
      </c>
      <c r="E91" t="inlineStr">
        <is>
          <t>LJUNGBY</t>
        </is>
      </c>
      <c r="G91" t="n">
        <v>9.4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HYPERLINK("https://klasma.github.io/Logging_0781/artfynd/A 60235-2021 artfynd.xlsx", "A 60235-2021")</f>
        <v/>
      </c>
      <c r="T91">
        <f>HYPERLINK("https://klasma.github.io/Logging_0781/kartor/A 60235-2021 karta.png", "A 60235-2021")</f>
        <v/>
      </c>
      <c r="U91">
        <f>HYPERLINK("https://klasma.github.io/Logging_0781/knärot/A 60235-2021 karta knärot.png", "A 60235-2021")</f>
        <v/>
      </c>
      <c r="V91">
        <f>HYPERLINK("https://klasma.github.io/Logging_0781/klagomål/A 60235-2021 FSC-klagomål.docx", "A 60235-2021")</f>
        <v/>
      </c>
      <c r="W91">
        <f>HYPERLINK("https://klasma.github.io/Logging_0781/klagomålsmail/A 60235-2021 FSC-klagomål mail.docx", "A 60235-2021")</f>
        <v/>
      </c>
      <c r="X91">
        <f>HYPERLINK("https://klasma.github.io/Logging_0781/tillsyn/A 60235-2021 tillsynsbegäran.docx", "A 60235-2021")</f>
        <v/>
      </c>
      <c r="Y91">
        <f>HYPERLINK("https://klasma.github.io/Logging_0781/tillsynsmail/A 60235-2021 tillsynsbegäran mail.docx", "A 60235-2021")</f>
        <v/>
      </c>
    </row>
    <row r="92" ht="15" customHeight="1">
      <c r="A92" t="inlineStr">
        <is>
          <t>A 62695-2020</t>
        </is>
      </c>
      <c r="B92" s="1" t="n">
        <v>44161</v>
      </c>
      <c r="C92" s="1" t="n">
        <v>45957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Mindre bastardsvärmare</t>
        </is>
      </c>
      <c r="S92">
        <f>HYPERLINK("https://klasma.github.io/Logging_0780/artfynd/A 62695-2020 artfynd.xlsx", "A 62695-2020")</f>
        <v/>
      </c>
      <c r="T92">
        <f>HYPERLINK("https://klasma.github.io/Logging_0780/kartor/A 62695-2020 karta.png", "A 62695-2020")</f>
        <v/>
      </c>
      <c r="V92">
        <f>HYPERLINK("https://klasma.github.io/Logging_0780/klagomål/A 62695-2020 FSC-klagomål.docx", "A 62695-2020")</f>
        <v/>
      </c>
      <c r="W92">
        <f>HYPERLINK("https://klasma.github.io/Logging_0780/klagomålsmail/A 62695-2020 FSC-klagomål mail.docx", "A 62695-2020")</f>
        <v/>
      </c>
      <c r="X92">
        <f>HYPERLINK("https://klasma.github.io/Logging_0780/tillsyn/A 62695-2020 tillsynsbegäran.docx", "A 62695-2020")</f>
        <v/>
      </c>
      <c r="Y92">
        <f>HYPERLINK("https://klasma.github.io/Logging_0780/tillsynsmail/A 62695-2020 tillsynsbegäran mail.docx", "A 62695-2020")</f>
        <v/>
      </c>
    </row>
    <row r="93" ht="15" customHeight="1">
      <c r="A93" t="inlineStr">
        <is>
          <t>A 37378-2022</t>
        </is>
      </c>
      <c r="B93" s="1" t="n">
        <v>44809.40431712963</v>
      </c>
      <c r="C93" s="1" t="n">
        <v>45957</v>
      </c>
      <c r="D93" t="inlineStr">
        <is>
          <t>KRONOBERGS LÄN</t>
        </is>
      </c>
      <c r="E93" t="inlineStr">
        <is>
          <t>LJUNGBY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HYPERLINK("https://klasma.github.io/Logging_0781/artfynd/A 37378-2022 artfynd.xlsx", "A 37378-2022")</f>
        <v/>
      </c>
      <c r="T93">
        <f>HYPERLINK("https://klasma.github.io/Logging_0781/kartor/A 37378-2022 karta.png", "A 37378-2022")</f>
        <v/>
      </c>
      <c r="V93">
        <f>HYPERLINK("https://klasma.github.io/Logging_0781/klagomål/A 37378-2022 FSC-klagomål.docx", "A 37378-2022")</f>
        <v/>
      </c>
      <c r="W93">
        <f>HYPERLINK("https://klasma.github.io/Logging_0781/klagomålsmail/A 37378-2022 FSC-klagomål mail.docx", "A 37378-2022")</f>
        <v/>
      </c>
      <c r="X93">
        <f>HYPERLINK("https://klasma.github.io/Logging_0781/tillsyn/A 37378-2022 tillsynsbegäran.docx", "A 37378-2022")</f>
        <v/>
      </c>
      <c r="Y93">
        <f>HYPERLINK("https://klasma.github.io/Logging_0781/tillsynsmail/A 37378-2022 tillsynsbegäran mail.docx", "A 37378-2022")</f>
        <v/>
      </c>
      <c r="Z93">
        <f>HYPERLINK("https://klasma.github.io/Logging_0781/fåglar/A 37378-2022 prioriterade fågelarter.docx", "A 37378-2022")</f>
        <v/>
      </c>
    </row>
    <row r="94" ht="15" customHeight="1">
      <c r="A94" t="inlineStr">
        <is>
          <t>A 41419-2021</t>
        </is>
      </c>
      <c r="B94" s="1" t="n">
        <v>44424.69891203703</v>
      </c>
      <c r="C94" s="1" t="n">
        <v>45957</v>
      </c>
      <c r="D94" t="inlineStr">
        <is>
          <t>KRONOBERGS LÄN</t>
        </is>
      </c>
      <c r="E94" t="inlineStr">
        <is>
          <t>ÄLMHULT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Sommarfibbla</t>
        </is>
      </c>
      <c r="S94">
        <f>HYPERLINK("https://klasma.github.io/Logging_0765/artfynd/A 41419-2021 artfynd.xlsx", "A 41419-2021")</f>
        <v/>
      </c>
      <c r="T94">
        <f>HYPERLINK("https://klasma.github.io/Logging_0765/kartor/A 41419-2021 karta.png", "A 41419-2021")</f>
        <v/>
      </c>
      <c r="V94">
        <f>HYPERLINK("https://klasma.github.io/Logging_0765/klagomål/A 41419-2021 FSC-klagomål.docx", "A 41419-2021")</f>
        <v/>
      </c>
      <c r="W94">
        <f>HYPERLINK("https://klasma.github.io/Logging_0765/klagomålsmail/A 41419-2021 FSC-klagomål mail.docx", "A 41419-2021")</f>
        <v/>
      </c>
      <c r="X94">
        <f>HYPERLINK("https://klasma.github.io/Logging_0765/tillsyn/A 41419-2021 tillsynsbegäran.docx", "A 41419-2021")</f>
        <v/>
      </c>
      <c r="Y94">
        <f>HYPERLINK("https://klasma.github.io/Logging_0765/tillsynsmail/A 41419-2021 tillsynsbegäran mail.docx", "A 41419-2021")</f>
        <v/>
      </c>
    </row>
    <row r="95" ht="15" customHeight="1">
      <c r="A95" t="inlineStr">
        <is>
          <t>A 6134-2022</t>
        </is>
      </c>
      <c r="B95" s="1" t="n">
        <v>44599.69256944444</v>
      </c>
      <c r="C95" s="1" t="n">
        <v>45957</v>
      </c>
      <c r="D95" t="inlineStr">
        <is>
          <t>KRONOBERGS LÄN</t>
        </is>
      </c>
      <c r="E95" t="inlineStr">
        <is>
          <t>TINGSRYD</t>
        </is>
      </c>
      <c r="G95" t="n">
        <v>0.7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HYPERLINK("https://klasma.github.io/Logging_0763/artfynd/A 6134-2022 artfynd.xlsx", "A 6134-2022")</f>
        <v/>
      </c>
      <c r="T95">
        <f>HYPERLINK("https://klasma.github.io/Logging_0763/kartor/A 6134-2022 karta.png", "A 6134-2022")</f>
        <v/>
      </c>
      <c r="U95">
        <f>HYPERLINK("https://klasma.github.io/Logging_0763/knärot/A 6134-2022 karta knärot.png", "A 6134-2022")</f>
        <v/>
      </c>
      <c r="V95">
        <f>HYPERLINK("https://klasma.github.io/Logging_0763/klagomål/A 6134-2022 FSC-klagomål.docx", "A 6134-2022")</f>
        <v/>
      </c>
      <c r="W95">
        <f>HYPERLINK("https://klasma.github.io/Logging_0763/klagomålsmail/A 6134-2022 FSC-klagomål mail.docx", "A 6134-2022")</f>
        <v/>
      </c>
      <c r="X95">
        <f>HYPERLINK("https://klasma.github.io/Logging_0763/tillsyn/A 6134-2022 tillsynsbegäran.docx", "A 6134-2022")</f>
        <v/>
      </c>
      <c r="Y95">
        <f>HYPERLINK("https://klasma.github.io/Logging_0763/tillsynsmail/A 6134-2022 tillsynsbegäran mail.docx", "A 6134-2022")</f>
        <v/>
      </c>
    </row>
    <row r="96" ht="15" customHeight="1">
      <c r="A96" t="inlineStr">
        <is>
          <t>A 29179-2021</t>
        </is>
      </c>
      <c r="B96" s="1" t="n">
        <v>44358</v>
      </c>
      <c r="C96" s="1" t="n">
        <v>45957</v>
      </c>
      <c r="D96" t="inlineStr">
        <is>
          <t>KRONOBERGS LÄN</t>
        </is>
      </c>
      <c r="E96" t="inlineStr">
        <is>
          <t>VÄXJÖ</t>
        </is>
      </c>
      <c r="F96" t="inlineStr">
        <is>
          <t>Kyrkan</t>
        </is>
      </c>
      <c r="G96" t="n">
        <v>5.1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Talltita</t>
        </is>
      </c>
      <c r="S96">
        <f>HYPERLINK("https://klasma.github.io/Logging_0780/artfynd/A 29179-2021 artfynd.xlsx", "A 29179-2021")</f>
        <v/>
      </c>
      <c r="T96">
        <f>HYPERLINK("https://klasma.github.io/Logging_0780/kartor/A 29179-2021 karta.png", "A 29179-2021")</f>
        <v/>
      </c>
      <c r="V96">
        <f>HYPERLINK("https://klasma.github.io/Logging_0780/klagomål/A 29179-2021 FSC-klagomål.docx", "A 29179-2021")</f>
        <v/>
      </c>
      <c r="W96">
        <f>HYPERLINK("https://klasma.github.io/Logging_0780/klagomålsmail/A 29179-2021 FSC-klagomål mail.docx", "A 29179-2021")</f>
        <v/>
      </c>
      <c r="X96">
        <f>HYPERLINK("https://klasma.github.io/Logging_0780/tillsyn/A 29179-2021 tillsynsbegäran.docx", "A 29179-2021")</f>
        <v/>
      </c>
      <c r="Y96">
        <f>HYPERLINK("https://klasma.github.io/Logging_0780/tillsynsmail/A 29179-2021 tillsynsbegäran mail.docx", "A 29179-2021")</f>
        <v/>
      </c>
      <c r="Z96">
        <f>HYPERLINK("https://klasma.github.io/Logging_0780/fåglar/A 29179-2021 prioriterade fågelarter.docx", "A 29179-2021")</f>
        <v/>
      </c>
    </row>
    <row r="97" ht="15" customHeight="1">
      <c r="A97" t="inlineStr">
        <is>
          <t>A 927-2021</t>
        </is>
      </c>
      <c r="B97" s="1" t="n">
        <v>44207</v>
      </c>
      <c r="C97" s="1" t="n">
        <v>45957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HYPERLINK("https://klasma.github.io/Logging_0760/artfynd/A 927-2021 artfynd.xlsx", "A 927-2021")</f>
        <v/>
      </c>
      <c r="T97">
        <f>HYPERLINK("https://klasma.github.io/Logging_0760/kartor/A 927-2021 karta.png", "A 927-2021")</f>
        <v/>
      </c>
      <c r="V97">
        <f>HYPERLINK("https://klasma.github.io/Logging_0760/klagomål/A 927-2021 FSC-klagomål.docx", "A 927-2021")</f>
        <v/>
      </c>
      <c r="W97">
        <f>HYPERLINK("https://klasma.github.io/Logging_0760/klagomålsmail/A 927-2021 FSC-klagomål mail.docx", "A 927-2021")</f>
        <v/>
      </c>
      <c r="X97">
        <f>HYPERLINK("https://klasma.github.io/Logging_0760/tillsyn/A 927-2021 tillsynsbegäran.docx", "A 927-2021")</f>
        <v/>
      </c>
      <c r="Y97">
        <f>HYPERLINK("https://klasma.github.io/Logging_0760/tillsynsmail/A 927-2021 tillsynsbegäran mail.docx", "A 927-2021")</f>
        <v/>
      </c>
    </row>
    <row r="98" ht="15" customHeight="1">
      <c r="A98" t="inlineStr">
        <is>
          <t>A 41652-2022</t>
        </is>
      </c>
      <c r="B98" s="1" t="n">
        <v>44827</v>
      </c>
      <c r="C98" s="1" t="n">
        <v>45957</v>
      </c>
      <c r="D98" t="inlineStr">
        <is>
          <t>KRONOBERGS LÄN</t>
        </is>
      </c>
      <c r="E98" t="inlineStr">
        <is>
          <t>UPPVIDINGE</t>
        </is>
      </c>
      <c r="G98" t="n">
        <v>1.1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Sankt pers nycklar</t>
        </is>
      </c>
      <c r="S98">
        <f>HYPERLINK("https://klasma.github.io/Logging_0760/artfynd/A 41652-2022 artfynd.xlsx", "A 41652-2022")</f>
        <v/>
      </c>
      <c r="T98">
        <f>HYPERLINK("https://klasma.github.io/Logging_0760/kartor/A 41652-2022 karta.png", "A 41652-2022")</f>
        <v/>
      </c>
      <c r="V98">
        <f>HYPERLINK("https://klasma.github.io/Logging_0760/klagomål/A 41652-2022 FSC-klagomål.docx", "A 41652-2022")</f>
        <v/>
      </c>
      <c r="W98">
        <f>HYPERLINK("https://klasma.github.io/Logging_0760/klagomålsmail/A 41652-2022 FSC-klagomål mail.docx", "A 41652-2022")</f>
        <v/>
      </c>
      <c r="X98">
        <f>HYPERLINK("https://klasma.github.io/Logging_0760/tillsyn/A 41652-2022 tillsynsbegäran.docx", "A 41652-2022")</f>
        <v/>
      </c>
      <c r="Y98">
        <f>HYPERLINK("https://klasma.github.io/Logging_0760/tillsynsmail/A 41652-2022 tillsynsbegäran mail.docx", "A 41652-2022")</f>
        <v/>
      </c>
    </row>
    <row r="99" ht="15" customHeight="1">
      <c r="A99" t="inlineStr">
        <is>
          <t>A 39766-2022</t>
        </is>
      </c>
      <c r="B99" s="1" t="n">
        <v>44819</v>
      </c>
      <c r="C99" s="1" t="n">
        <v>45957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Brandticka</t>
        </is>
      </c>
      <c r="S99">
        <f>HYPERLINK("https://klasma.github.io/Logging_0764/artfynd/A 39766-2022 artfynd.xlsx", "A 39766-2022")</f>
        <v/>
      </c>
      <c r="T99">
        <f>HYPERLINK("https://klasma.github.io/Logging_0764/kartor/A 39766-2022 karta.png", "A 39766-2022")</f>
        <v/>
      </c>
      <c r="V99">
        <f>HYPERLINK("https://klasma.github.io/Logging_0764/klagomål/A 39766-2022 FSC-klagomål.docx", "A 39766-2022")</f>
        <v/>
      </c>
      <c r="W99">
        <f>HYPERLINK("https://klasma.github.io/Logging_0764/klagomålsmail/A 39766-2022 FSC-klagomål mail.docx", "A 39766-2022")</f>
        <v/>
      </c>
      <c r="X99">
        <f>HYPERLINK("https://klasma.github.io/Logging_0764/tillsyn/A 39766-2022 tillsynsbegäran.docx", "A 39766-2022")</f>
        <v/>
      </c>
      <c r="Y99">
        <f>HYPERLINK("https://klasma.github.io/Logging_0764/tillsynsmail/A 39766-2022 tillsynsbegäran mail.docx", "A 39766-2022")</f>
        <v/>
      </c>
    </row>
    <row r="100" ht="15" customHeight="1">
      <c r="A100" t="inlineStr">
        <is>
          <t>A 40568-2022</t>
        </is>
      </c>
      <c r="B100" s="1" t="n">
        <v>44823</v>
      </c>
      <c r="C100" s="1" t="n">
        <v>45957</v>
      </c>
      <c r="D100" t="inlineStr">
        <is>
          <t>KRONOBERGS LÄN</t>
        </is>
      </c>
      <c r="E100" t="inlineStr">
        <is>
          <t>ALVESTA</t>
        </is>
      </c>
      <c r="G100" t="n">
        <v>1.7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Göktyta</t>
        </is>
      </c>
      <c r="S100">
        <f>HYPERLINK("https://klasma.github.io/Logging_0764/artfynd/A 40568-2022 artfynd.xlsx", "A 40568-2022")</f>
        <v/>
      </c>
      <c r="T100">
        <f>HYPERLINK("https://klasma.github.io/Logging_0764/kartor/A 40568-2022 karta.png", "A 40568-2022")</f>
        <v/>
      </c>
      <c r="V100">
        <f>HYPERLINK("https://klasma.github.io/Logging_0764/klagomål/A 40568-2022 FSC-klagomål.docx", "A 40568-2022")</f>
        <v/>
      </c>
      <c r="W100">
        <f>HYPERLINK("https://klasma.github.io/Logging_0764/klagomålsmail/A 40568-2022 FSC-klagomål mail.docx", "A 40568-2022")</f>
        <v/>
      </c>
      <c r="X100">
        <f>HYPERLINK("https://klasma.github.io/Logging_0764/tillsyn/A 40568-2022 tillsynsbegäran.docx", "A 40568-2022")</f>
        <v/>
      </c>
      <c r="Y100">
        <f>HYPERLINK("https://klasma.github.io/Logging_0764/tillsynsmail/A 40568-2022 tillsynsbegäran mail.docx", "A 40568-2022")</f>
        <v/>
      </c>
      <c r="Z100">
        <f>HYPERLINK("https://klasma.github.io/Logging_0764/fåglar/A 40568-2022 prioriterade fågelarter.docx", "A 40568-2022")</f>
        <v/>
      </c>
    </row>
    <row r="101" ht="15" customHeight="1">
      <c r="A101" t="inlineStr">
        <is>
          <t>A 3220-2022</t>
        </is>
      </c>
      <c r="B101" s="1" t="n">
        <v>44582</v>
      </c>
      <c r="C101" s="1" t="n">
        <v>45957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HYPERLINK("https://klasma.github.io/Logging_0781/artfynd/A 3220-2022 artfynd.xlsx", "A 3220-2022")</f>
        <v/>
      </c>
      <c r="T101">
        <f>HYPERLINK("https://klasma.github.io/Logging_0781/kartor/A 3220-2022 karta.png", "A 3220-2022")</f>
        <v/>
      </c>
      <c r="V101">
        <f>HYPERLINK("https://klasma.github.io/Logging_0781/klagomål/A 3220-2022 FSC-klagomål.docx", "A 3220-2022")</f>
        <v/>
      </c>
      <c r="W101">
        <f>HYPERLINK("https://klasma.github.io/Logging_0781/klagomålsmail/A 3220-2022 FSC-klagomål mail.docx", "A 3220-2022")</f>
        <v/>
      </c>
      <c r="X101">
        <f>HYPERLINK("https://klasma.github.io/Logging_0781/tillsyn/A 3220-2022 tillsynsbegäran.docx", "A 3220-2022")</f>
        <v/>
      </c>
      <c r="Y101">
        <f>HYPERLINK("https://klasma.github.io/Logging_0781/tillsynsmail/A 3220-2022 tillsynsbegäran mail.docx", "A 3220-2022")</f>
        <v/>
      </c>
      <c r="Z101">
        <f>HYPERLINK("https://klasma.github.io/Logging_0781/fåglar/A 3220-2022 prioriterade fågelarter.docx", "A 3220-2022")</f>
        <v/>
      </c>
    </row>
    <row r="102" ht="15" customHeight="1">
      <c r="A102" t="inlineStr">
        <is>
          <t>A 51195-2023</t>
        </is>
      </c>
      <c r="B102" s="1" t="n">
        <v>45219</v>
      </c>
      <c r="C102" s="1" t="n">
        <v>45957</v>
      </c>
      <c r="D102" t="inlineStr">
        <is>
          <t>KRONOBERGS LÄN</t>
        </is>
      </c>
      <c r="E102" t="inlineStr">
        <is>
          <t>MARKARYD</t>
        </is>
      </c>
      <c r="G102" t="n">
        <v>1.6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Spindelblomster</t>
        </is>
      </c>
      <c r="S102">
        <f>HYPERLINK("https://klasma.github.io/Logging_0767/artfynd/A 51195-2023 artfynd.xlsx", "A 51195-2023")</f>
        <v/>
      </c>
      <c r="T102">
        <f>HYPERLINK("https://klasma.github.io/Logging_0767/kartor/A 51195-2023 karta.png", "A 51195-2023")</f>
        <v/>
      </c>
      <c r="V102">
        <f>HYPERLINK("https://klasma.github.io/Logging_0767/klagomål/A 51195-2023 FSC-klagomål.docx", "A 51195-2023")</f>
        <v/>
      </c>
      <c r="W102">
        <f>HYPERLINK("https://klasma.github.io/Logging_0767/klagomålsmail/A 51195-2023 FSC-klagomål mail.docx", "A 51195-2023")</f>
        <v/>
      </c>
      <c r="X102">
        <f>HYPERLINK("https://klasma.github.io/Logging_0767/tillsyn/A 51195-2023 tillsynsbegäran.docx", "A 51195-2023")</f>
        <v/>
      </c>
      <c r="Y102">
        <f>HYPERLINK("https://klasma.github.io/Logging_0767/tillsynsmail/A 51195-2023 tillsynsbegäran mail.docx", "A 51195-2023")</f>
        <v/>
      </c>
    </row>
    <row r="103" ht="15" customHeight="1">
      <c r="A103" t="inlineStr">
        <is>
          <t>A 11508-2024</t>
        </is>
      </c>
      <c r="B103" s="1" t="n">
        <v>45372.69723379629</v>
      </c>
      <c r="C103" s="1" t="n">
        <v>45957</v>
      </c>
      <c r="D103" t="inlineStr">
        <is>
          <t>KRONOBERGS LÄN</t>
        </is>
      </c>
      <c r="E103" t="inlineStr">
        <is>
          <t>LJUNGBY</t>
        </is>
      </c>
      <c r="G103" t="n">
        <v>1.5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HYPERLINK("https://klasma.github.io/Logging_0781/artfynd/A 11508-2024 artfynd.xlsx", "A 11508-2024")</f>
        <v/>
      </c>
      <c r="T103">
        <f>HYPERLINK("https://klasma.github.io/Logging_0781/kartor/A 11508-2024 karta.png", "A 11508-2024")</f>
        <v/>
      </c>
      <c r="V103">
        <f>HYPERLINK("https://klasma.github.io/Logging_0781/klagomål/A 11508-2024 FSC-klagomål.docx", "A 11508-2024")</f>
        <v/>
      </c>
      <c r="W103">
        <f>HYPERLINK("https://klasma.github.io/Logging_0781/klagomålsmail/A 11508-2024 FSC-klagomål mail.docx", "A 11508-2024")</f>
        <v/>
      </c>
      <c r="X103">
        <f>HYPERLINK("https://klasma.github.io/Logging_0781/tillsyn/A 11508-2024 tillsynsbegäran.docx", "A 11508-2024")</f>
        <v/>
      </c>
      <c r="Y103">
        <f>HYPERLINK("https://klasma.github.io/Logging_0781/tillsynsmail/A 11508-2024 tillsynsbegäran mail.docx", "A 11508-2024")</f>
        <v/>
      </c>
    </row>
    <row r="104" ht="15" customHeight="1">
      <c r="A104" t="inlineStr">
        <is>
          <t>A 55805-2020</t>
        </is>
      </c>
      <c r="B104" s="1" t="n">
        <v>44132</v>
      </c>
      <c r="C104" s="1" t="n">
        <v>45957</v>
      </c>
      <c r="D104" t="inlineStr">
        <is>
          <t>KRONOBERGS LÄN</t>
        </is>
      </c>
      <c r="E104" t="inlineStr">
        <is>
          <t>UPPVIDINGE</t>
        </is>
      </c>
      <c r="G104" t="n">
        <v>5.7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HYPERLINK("https://klasma.github.io/Logging_0760/artfynd/A 55805-2020 artfynd.xlsx", "A 55805-2020")</f>
        <v/>
      </c>
      <c r="T104">
        <f>HYPERLINK("https://klasma.github.io/Logging_0760/kartor/A 55805-2020 karta.png", "A 55805-2020")</f>
        <v/>
      </c>
      <c r="U104">
        <f>HYPERLINK("https://klasma.github.io/Logging_0760/knärot/A 55805-2020 karta knärot.png", "A 55805-2020")</f>
        <v/>
      </c>
      <c r="V104">
        <f>HYPERLINK("https://klasma.github.io/Logging_0760/klagomål/A 55805-2020 FSC-klagomål.docx", "A 55805-2020")</f>
        <v/>
      </c>
      <c r="W104">
        <f>HYPERLINK("https://klasma.github.io/Logging_0760/klagomålsmail/A 55805-2020 FSC-klagomål mail.docx", "A 55805-2020")</f>
        <v/>
      </c>
      <c r="X104">
        <f>HYPERLINK("https://klasma.github.io/Logging_0760/tillsyn/A 55805-2020 tillsynsbegäran.docx", "A 55805-2020")</f>
        <v/>
      </c>
      <c r="Y104">
        <f>HYPERLINK("https://klasma.github.io/Logging_0760/tillsynsmail/A 55805-2020 tillsynsbegäran mail.docx", "A 55805-2020")</f>
        <v/>
      </c>
    </row>
    <row r="105" ht="15" customHeight="1">
      <c r="A105" t="inlineStr">
        <is>
          <t>A 30317-2024</t>
        </is>
      </c>
      <c r="B105" s="1" t="n">
        <v>45490.76049768519</v>
      </c>
      <c r="C105" s="1" t="n">
        <v>45957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2.7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Scharlakansskål</t>
        </is>
      </c>
      <c r="S105">
        <f>HYPERLINK("https://klasma.github.io/Logging_0780/artfynd/A 30317-2024 artfynd.xlsx", "A 30317-2024")</f>
        <v/>
      </c>
      <c r="T105">
        <f>HYPERLINK("https://klasma.github.io/Logging_0780/kartor/A 30317-2024 karta.png", "A 30317-2024")</f>
        <v/>
      </c>
      <c r="V105">
        <f>HYPERLINK("https://klasma.github.io/Logging_0780/klagomål/A 30317-2024 FSC-klagomål.docx", "A 30317-2024")</f>
        <v/>
      </c>
      <c r="W105">
        <f>HYPERLINK("https://klasma.github.io/Logging_0780/klagomålsmail/A 30317-2024 FSC-klagomål mail.docx", "A 30317-2024")</f>
        <v/>
      </c>
      <c r="X105">
        <f>HYPERLINK("https://klasma.github.io/Logging_0780/tillsyn/A 30317-2024 tillsynsbegäran.docx", "A 30317-2024")</f>
        <v/>
      </c>
      <c r="Y105">
        <f>HYPERLINK("https://klasma.github.io/Logging_0780/tillsynsmail/A 30317-2024 tillsynsbegäran mail.docx", "A 30317-2024")</f>
        <v/>
      </c>
    </row>
    <row r="106" ht="15" customHeight="1">
      <c r="A106" t="inlineStr">
        <is>
          <t>A 25295-2023</t>
        </is>
      </c>
      <c r="B106" s="1" t="n">
        <v>45086</v>
      </c>
      <c r="C106" s="1" t="n">
        <v>45957</v>
      </c>
      <c r="D106" t="inlineStr">
        <is>
          <t>KRONOBERGS LÄN</t>
        </is>
      </c>
      <c r="E106" t="inlineStr">
        <is>
          <t>LJUNGBY</t>
        </is>
      </c>
      <c r="G106" t="n">
        <v>1.3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HYPERLINK("https://klasma.github.io/Logging_0781/artfynd/A 25295-2023 artfynd.xlsx", "A 25295-2023")</f>
        <v/>
      </c>
      <c r="T106">
        <f>HYPERLINK("https://klasma.github.io/Logging_0781/kartor/A 25295-2023 karta.png", "A 25295-2023")</f>
        <v/>
      </c>
      <c r="V106">
        <f>HYPERLINK("https://klasma.github.io/Logging_0781/klagomål/A 25295-2023 FSC-klagomål.docx", "A 25295-2023")</f>
        <v/>
      </c>
      <c r="W106">
        <f>HYPERLINK("https://klasma.github.io/Logging_0781/klagomålsmail/A 25295-2023 FSC-klagomål mail.docx", "A 25295-2023")</f>
        <v/>
      </c>
      <c r="X106">
        <f>HYPERLINK("https://klasma.github.io/Logging_0781/tillsyn/A 25295-2023 tillsynsbegäran.docx", "A 25295-2023")</f>
        <v/>
      </c>
      <c r="Y106">
        <f>HYPERLINK("https://klasma.github.io/Logging_0781/tillsynsmail/A 25295-2023 tillsynsbegäran mail.docx", "A 25295-2023")</f>
        <v/>
      </c>
    </row>
    <row r="107" ht="15" customHeight="1">
      <c r="A107" t="inlineStr">
        <is>
          <t>A 14022-2024</t>
        </is>
      </c>
      <c r="B107" s="1" t="n">
        <v>45392</v>
      </c>
      <c r="C107" s="1" t="n">
        <v>45957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Borsttåg</t>
        </is>
      </c>
      <c r="S107">
        <f>HYPERLINK("https://klasma.github.io/Logging_0780/artfynd/A 14022-2024 artfynd.xlsx", "A 14022-2024")</f>
        <v/>
      </c>
      <c r="T107">
        <f>HYPERLINK("https://klasma.github.io/Logging_0780/kartor/A 14022-2024 karta.png", "A 14022-2024")</f>
        <v/>
      </c>
      <c r="V107">
        <f>HYPERLINK("https://klasma.github.io/Logging_0780/klagomål/A 14022-2024 FSC-klagomål.docx", "A 14022-2024")</f>
        <v/>
      </c>
      <c r="W107">
        <f>HYPERLINK("https://klasma.github.io/Logging_0780/klagomålsmail/A 14022-2024 FSC-klagomål mail.docx", "A 14022-2024")</f>
        <v/>
      </c>
      <c r="X107">
        <f>HYPERLINK("https://klasma.github.io/Logging_0780/tillsyn/A 14022-2024 tillsynsbegäran.docx", "A 14022-2024")</f>
        <v/>
      </c>
      <c r="Y107">
        <f>HYPERLINK("https://klasma.github.io/Logging_0780/tillsynsmail/A 14022-2024 tillsynsbegäran mail.docx", "A 14022-2024")</f>
        <v/>
      </c>
    </row>
    <row r="108" ht="15" customHeight="1">
      <c r="A108" t="inlineStr">
        <is>
          <t>A 21107-2025</t>
        </is>
      </c>
      <c r="B108" s="1" t="n">
        <v>45777.67229166667</v>
      </c>
      <c r="C108" s="1" t="n">
        <v>45957</v>
      </c>
      <c r="D108" t="inlineStr">
        <is>
          <t>KRONOBERGS LÄN</t>
        </is>
      </c>
      <c r="E108" t="inlineStr">
        <is>
          <t>VÄXJÖ</t>
        </is>
      </c>
      <c r="G108" t="n">
        <v>5.6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Fjällvråk</t>
        </is>
      </c>
      <c r="S108">
        <f>HYPERLINK("https://klasma.github.io/Logging_0780/artfynd/A 21107-2025 artfynd.xlsx", "A 21107-2025")</f>
        <v/>
      </c>
      <c r="T108">
        <f>HYPERLINK("https://klasma.github.io/Logging_0780/kartor/A 21107-2025 karta.png", "A 21107-2025")</f>
        <v/>
      </c>
      <c r="V108">
        <f>HYPERLINK("https://klasma.github.io/Logging_0780/klagomål/A 21107-2025 FSC-klagomål.docx", "A 21107-2025")</f>
        <v/>
      </c>
      <c r="W108">
        <f>HYPERLINK("https://klasma.github.io/Logging_0780/klagomålsmail/A 21107-2025 FSC-klagomål mail.docx", "A 21107-2025")</f>
        <v/>
      </c>
      <c r="X108">
        <f>HYPERLINK("https://klasma.github.io/Logging_0780/tillsyn/A 21107-2025 tillsynsbegäran.docx", "A 21107-2025")</f>
        <v/>
      </c>
      <c r="Y108">
        <f>HYPERLINK("https://klasma.github.io/Logging_0780/tillsynsmail/A 21107-2025 tillsynsbegäran mail.docx", "A 21107-2025")</f>
        <v/>
      </c>
      <c r="Z108">
        <f>HYPERLINK("https://klasma.github.io/Logging_0780/fåglar/A 21107-2025 prioriterade fågelarter.docx", "A 21107-2025")</f>
        <v/>
      </c>
    </row>
    <row r="109" ht="15" customHeight="1">
      <c r="A109" t="inlineStr">
        <is>
          <t>A 38339-2024</t>
        </is>
      </c>
      <c r="B109" s="1" t="n">
        <v>45545.68635416667</v>
      </c>
      <c r="C109" s="1" t="n">
        <v>45957</v>
      </c>
      <c r="D109" t="inlineStr">
        <is>
          <t>KRONOBERGS LÄN</t>
        </is>
      </c>
      <c r="E109" t="inlineStr">
        <is>
          <t>VÄXJÖ</t>
        </is>
      </c>
      <c r="G109" t="n">
        <v>4.9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Tallriska</t>
        </is>
      </c>
      <c r="S109">
        <f>HYPERLINK("https://klasma.github.io/Logging_0780/artfynd/A 38339-2024 artfynd.xlsx", "A 38339-2024")</f>
        <v/>
      </c>
      <c r="T109">
        <f>HYPERLINK("https://klasma.github.io/Logging_0780/kartor/A 38339-2024 karta.png", "A 38339-2024")</f>
        <v/>
      </c>
      <c r="V109">
        <f>HYPERLINK("https://klasma.github.io/Logging_0780/klagomål/A 38339-2024 FSC-klagomål.docx", "A 38339-2024")</f>
        <v/>
      </c>
      <c r="W109">
        <f>HYPERLINK("https://klasma.github.io/Logging_0780/klagomålsmail/A 38339-2024 FSC-klagomål mail.docx", "A 38339-2024")</f>
        <v/>
      </c>
      <c r="X109">
        <f>HYPERLINK("https://klasma.github.io/Logging_0780/tillsyn/A 38339-2024 tillsynsbegäran.docx", "A 38339-2024")</f>
        <v/>
      </c>
      <c r="Y109">
        <f>HYPERLINK("https://klasma.github.io/Logging_0780/tillsynsmail/A 38339-2024 tillsynsbegäran mail.docx", "A 38339-2024")</f>
        <v/>
      </c>
    </row>
    <row r="110" ht="15" customHeight="1">
      <c r="A110" t="inlineStr">
        <is>
          <t>A 21527-2025</t>
        </is>
      </c>
      <c r="B110" s="1" t="n">
        <v>45782.64805555555</v>
      </c>
      <c r="C110" s="1" t="n">
        <v>45957</v>
      </c>
      <c r="D110" t="inlineStr">
        <is>
          <t>KRONOBERGS LÄN</t>
        </is>
      </c>
      <c r="E110" t="inlineStr">
        <is>
          <t>VÄXJÖ</t>
        </is>
      </c>
      <c r="G110" t="n">
        <v>1.3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Linmåra/småsnärjmåra</t>
        </is>
      </c>
      <c r="S110">
        <f>HYPERLINK("https://klasma.github.io/Logging_0780/artfynd/A 21527-2025 artfynd.xlsx", "A 21527-2025")</f>
        <v/>
      </c>
      <c r="T110">
        <f>HYPERLINK("https://klasma.github.io/Logging_0780/kartor/A 21527-2025 karta.png", "A 21527-2025")</f>
        <v/>
      </c>
      <c r="V110">
        <f>HYPERLINK("https://klasma.github.io/Logging_0780/klagomål/A 21527-2025 FSC-klagomål.docx", "A 21527-2025")</f>
        <v/>
      </c>
      <c r="W110">
        <f>HYPERLINK("https://klasma.github.io/Logging_0780/klagomålsmail/A 21527-2025 FSC-klagomål mail.docx", "A 21527-2025")</f>
        <v/>
      </c>
      <c r="X110">
        <f>HYPERLINK("https://klasma.github.io/Logging_0780/tillsyn/A 21527-2025 tillsynsbegäran.docx", "A 21527-2025")</f>
        <v/>
      </c>
      <c r="Y110">
        <f>HYPERLINK("https://klasma.github.io/Logging_0780/tillsynsmail/A 21527-2025 tillsynsbegäran mail.docx", "A 21527-2025")</f>
        <v/>
      </c>
    </row>
    <row r="111" ht="15" customHeight="1">
      <c r="A111" t="inlineStr">
        <is>
          <t>A 9876-2025</t>
        </is>
      </c>
      <c r="B111" s="1" t="n">
        <v>45716.65045138889</v>
      </c>
      <c r="C111" s="1" t="n">
        <v>45957</v>
      </c>
      <c r="D111" t="inlineStr">
        <is>
          <t>KRONOBERGS LÄN</t>
        </is>
      </c>
      <c r="E111" t="inlineStr">
        <is>
          <t>ÄLMHULT</t>
        </is>
      </c>
      <c r="F111" t="inlineStr">
        <is>
          <t>Sveaskog</t>
        </is>
      </c>
      <c r="G111" t="n">
        <v>4.1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Mattlummer</t>
        </is>
      </c>
      <c r="S111">
        <f>HYPERLINK("https://klasma.github.io/Logging_0765/artfynd/A 9876-2025 artfynd.xlsx", "A 9876-2025")</f>
        <v/>
      </c>
      <c r="T111">
        <f>HYPERLINK("https://klasma.github.io/Logging_0765/kartor/A 9876-2025 karta.png", "A 9876-2025")</f>
        <v/>
      </c>
      <c r="V111">
        <f>HYPERLINK("https://klasma.github.io/Logging_0765/klagomål/A 9876-2025 FSC-klagomål.docx", "A 9876-2025")</f>
        <v/>
      </c>
      <c r="W111">
        <f>HYPERLINK("https://klasma.github.io/Logging_0765/klagomålsmail/A 9876-2025 FSC-klagomål mail.docx", "A 9876-2025")</f>
        <v/>
      </c>
      <c r="X111">
        <f>HYPERLINK("https://klasma.github.io/Logging_0765/tillsyn/A 9876-2025 tillsynsbegäran.docx", "A 9876-2025")</f>
        <v/>
      </c>
      <c r="Y111">
        <f>HYPERLINK("https://klasma.github.io/Logging_0765/tillsynsmail/A 9876-2025 tillsynsbegäran mail.docx", "A 9876-2025")</f>
        <v/>
      </c>
    </row>
    <row r="112" ht="15" customHeight="1">
      <c r="A112" t="inlineStr">
        <is>
          <t>A 8280-2021</t>
        </is>
      </c>
      <c r="B112" s="1" t="n">
        <v>44244</v>
      </c>
      <c r="C112" s="1" t="n">
        <v>45957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Borsttåg</t>
        </is>
      </c>
      <c r="S112">
        <f>HYPERLINK("https://klasma.github.io/Logging_0780/artfynd/A 8280-2021 artfynd.xlsx", "A 8280-2021")</f>
        <v/>
      </c>
      <c r="T112">
        <f>HYPERLINK("https://klasma.github.io/Logging_0780/kartor/A 8280-2021 karta.png", "A 8280-2021")</f>
        <v/>
      </c>
      <c r="V112">
        <f>HYPERLINK("https://klasma.github.io/Logging_0780/klagomål/A 8280-2021 FSC-klagomål.docx", "A 8280-2021")</f>
        <v/>
      </c>
      <c r="W112">
        <f>HYPERLINK("https://klasma.github.io/Logging_0780/klagomålsmail/A 8280-2021 FSC-klagomål mail.docx", "A 8280-2021")</f>
        <v/>
      </c>
      <c r="X112">
        <f>HYPERLINK("https://klasma.github.io/Logging_0780/tillsyn/A 8280-2021 tillsynsbegäran.docx", "A 8280-2021")</f>
        <v/>
      </c>
      <c r="Y112">
        <f>HYPERLINK("https://klasma.github.io/Logging_0780/tillsynsmail/A 8280-2021 tillsynsbegäran mail.docx", "A 8280-2021")</f>
        <v/>
      </c>
    </row>
    <row r="113" ht="15" customHeight="1">
      <c r="A113" t="inlineStr">
        <is>
          <t>A 5856-2024</t>
        </is>
      </c>
      <c r="B113" s="1" t="n">
        <v>45335</v>
      </c>
      <c r="C113" s="1" t="n">
        <v>45957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1.7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Vågbandad barkbock</t>
        </is>
      </c>
      <c r="S113">
        <f>HYPERLINK("https://klasma.github.io/Logging_0760/artfynd/A 5856-2024 artfynd.xlsx", "A 5856-2024")</f>
        <v/>
      </c>
      <c r="T113">
        <f>HYPERLINK("https://klasma.github.io/Logging_0760/kartor/A 5856-2024 karta.png", "A 5856-2024")</f>
        <v/>
      </c>
      <c r="V113">
        <f>HYPERLINK("https://klasma.github.io/Logging_0760/klagomål/A 5856-2024 FSC-klagomål.docx", "A 5856-2024")</f>
        <v/>
      </c>
      <c r="W113">
        <f>HYPERLINK("https://klasma.github.io/Logging_0760/klagomålsmail/A 5856-2024 FSC-klagomål mail.docx", "A 5856-2024")</f>
        <v/>
      </c>
      <c r="X113">
        <f>HYPERLINK("https://klasma.github.io/Logging_0760/tillsyn/A 5856-2024 tillsynsbegäran.docx", "A 5856-2024")</f>
        <v/>
      </c>
      <c r="Y113">
        <f>HYPERLINK("https://klasma.github.io/Logging_0760/tillsynsmail/A 5856-2024 tillsynsbegäran mail.docx", "A 5856-2024")</f>
        <v/>
      </c>
    </row>
    <row r="114" ht="15" customHeight="1">
      <c r="A114" t="inlineStr">
        <is>
          <t>A 4720-2025</t>
        </is>
      </c>
      <c r="B114" s="1" t="n">
        <v>45688.41431712963</v>
      </c>
      <c r="C114" s="1" t="n">
        <v>45957</v>
      </c>
      <c r="D114" t="inlineStr">
        <is>
          <t>KRONOBERGS LÄN</t>
        </is>
      </c>
      <c r="E114" t="inlineStr">
        <is>
          <t>UPPVIDINGE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Blåsippa</t>
        </is>
      </c>
      <c r="S114">
        <f>HYPERLINK("https://klasma.github.io/Logging_0760/artfynd/A 4720-2025 artfynd.xlsx", "A 4720-2025")</f>
        <v/>
      </c>
      <c r="T114">
        <f>HYPERLINK("https://klasma.github.io/Logging_0760/kartor/A 4720-2025 karta.png", "A 4720-2025")</f>
        <v/>
      </c>
      <c r="V114">
        <f>HYPERLINK("https://klasma.github.io/Logging_0760/klagomål/A 4720-2025 FSC-klagomål.docx", "A 4720-2025")</f>
        <v/>
      </c>
      <c r="W114">
        <f>HYPERLINK("https://klasma.github.io/Logging_0760/klagomålsmail/A 4720-2025 FSC-klagomål mail.docx", "A 4720-2025")</f>
        <v/>
      </c>
      <c r="X114">
        <f>HYPERLINK("https://klasma.github.io/Logging_0760/tillsyn/A 4720-2025 tillsynsbegäran.docx", "A 4720-2025")</f>
        <v/>
      </c>
      <c r="Y114">
        <f>HYPERLINK("https://klasma.github.io/Logging_0760/tillsynsmail/A 4720-2025 tillsynsbegäran mail.docx", "A 4720-2025")</f>
        <v/>
      </c>
    </row>
    <row r="115" ht="15" customHeight="1">
      <c r="A115" t="inlineStr">
        <is>
          <t>A 18486-2025</t>
        </is>
      </c>
      <c r="B115" s="1" t="n">
        <v>45763.28596064815</v>
      </c>
      <c r="C115" s="1" t="n">
        <v>45957</v>
      </c>
      <c r="D115" t="inlineStr">
        <is>
          <t>KRONOBERGS LÄN</t>
        </is>
      </c>
      <c r="E115" t="inlineStr">
        <is>
          <t>ALVESTA</t>
        </is>
      </c>
      <c r="G115" t="n">
        <v>1.5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Spillkråka</t>
        </is>
      </c>
      <c r="S115">
        <f>HYPERLINK("https://klasma.github.io/Logging_0764/artfynd/A 18486-2025 artfynd.xlsx", "A 18486-2025")</f>
        <v/>
      </c>
      <c r="T115">
        <f>HYPERLINK("https://klasma.github.io/Logging_0764/kartor/A 18486-2025 karta.png", "A 18486-2025")</f>
        <v/>
      </c>
      <c r="V115">
        <f>HYPERLINK("https://klasma.github.io/Logging_0764/klagomål/A 18486-2025 FSC-klagomål.docx", "A 18486-2025")</f>
        <v/>
      </c>
      <c r="W115">
        <f>HYPERLINK("https://klasma.github.io/Logging_0764/klagomålsmail/A 18486-2025 FSC-klagomål mail.docx", "A 18486-2025")</f>
        <v/>
      </c>
      <c r="X115">
        <f>HYPERLINK("https://klasma.github.io/Logging_0764/tillsyn/A 18486-2025 tillsynsbegäran.docx", "A 18486-2025")</f>
        <v/>
      </c>
      <c r="Y115">
        <f>HYPERLINK("https://klasma.github.io/Logging_0764/tillsynsmail/A 18486-2025 tillsynsbegäran mail.docx", "A 18486-2025")</f>
        <v/>
      </c>
      <c r="Z115">
        <f>HYPERLINK("https://klasma.github.io/Logging_0764/fåglar/A 18486-2025 prioriterade fågelarter.docx", "A 18486-2025")</f>
        <v/>
      </c>
    </row>
    <row r="116" ht="15" customHeight="1">
      <c r="A116" t="inlineStr">
        <is>
          <t>A 18079-2025</t>
        </is>
      </c>
      <c r="B116" s="1" t="n">
        <v>45761.50589120371</v>
      </c>
      <c r="C116" s="1" t="n">
        <v>45957</v>
      </c>
      <c r="D116" t="inlineStr">
        <is>
          <t>KRONOBERGS LÄN</t>
        </is>
      </c>
      <c r="E116" t="inlineStr">
        <is>
          <t>VÄXJÖ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Blåmossa</t>
        </is>
      </c>
      <c r="S116">
        <f>HYPERLINK("https://klasma.github.io/Logging_0780/artfynd/A 18079-2025 artfynd.xlsx", "A 18079-2025")</f>
        <v/>
      </c>
      <c r="T116">
        <f>HYPERLINK("https://klasma.github.io/Logging_0780/kartor/A 18079-2025 karta.png", "A 18079-2025")</f>
        <v/>
      </c>
      <c r="V116">
        <f>HYPERLINK("https://klasma.github.io/Logging_0780/klagomål/A 18079-2025 FSC-klagomål.docx", "A 18079-2025")</f>
        <v/>
      </c>
      <c r="W116">
        <f>HYPERLINK("https://klasma.github.io/Logging_0780/klagomålsmail/A 18079-2025 FSC-klagomål mail.docx", "A 18079-2025")</f>
        <v/>
      </c>
      <c r="X116">
        <f>HYPERLINK("https://klasma.github.io/Logging_0780/tillsyn/A 18079-2025 tillsynsbegäran.docx", "A 18079-2025")</f>
        <v/>
      </c>
      <c r="Y116">
        <f>HYPERLINK("https://klasma.github.io/Logging_0780/tillsynsmail/A 18079-2025 tillsynsbegäran mail.docx", "A 18079-2025")</f>
        <v/>
      </c>
    </row>
    <row r="117" ht="15" customHeight="1">
      <c r="A117" t="inlineStr">
        <is>
          <t>A 3677-2023</t>
        </is>
      </c>
      <c r="B117" s="1" t="n">
        <v>44950</v>
      </c>
      <c r="C117" s="1" t="n">
        <v>45957</v>
      </c>
      <c r="D117" t="inlineStr">
        <is>
          <t>KRONOBERGS LÄN</t>
        </is>
      </c>
      <c r="E117" t="inlineStr">
        <is>
          <t>UPPVIDINGE</t>
        </is>
      </c>
      <c r="G117" t="n">
        <v>13.4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Blomkålssvamp</t>
        </is>
      </c>
      <c r="S117">
        <f>HYPERLINK("https://klasma.github.io/Logging_0760/artfynd/A 3677-2023 artfynd.xlsx", "A 3677-2023")</f>
        <v/>
      </c>
      <c r="T117">
        <f>HYPERLINK("https://klasma.github.io/Logging_0760/kartor/A 3677-2023 karta.png", "A 3677-2023")</f>
        <v/>
      </c>
      <c r="V117">
        <f>HYPERLINK("https://klasma.github.io/Logging_0760/klagomål/A 3677-2023 FSC-klagomål.docx", "A 3677-2023")</f>
        <v/>
      </c>
      <c r="W117">
        <f>HYPERLINK("https://klasma.github.io/Logging_0760/klagomålsmail/A 3677-2023 FSC-klagomål mail.docx", "A 3677-2023")</f>
        <v/>
      </c>
      <c r="X117">
        <f>HYPERLINK("https://klasma.github.io/Logging_0760/tillsyn/A 3677-2023 tillsynsbegäran.docx", "A 3677-2023")</f>
        <v/>
      </c>
      <c r="Y117">
        <f>HYPERLINK("https://klasma.github.io/Logging_0760/tillsynsmail/A 3677-2023 tillsynsbegäran mail.docx", "A 3677-2023")</f>
        <v/>
      </c>
    </row>
    <row r="118" ht="15" customHeight="1">
      <c r="A118" t="inlineStr">
        <is>
          <t>A 46220-2025</t>
        </is>
      </c>
      <c r="B118" s="1" t="n">
        <v>45924.86820601852</v>
      </c>
      <c r="C118" s="1" t="n">
        <v>45957</v>
      </c>
      <c r="D118" t="inlineStr">
        <is>
          <t>KRONOBERGS LÄN</t>
        </is>
      </c>
      <c r="E118" t="inlineStr">
        <is>
          <t>LJUNGBY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Slåttergubbe</t>
        </is>
      </c>
      <c r="S118">
        <f>HYPERLINK("https://klasma.github.io/Logging_0781/artfynd/A 46220-2025 artfynd.xlsx", "A 46220-2025")</f>
        <v/>
      </c>
      <c r="T118">
        <f>HYPERLINK("https://klasma.github.io/Logging_0781/kartor/A 46220-2025 karta.png", "A 46220-2025")</f>
        <v/>
      </c>
      <c r="V118">
        <f>HYPERLINK("https://klasma.github.io/Logging_0781/klagomål/A 46220-2025 FSC-klagomål.docx", "A 46220-2025")</f>
        <v/>
      </c>
      <c r="W118">
        <f>HYPERLINK("https://klasma.github.io/Logging_0781/klagomålsmail/A 46220-2025 FSC-klagomål mail.docx", "A 46220-2025")</f>
        <v/>
      </c>
      <c r="X118">
        <f>HYPERLINK("https://klasma.github.io/Logging_0781/tillsyn/A 46220-2025 tillsynsbegäran.docx", "A 46220-2025")</f>
        <v/>
      </c>
      <c r="Y118">
        <f>HYPERLINK("https://klasma.github.io/Logging_0781/tillsynsmail/A 46220-2025 tillsynsbegäran mail.docx", "A 46220-2025")</f>
        <v/>
      </c>
    </row>
    <row r="119" ht="15" customHeight="1">
      <c r="A119" t="inlineStr">
        <is>
          <t>A 64284-2023</t>
        </is>
      </c>
      <c r="B119" s="1" t="n">
        <v>45280</v>
      </c>
      <c r="C119" s="1" t="n">
        <v>45957</v>
      </c>
      <c r="D119" t="inlineStr">
        <is>
          <t>KRONOBERGS LÄN</t>
        </is>
      </c>
      <c r="E119" t="inlineStr">
        <is>
          <t>VÄXJÖ</t>
        </is>
      </c>
      <c r="G119" t="n">
        <v>0.7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Tibast</t>
        </is>
      </c>
      <c r="S119">
        <f>HYPERLINK("https://klasma.github.io/Logging_0780/artfynd/A 64284-2023 artfynd.xlsx", "A 64284-2023")</f>
        <v/>
      </c>
      <c r="T119">
        <f>HYPERLINK("https://klasma.github.io/Logging_0780/kartor/A 64284-2023 karta.png", "A 64284-2023")</f>
        <v/>
      </c>
      <c r="V119">
        <f>HYPERLINK("https://klasma.github.io/Logging_0780/klagomål/A 64284-2023 FSC-klagomål.docx", "A 64284-2023")</f>
        <v/>
      </c>
      <c r="W119">
        <f>HYPERLINK("https://klasma.github.io/Logging_0780/klagomålsmail/A 64284-2023 FSC-klagomål mail.docx", "A 64284-2023")</f>
        <v/>
      </c>
      <c r="X119">
        <f>HYPERLINK("https://klasma.github.io/Logging_0780/tillsyn/A 64284-2023 tillsynsbegäran.docx", "A 64284-2023")</f>
        <v/>
      </c>
      <c r="Y119">
        <f>HYPERLINK("https://klasma.github.io/Logging_0780/tillsynsmail/A 64284-2023 tillsynsbegäran mail.docx", "A 64284-2023")</f>
        <v/>
      </c>
    </row>
    <row r="120" ht="15" customHeight="1">
      <c r="A120" t="inlineStr">
        <is>
          <t>A 58629-2021</t>
        </is>
      </c>
      <c r="B120" s="1" t="n">
        <v>44489</v>
      </c>
      <c r="C120" s="1" t="n">
        <v>45957</v>
      </c>
      <c r="D120" t="inlineStr">
        <is>
          <t>KRONOBERGS LÄN</t>
        </is>
      </c>
      <c r="E120" t="inlineStr">
        <is>
          <t>TINGSRYD</t>
        </is>
      </c>
      <c r="G120" t="n">
        <v>2.3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Kavelhirs</t>
        </is>
      </c>
      <c r="S120">
        <f>HYPERLINK("https://klasma.github.io/Logging_0763/artfynd/A 58629-2021 artfynd.xlsx", "A 58629-2021")</f>
        <v/>
      </c>
      <c r="T120">
        <f>HYPERLINK("https://klasma.github.io/Logging_0763/kartor/A 58629-2021 karta.png", "A 58629-2021")</f>
        <v/>
      </c>
      <c r="V120">
        <f>HYPERLINK("https://klasma.github.io/Logging_0763/klagomål/A 58629-2021 FSC-klagomål.docx", "A 58629-2021")</f>
        <v/>
      </c>
      <c r="W120">
        <f>HYPERLINK("https://klasma.github.io/Logging_0763/klagomålsmail/A 58629-2021 FSC-klagomål mail.docx", "A 58629-2021")</f>
        <v/>
      </c>
      <c r="X120">
        <f>HYPERLINK("https://klasma.github.io/Logging_0763/tillsyn/A 58629-2021 tillsynsbegäran.docx", "A 58629-2021")</f>
        <v/>
      </c>
      <c r="Y120">
        <f>HYPERLINK("https://klasma.github.io/Logging_0763/tillsynsmail/A 58629-2021 tillsynsbegäran mail.docx", "A 58629-2021")</f>
        <v/>
      </c>
    </row>
    <row r="121" ht="15" customHeight="1">
      <c r="A121" t="inlineStr">
        <is>
          <t>A 40911-2024</t>
        </is>
      </c>
      <c r="B121" s="1" t="n">
        <v>45558.62674768519</v>
      </c>
      <c r="C121" s="1" t="n">
        <v>45957</v>
      </c>
      <c r="D121" t="inlineStr">
        <is>
          <t>KRONOBERGS LÄN</t>
        </is>
      </c>
      <c r="E121" t="inlineStr">
        <is>
          <t>LJUNGBY</t>
        </is>
      </c>
      <c r="F121" t="inlineStr">
        <is>
          <t>Sveaskog</t>
        </is>
      </c>
      <c r="G121" t="n">
        <v>9.1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Revlummer</t>
        </is>
      </c>
      <c r="S121">
        <f>HYPERLINK("https://klasma.github.io/Logging_0781/artfynd/A 40911-2024 artfynd.xlsx", "A 40911-2024")</f>
        <v/>
      </c>
      <c r="T121">
        <f>HYPERLINK("https://klasma.github.io/Logging_0781/kartor/A 40911-2024 karta.png", "A 40911-2024")</f>
        <v/>
      </c>
      <c r="V121">
        <f>HYPERLINK("https://klasma.github.io/Logging_0781/klagomål/A 40911-2024 FSC-klagomål.docx", "A 40911-2024")</f>
        <v/>
      </c>
      <c r="W121">
        <f>HYPERLINK("https://klasma.github.io/Logging_0781/klagomålsmail/A 40911-2024 FSC-klagomål mail.docx", "A 40911-2024")</f>
        <v/>
      </c>
      <c r="X121">
        <f>HYPERLINK("https://klasma.github.io/Logging_0781/tillsyn/A 40911-2024 tillsynsbegäran.docx", "A 40911-2024")</f>
        <v/>
      </c>
      <c r="Y121">
        <f>HYPERLINK("https://klasma.github.io/Logging_0781/tillsynsmail/A 40911-2024 tillsynsbegäran mail.docx", "A 40911-2024")</f>
        <v/>
      </c>
    </row>
    <row r="122" ht="15" customHeight="1">
      <c r="A122" t="inlineStr">
        <is>
          <t>A 13497-2024</t>
        </is>
      </c>
      <c r="B122" s="1" t="n">
        <v>45387</v>
      </c>
      <c r="C122" s="1" t="n">
        <v>45957</v>
      </c>
      <c r="D122" t="inlineStr">
        <is>
          <t>KRONOBERGS LÄN</t>
        </is>
      </c>
      <c r="E122" t="inlineStr">
        <is>
          <t>TINGSRYD</t>
        </is>
      </c>
      <c r="G122" t="n">
        <v>3.2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HYPERLINK("https://klasma.github.io/Logging_0763/artfynd/A 13497-2024 artfynd.xlsx", "A 13497-2024")</f>
        <v/>
      </c>
      <c r="T122">
        <f>HYPERLINK("https://klasma.github.io/Logging_0763/kartor/A 13497-2024 karta.png", "A 13497-2024")</f>
        <v/>
      </c>
      <c r="U122">
        <f>HYPERLINK("https://klasma.github.io/Logging_0763/knärot/A 13497-2024 karta knärot.png", "A 13497-2024")</f>
        <v/>
      </c>
      <c r="V122">
        <f>HYPERLINK("https://klasma.github.io/Logging_0763/klagomål/A 13497-2024 FSC-klagomål.docx", "A 13497-2024")</f>
        <v/>
      </c>
      <c r="W122">
        <f>HYPERLINK("https://klasma.github.io/Logging_0763/klagomålsmail/A 13497-2024 FSC-klagomål mail.docx", "A 13497-2024")</f>
        <v/>
      </c>
      <c r="X122">
        <f>HYPERLINK("https://klasma.github.io/Logging_0763/tillsyn/A 13497-2024 tillsynsbegäran.docx", "A 13497-2024")</f>
        <v/>
      </c>
      <c r="Y122">
        <f>HYPERLINK("https://klasma.github.io/Logging_0763/tillsynsmail/A 13497-2024 tillsynsbegäran mail.docx", "A 13497-2024")</f>
        <v/>
      </c>
    </row>
    <row r="123" ht="15" customHeight="1">
      <c r="A123" t="inlineStr">
        <is>
          <t>A 35200-2021</t>
        </is>
      </c>
      <c r="B123" s="1" t="n">
        <v>44384</v>
      </c>
      <c r="C123" s="1" t="n">
        <v>45957</v>
      </c>
      <c r="D123" t="inlineStr">
        <is>
          <t>KRONOBERGS LÄN</t>
        </is>
      </c>
      <c r="E123" t="inlineStr">
        <is>
          <t>UPPVIDINGE</t>
        </is>
      </c>
      <c r="G123" t="n">
        <v>5.5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Vanlig flatbagge</t>
        </is>
      </c>
      <c r="S123">
        <f>HYPERLINK("https://klasma.github.io/Logging_0760/artfynd/A 35200-2021 artfynd.xlsx", "A 35200-2021")</f>
        <v/>
      </c>
      <c r="T123">
        <f>HYPERLINK("https://klasma.github.io/Logging_0760/kartor/A 35200-2021 karta.png", "A 35200-2021")</f>
        <v/>
      </c>
      <c r="V123">
        <f>HYPERLINK("https://klasma.github.io/Logging_0760/klagomål/A 35200-2021 FSC-klagomål.docx", "A 35200-2021")</f>
        <v/>
      </c>
      <c r="W123">
        <f>HYPERLINK("https://klasma.github.io/Logging_0760/klagomålsmail/A 35200-2021 FSC-klagomål mail.docx", "A 35200-2021")</f>
        <v/>
      </c>
      <c r="X123">
        <f>HYPERLINK("https://klasma.github.io/Logging_0760/tillsyn/A 35200-2021 tillsynsbegäran.docx", "A 35200-2021")</f>
        <v/>
      </c>
      <c r="Y123">
        <f>HYPERLINK("https://klasma.github.io/Logging_0760/tillsynsmail/A 35200-2021 tillsynsbegäran mail.docx", "A 35200-2021")</f>
        <v/>
      </c>
    </row>
    <row r="124" ht="15" customHeight="1">
      <c r="A124" t="inlineStr">
        <is>
          <t>A 1811-2025</t>
        </is>
      </c>
      <c r="B124" s="1" t="n">
        <v>45670</v>
      </c>
      <c r="C124" s="1" t="n">
        <v>45957</v>
      </c>
      <c r="D124" t="inlineStr">
        <is>
          <t>KRONOBERGS LÄN</t>
        </is>
      </c>
      <c r="E124" t="inlineStr">
        <is>
          <t>ALVESTA</t>
        </is>
      </c>
      <c r="F124" t="inlineStr">
        <is>
          <t>Kyrkan</t>
        </is>
      </c>
      <c r="G124" t="n">
        <v>2.3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Spillkråka</t>
        </is>
      </c>
      <c r="S124">
        <f>HYPERLINK("https://klasma.github.io/Logging_0764/artfynd/A 1811-2025 artfynd.xlsx", "A 1811-2025")</f>
        <v/>
      </c>
      <c r="T124">
        <f>HYPERLINK("https://klasma.github.io/Logging_0764/kartor/A 1811-2025 karta.png", "A 1811-2025")</f>
        <v/>
      </c>
      <c r="V124">
        <f>HYPERLINK("https://klasma.github.io/Logging_0764/klagomål/A 1811-2025 FSC-klagomål.docx", "A 1811-2025")</f>
        <v/>
      </c>
      <c r="W124">
        <f>HYPERLINK("https://klasma.github.io/Logging_0764/klagomålsmail/A 1811-2025 FSC-klagomål mail.docx", "A 1811-2025")</f>
        <v/>
      </c>
      <c r="X124">
        <f>HYPERLINK("https://klasma.github.io/Logging_0764/tillsyn/A 1811-2025 tillsynsbegäran.docx", "A 1811-2025")</f>
        <v/>
      </c>
      <c r="Y124">
        <f>HYPERLINK("https://klasma.github.io/Logging_0764/tillsynsmail/A 1811-2025 tillsynsbegäran mail.docx", "A 1811-2025")</f>
        <v/>
      </c>
      <c r="Z124">
        <f>HYPERLINK("https://klasma.github.io/Logging_0764/fåglar/A 1811-2025 prioriterade fågelarter.docx", "A 1811-2025")</f>
        <v/>
      </c>
    </row>
    <row r="125" ht="15" customHeight="1">
      <c r="A125" t="inlineStr">
        <is>
          <t>A 66166-2020</t>
        </is>
      </c>
      <c r="B125" s="1" t="n">
        <v>44175</v>
      </c>
      <c r="C125" s="1" t="n">
        <v>45957</v>
      </c>
      <c r="D125" t="inlineStr">
        <is>
          <t>KRONOBERGS LÄN</t>
        </is>
      </c>
      <c r="E125" t="inlineStr">
        <is>
          <t>ALVESTA</t>
        </is>
      </c>
      <c r="G125" t="n">
        <v>3.9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Västlig hakmossa</t>
        </is>
      </c>
      <c r="S125">
        <f>HYPERLINK("https://klasma.github.io/Logging_0764/artfynd/A 66166-2020 artfynd.xlsx", "A 66166-2020")</f>
        <v/>
      </c>
      <c r="T125">
        <f>HYPERLINK("https://klasma.github.io/Logging_0764/kartor/A 66166-2020 karta.png", "A 66166-2020")</f>
        <v/>
      </c>
      <c r="V125">
        <f>HYPERLINK("https://klasma.github.io/Logging_0764/klagomål/A 66166-2020 FSC-klagomål.docx", "A 66166-2020")</f>
        <v/>
      </c>
      <c r="W125">
        <f>HYPERLINK("https://klasma.github.io/Logging_0764/klagomålsmail/A 66166-2020 FSC-klagomål mail.docx", "A 66166-2020")</f>
        <v/>
      </c>
      <c r="X125">
        <f>HYPERLINK("https://klasma.github.io/Logging_0764/tillsyn/A 66166-2020 tillsynsbegäran.docx", "A 66166-2020")</f>
        <v/>
      </c>
      <c r="Y125">
        <f>HYPERLINK("https://klasma.github.io/Logging_0764/tillsynsmail/A 66166-2020 tillsynsbegäran mail.docx", "A 66166-2020")</f>
        <v/>
      </c>
    </row>
    <row r="126" ht="15" customHeight="1">
      <c r="A126" t="inlineStr">
        <is>
          <t>A 11270-2023</t>
        </is>
      </c>
      <c r="B126" s="1" t="n">
        <v>44992.68729166667</v>
      </c>
      <c r="C126" s="1" t="n">
        <v>45957</v>
      </c>
      <c r="D126" t="inlineStr">
        <is>
          <t>KRONOBERGS LÄN</t>
        </is>
      </c>
      <c r="E126" t="inlineStr">
        <is>
          <t>TINGSRYD</t>
        </is>
      </c>
      <c r="G126" t="n">
        <v>1.5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Brunag</t>
        </is>
      </c>
      <c r="S126">
        <f>HYPERLINK("https://klasma.github.io/Logging_0763/artfynd/A 11270-2023 artfynd.xlsx", "A 11270-2023")</f>
        <v/>
      </c>
      <c r="T126">
        <f>HYPERLINK("https://klasma.github.io/Logging_0763/kartor/A 11270-2023 karta.png", "A 11270-2023")</f>
        <v/>
      </c>
      <c r="V126">
        <f>HYPERLINK("https://klasma.github.io/Logging_0763/klagomål/A 11270-2023 FSC-klagomål.docx", "A 11270-2023")</f>
        <v/>
      </c>
      <c r="W126">
        <f>HYPERLINK("https://klasma.github.io/Logging_0763/klagomålsmail/A 11270-2023 FSC-klagomål mail.docx", "A 11270-2023")</f>
        <v/>
      </c>
      <c r="X126">
        <f>HYPERLINK("https://klasma.github.io/Logging_0763/tillsyn/A 11270-2023 tillsynsbegäran.docx", "A 11270-2023")</f>
        <v/>
      </c>
      <c r="Y126">
        <f>HYPERLINK("https://klasma.github.io/Logging_0763/tillsynsmail/A 11270-2023 tillsynsbegäran mail.docx", "A 11270-2023")</f>
        <v/>
      </c>
    </row>
    <row r="127" ht="15" customHeight="1">
      <c r="A127" t="inlineStr">
        <is>
          <t>A 35815-2021</t>
        </is>
      </c>
      <c r="B127" s="1" t="n">
        <v>44386</v>
      </c>
      <c r="C127" s="1" t="n">
        <v>45957</v>
      </c>
      <c r="D127" t="inlineStr">
        <is>
          <t>KRONOBERGS LÄN</t>
        </is>
      </c>
      <c r="E127" t="inlineStr">
        <is>
          <t>VÄXJÖ</t>
        </is>
      </c>
      <c r="G127" t="n">
        <v>2.7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Svinrot</t>
        </is>
      </c>
      <c r="S127">
        <f>HYPERLINK("https://klasma.github.io/Logging_0780/artfynd/A 35815-2021 artfynd.xlsx", "A 35815-2021")</f>
        <v/>
      </c>
      <c r="T127">
        <f>HYPERLINK("https://klasma.github.io/Logging_0780/kartor/A 35815-2021 karta.png", "A 35815-2021")</f>
        <v/>
      </c>
      <c r="V127">
        <f>HYPERLINK("https://klasma.github.io/Logging_0780/klagomål/A 35815-2021 FSC-klagomål.docx", "A 35815-2021")</f>
        <v/>
      </c>
      <c r="W127">
        <f>HYPERLINK("https://klasma.github.io/Logging_0780/klagomålsmail/A 35815-2021 FSC-klagomål mail.docx", "A 35815-2021")</f>
        <v/>
      </c>
      <c r="X127">
        <f>HYPERLINK("https://klasma.github.io/Logging_0780/tillsyn/A 35815-2021 tillsynsbegäran.docx", "A 35815-2021")</f>
        <v/>
      </c>
      <c r="Y127">
        <f>HYPERLINK("https://klasma.github.io/Logging_0780/tillsynsmail/A 35815-2021 tillsynsbegäran mail.docx", "A 35815-2021")</f>
        <v/>
      </c>
    </row>
    <row r="128" ht="15" customHeight="1">
      <c r="A128" t="inlineStr">
        <is>
          <t>A 9911-2023</t>
        </is>
      </c>
      <c r="B128" s="1" t="n">
        <v>44985</v>
      </c>
      <c r="C128" s="1" t="n">
        <v>45957</v>
      </c>
      <c r="D128" t="inlineStr">
        <is>
          <t>KRONOBERGS LÄN</t>
        </is>
      </c>
      <c r="E128" t="inlineStr">
        <is>
          <t>LJUNGBY</t>
        </is>
      </c>
      <c r="G128" t="n">
        <v>1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Spindelblomster</t>
        </is>
      </c>
      <c r="S128">
        <f>HYPERLINK("https://klasma.github.io/Logging_0781/artfynd/A 9911-2023 artfynd.xlsx", "A 9911-2023")</f>
        <v/>
      </c>
      <c r="T128">
        <f>HYPERLINK("https://klasma.github.io/Logging_0781/kartor/A 9911-2023 karta.png", "A 9911-2023")</f>
        <v/>
      </c>
      <c r="V128">
        <f>HYPERLINK("https://klasma.github.io/Logging_0781/klagomål/A 9911-2023 FSC-klagomål.docx", "A 9911-2023")</f>
        <v/>
      </c>
      <c r="W128">
        <f>HYPERLINK("https://klasma.github.io/Logging_0781/klagomålsmail/A 9911-2023 FSC-klagomål mail.docx", "A 9911-2023")</f>
        <v/>
      </c>
      <c r="X128">
        <f>HYPERLINK("https://klasma.github.io/Logging_0781/tillsyn/A 9911-2023 tillsynsbegäran.docx", "A 9911-2023")</f>
        <v/>
      </c>
      <c r="Y128">
        <f>HYPERLINK("https://klasma.github.io/Logging_0781/tillsynsmail/A 9911-2023 tillsynsbegäran mail.docx", "A 9911-2023")</f>
        <v/>
      </c>
    </row>
    <row r="129" ht="15" customHeight="1">
      <c r="A129" t="inlineStr">
        <is>
          <t>A 73118-2021</t>
        </is>
      </c>
      <c r="B129" s="1" t="n">
        <v>44550</v>
      </c>
      <c r="C129" s="1" t="n">
        <v>45957</v>
      </c>
      <c r="D129" t="inlineStr">
        <is>
          <t>KRONOBERGS LÄN</t>
        </is>
      </c>
      <c r="E129" t="inlineStr">
        <is>
          <t>UPPVIDINGE</t>
        </is>
      </c>
      <c r="G129" t="n">
        <v>1.3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Mattlummer</t>
        </is>
      </c>
      <c r="S129">
        <f>HYPERLINK("https://klasma.github.io/Logging_0760/artfynd/A 73118-2021 artfynd.xlsx", "A 73118-2021")</f>
        <v/>
      </c>
      <c r="T129">
        <f>HYPERLINK("https://klasma.github.io/Logging_0760/kartor/A 73118-2021 karta.png", "A 73118-2021")</f>
        <v/>
      </c>
      <c r="V129">
        <f>HYPERLINK("https://klasma.github.io/Logging_0760/klagomål/A 73118-2021 FSC-klagomål.docx", "A 73118-2021")</f>
        <v/>
      </c>
      <c r="W129">
        <f>HYPERLINK("https://klasma.github.io/Logging_0760/klagomålsmail/A 73118-2021 FSC-klagomål mail.docx", "A 73118-2021")</f>
        <v/>
      </c>
      <c r="X129">
        <f>HYPERLINK("https://klasma.github.io/Logging_0760/tillsyn/A 73118-2021 tillsynsbegäran.docx", "A 73118-2021")</f>
        <v/>
      </c>
      <c r="Y129">
        <f>HYPERLINK("https://klasma.github.io/Logging_0760/tillsynsmail/A 73118-2021 tillsynsbegäran mail.docx", "A 73118-2021")</f>
        <v/>
      </c>
    </row>
    <row r="130" ht="15" customHeight="1">
      <c r="A130" t="inlineStr">
        <is>
          <t>A 63249-2023</t>
        </is>
      </c>
      <c r="B130" s="1" t="n">
        <v>45273</v>
      </c>
      <c r="C130" s="1" t="n">
        <v>45957</v>
      </c>
      <c r="D130" t="inlineStr">
        <is>
          <t>KRONOBERGS LÄN</t>
        </is>
      </c>
      <c r="E130" t="inlineStr">
        <is>
          <t>VÄXJÖ</t>
        </is>
      </c>
      <c r="G130" t="n">
        <v>1.1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Gropticka</t>
        </is>
      </c>
      <c r="S130">
        <f>HYPERLINK("https://klasma.github.io/Logging_0780/artfynd/A 63249-2023 artfynd.xlsx", "A 63249-2023")</f>
        <v/>
      </c>
      <c r="T130">
        <f>HYPERLINK("https://klasma.github.io/Logging_0780/kartor/A 63249-2023 karta.png", "A 63249-2023")</f>
        <v/>
      </c>
      <c r="V130">
        <f>HYPERLINK("https://klasma.github.io/Logging_0780/klagomål/A 63249-2023 FSC-klagomål.docx", "A 63249-2023")</f>
        <v/>
      </c>
      <c r="W130">
        <f>HYPERLINK("https://klasma.github.io/Logging_0780/klagomålsmail/A 63249-2023 FSC-klagomål mail.docx", "A 63249-2023")</f>
        <v/>
      </c>
      <c r="X130">
        <f>HYPERLINK("https://klasma.github.io/Logging_0780/tillsyn/A 63249-2023 tillsynsbegäran.docx", "A 63249-2023")</f>
        <v/>
      </c>
      <c r="Y130">
        <f>HYPERLINK("https://klasma.github.io/Logging_0780/tillsynsmail/A 63249-2023 tillsynsbegäran mail.docx", "A 63249-2023")</f>
        <v/>
      </c>
    </row>
    <row r="131" ht="15" customHeight="1">
      <c r="A131" t="inlineStr">
        <is>
          <t>A 28041-2024</t>
        </is>
      </c>
      <c r="B131" s="1" t="n">
        <v>45476.50744212963</v>
      </c>
      <c r="C131" s="1" t="n">
        <v>45957</v>
      </c>
      <c r="D131" t="inlineStr">
        <is>
          <t>KRONOBERGS LÄN</t>
        </is>
      </c>
      <c r="E131" t="inlineStr">
        <is>
          <t>LJUNGBY</t>
        </is>
      </c>
      <c r="G131" t="n">
        <v>0.8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Mattlummer</t>
        </is>
      </c>
      <c r="S131">
        <f>HYPERLINK("https://klasma.github.io/Logging_0781/artfynd/A 28041-2024 artfynd.xlsx", "A 28041-2024")</f>
        <v/>
      </c>
      <c r="T131">
        <f>HYPERLINK("https://klasma.github.io/Logging_0781/kartor/A 28041-2024 karta.png", "A 28041-2024")</f>
        <v/>
      </c>
      <c r="V131">
        <f>HYPERLINK("https://klasma.github.io/Logging_0781/klagomål/A 28041-2024 FSC-klagomål.docx", "A 28041-2024")</f>
        <v/>
      </c>
      <c r="W131">
        <f>HYPERLINK("https://klasma.github.io/Logging_0781/klagomålsmail/A 28041-2024 FSC-klagomål mail.docx", "A 28041-2024")</f>
        <v/>
      </c>
      <c r="X131">
        <f>HYPERLINK("https://klasma.github.io/Logging_0781/tillsyn/A 28041-2024 tillsynsbegäran.docx", "A 28041-2024")</f>
        <v/>
      </c>
      <c r="Y131">
        <f>HYPERLINK("https://klasma.github.io/Logging_0781/tillsynsmail/A 28041-2024 tillsynsbegäran mail.docx", "A 28041-2024")</f>
        <v/>
      </c>
    </row>
    <row r="132" ht="15" customHeight="1">
      <c r="A132" t="inlineStr">
        <is>
          <t>A 38523-2024</t>
        </is>
      </c>
      <c r="B132" s="1" t="n">
        <v>45546.56554398148</v>
      </c>
      <c r="C132" s="1" t="n">
        <v>45957</v>
      </c>
      <c r="D132" t="inlineStr">
        <is>
          <t>KRONOBERGS LÄN</t>
        </is>
      </c>
      <c r="E132" t="inlineStr">
        <is>
          <t>TINGSRYD</t>
        </is>
      </c>
      <c r="G132" t="n">
        <v>1.1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Mattlummer</t>
        </is>
      </c>
      <c r="S132">
        <f>HYPERLINK("https://klasma.github.io/Logging_0763/artfynd/A 38523-2024 artfynd.xlsx", "A 38523-2024")</f>
        <v/>
      </c>
      <c r="T132">
        <f>HYPERLINK("https://klasma.github.io/Logging_0763/kartor/A 38523-2024 karta.png", "A 38523-2024")</f>
        <v/>
      </c>
      <c r="V132">
        <f>HYPERLINK("https://klasma.github.io/Logging_0763/klagomål/A 38523-2024 FSC-klagomål.docx", "A 38523-2024")</f>
        <v/>
      </c>
      <c r="W132">
        <f>HYPERLINK("https://klasma.github.io/Logging_0763/klagomålsmail/A 38523-2024 FSC-klagomål mail.docx", "A 38523-2024")</f>
        <v/>
      </c>
      <c r="X132">
        <f>HYPERLINK("https://klasma.github.io/Logging_0763/tillsyn/A 38523-2024 tillsynsbegäran.docx", "A 38523-2024")</f>
        <v/>
      </c>
      <c r="Y132">
        <f>HYPERLINK("https://klasma.github.io/Logging_0763/tillsynsmail/A 38523-2024 tillsynsbegäran mail.docx", "A 38523-2024")</f>
        <v/>
      </c>
    </row>
    <row r="133" ht="15" customHeight="1">
      <c r="A133" t="inlineStr">
        <is>
          <t>A 58048-2024</t>
        </is>
      </c>
      <c r="B133" s="1" t="n">
        <v>45631.8084375</v>
      </c>
      <c r="C133" s="1" t="n">
        <v>45957</v>
      </c>
      <c r="D133" t="inlineStr">
        <is>
          <t>KRONOBERGS LÄN</t>
        </is>
      </c>
      <c r="E133" t="inlineStr">
        <is>
          <t>ÄLMHULT</t>
        </is>
      </c>
      <c r="G133" t="n">
        <v>1.9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Solvända</t>
        </is>
      </c>
      <c r="S133">
        <f>HYPERLINK("https://klasma.github.io/Logging_0765/artfynd/A 58048-2024 artfynd.xlsx", "A 58048-2024")</f>
        <v/>
      </c>
      <c r="T133">
        <f>HYPERLINK("https://klasma.github.io/Logging_0765/kartor/A 58048-2024 karta.png", "A 58048-2024")</f>
        <v/>
      </c>
      <c r="V133">
        <f>HYPERLINK("https://klasma.github.io/Logging_0765/klagomål/A 58048-2024 FSC-klagomål.docx", "A 58048-2024")</f>
        <v/>
      </c>
      <c r="W133">
        <f>HYPERLINK("https://klasma.github.io/Logging_0765/klagomålsmail/A 58048-2024 FSC-klagomål mail.docx", "A 58048-2024")</f>
        <v/>
      </c>
      <c r="X133">
        <f>HYPERLINK("https://klasma.github.io/Logging_0765/tillsyn/A 58048-2024 tillsynsbegäran.docx", "A 58048-2024")</f>
        <v/>
      </c>
      <c r="Y133">
        <f>HYPERLINK("https://klasma.github.io/Logging_0765/tillsynsmail/A 58048-2024 tillsynsbegäran mail.docx", "A 58048-2024")</f>
        <v/>
      </c>
    </row>
    <row r="134" ht="15" customHeight="1">
      <c r="A134" t="inlineStr">
        <is>
          <t>A 44406-2024</t>
        </is>
      </c>
      <c r="B134" s="1" t="n">
        <v>45573.72543981481</v>
      </c>
      <c r="C134" s="1" t="n">
        <v>45957</v>
      </c>
      <c r="D134" t="inlineStr">
        <is>
          <t>KRONOBERGS LÄN</t>
        </is>
      </c>
      <c r="E134" t="inlineStr">
        <is>
          <t>ALVESTA</t>
        </is>
      </c>
      <c r="G134" t="n">
        <v>1.1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Brandticka</t>
        </is>
      </c>
      <c r="S134">
        <f>HYPERLINK("https://klasma.github.io/Logging_0764/artfynd/A 44406-2024 artfynd.xlsx", "A 44406-2024")</f>
        <v/>
      </c>
      <c r="T134">
        <f>HYPERLINK("https://klasma.github.io/Logging_0764/kartor/A 44406-2024 karta.png", "A 44406-2024")</f>
        <v/>
      </c>
      <c r="V134">
        <f>HYPERLINK("https://klasma.github.io/Logging_0764/klagomål/A 44406-2024 FSC-klagomål.docx", "A 44406-2024")</f>
        <v/>
      </c>
      <c r="W134">
        <f>HYPERLINK("https://klasma.github.io/Logging_0764/klagomålsmail/A 44406-2024 FSC-klagomål mail.docx", "A 44406-2024")</f>
        <v/>
      </c>
      <c r="X134">
        <f>HYPERLINK("https://klasma.github.io/Logging_0764/tillsyn/A 44406-2024 tillsynsbegäran.docx", "A 44406-2024")</f>
        <v/>
      </c>
      <c r="Y134">
        <f>HYPERLINK("https://klasma.github.io/Logging_0764/tillsynsmail/A 44406-2024 tillsynsbegäran mail.docx", "A 44406-2024")</f>
        <v/>
      </c>
    </row>
    <row r="135" ht="15" customHeight="1">
      <c r="A135" t="inlineStr">
        <is>
          <t>A 51647-2024</t>
        </is>
      </c>
      <c r="B135" s="1" t="n">
        <v>45606.38186342592</v>
      </c>
      <c r="C135" s="1" t="n">
        <v>45957</v>
      </c>
      <c r="D135" t="inlineStr">
        <is>
          <t>KRONOBERGS LÄN</t>
        </is>
      </c>
      <c r="E135" t="inlineStr">
        <is>
          <t>VÄXJÖ</t>
        </is>
      </c>
      <c r="G135" t="n">
        <v>0.9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Granspira</t>
        </is>
      </c>
      <c r="S135">
        <f>HYPERLINK("https://klasma.github.io/Logging_0780/artfynd/A 51647-2024 artfynd.xlsx", "A 51647-2024")</f>
        <v/>
      </c>
      <c r="T135">
        <f>HYPERLINK("https://klasma.github.io/Logging_0780/kartor/A 51647-2024 karta.png", "A 51647-2024")</f>
        <v/>
      </c>
      <c r="V135">
        <f>HYPERLINK("https://klasma.github.io/Logging_0780/klagomål/A 51647-2024 FSC-klagomål.docx", "A 51647-2024")</f>
        <v/>
      </c>
      <c r="W135">
        <f>HYPERLINK("https://klasma.github.io/Logging_0780/klagomålsmail/A 51647-2024 FSC-klagomål mail.docx", "A 51647-2024")</f>
        <v/>
      </c>
      <c r="X135">
        <f>HYPERLINK("https://klasma.github.io/Logging_0780/tillsyn/A 51647-2024 tillsynsbegäran.docx", "A 51647-2024")</f>
        <v/>
      </c>
      <c r="Y135">
        <f>HYPERLINK("https://klasma.github.io/Logging_0780/tillsynsmail/A 51647-2024 tillsynsbegäran mail.docx", "A 51647-2024")</f>
        <v/>
      </c>
    </row>
    <row r="136" ht="15" customHeight="1">
      <c r="A136" t="inlineStr">
        <is>
          <t>A 34935-2024</t>
        </is>
      </c>
      <c r="B136" s="1" t="n">
        <v>45527.45695601852</v>
      </c>
      <c r="C136" s="1" t="n">
        <v>45957</v>
      </c>
      <c r="D136" t="inlineStr">
        <is>
          <t>KRONOBERGS LÄN</t>
        </is>
      </c>
      <c r="E136" t="inlineStr">
        <is>
          <t>LJUNGBY</t>
        </is>
      </c>
      <c r="G136" t="n">
        <v>0.9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Hårginst</t>
        </is>
      </c>
      <c r="S136">
        <f>HYPERLINK("https://klasma.github.io/Logging_0781/artfynd/A 34935-2024 artfynd.xlsx", "A 34935-2024")</f>
        <v/>
      </c>
      <c r="T136">
        <f>HYPERLINK("https://klasma.github.io/Logging_0781/kartor/A 34935-2024 karta.png", "A 34935-2024")</f>
        <v/>
      </c>
      <c r="V136">
        <f>HYPERLINK("https://klasma.github.io/Logging_0781/klagomål/A 34935-2024 FSC-klagomål.docx", "A 34935-2024")</f>
        <v/>
      </c>
      <c r="W136">
        <f>HYPERLINK("https://klasma.github.io/Logging_0781/klagomålsmail/A 34935-2024 FSC-klagomål mail.docx", "A 34935-2024")</f>
        <v/>
      </c>
      <c r="X136">
        <f>HYPERLINK("https://klasma.github.io/Logging_0781/tillsyn/A 34935-2024 tillsynsbegäran.docx", "A 34935-2024")</f>
        <v/>
      </c>
      <c r="Y136">
        <f>HYPERLINK("https://klasma.github.io/Logging_0781/tillsynsmail/A 34935-2024 tillsynsbegäran mail.docx", "A 34935-2024")</f>
        <v/>
      </c>
    </row>
    <row r="137" ht="15" customHeight="1">
      <c r="A137" t="inlineStr">
        <is>
          <t>A 43196-2023</t>
        </is>
      </c>
      <c r="B137" s="1" t="n">
        <v>45183</v>
      </c>
      <c r="C137" s="1" t="n">
        <v>45957</v>
      </c>
      <c r="D137" t="inlineStr">
        <is>
          <t>KRONOBERGS LÄN</t>
        </is>
      </c>
      <c r="E137" t="inlineStr">
        <is>
          <t>ÄLMHULT</t>
        </is>
      </c>
      <c r="G137" t="n">
        <v>2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Vedtrappmossa</t>
        </is>
      </c>
      <c r="S137">
        <f>HYPERLINK("https://klasma.github.io/Logging_0765/artfynd/A 43196-2023 artfynd.xlsx", "A 43196-2023")</f>
        <v/>
      </c>
      <c r="T137">
        <f>HYPERLINK("https://klasma.github.io/Logging_0765/kartor/A 43196-2023 karta.png", "A 43196-2023")</f>
        <v/>
      </c>
      <c r="V137">
        <f>HYPERLINK("https://klasma.github.io/Logging_0765/klagomål/A 43196-2023 FSC-klagomål.docx", "A 43196-2023")</f>
        <v/>
      </c>
      <c r="W137">
        <f>HYPERLINK("https://klasma.github.io/Logging_0765/klagomålsmail/A 43196-2023 FSC-klagomål mail.docx", "A 43196-2023")</f>
        <v/>
      </c>
      <c r="X137">
        <f>HYPERLINK("https://klasma.github.io/Logging_0765/tillsyn/A 43196-2023 tillsynsbegäran.docx", "A 43196-2023")</f>
        <v/>
      </c>
      <c r="Y137">
        <f>HYPERLINK("https://klasma.github.io/Logging_0765/tillsynsmail/A 43196-2023 tillsynsbegäran mail.docx", "A 43196-2023")</f>
        <v/>
      </c>
    </row>
    <row r="138" ht="15" customHeight="1">
      <c r="A138" t="inlineStr">
        <is>
          <t>A 205-2023</t>
        </is>
      </c>
      <c r="B138" s="1" t="n">
        <v>44928</v>
      </c>
      <c r="C138" s="1" t="n">
        <v>45957</v>
      </c>
      <c r="D138" t="inlineStr">
        <is>
          <t>KRONOBERGS LÄN</t>
        </is>
      </c>
      <c r="E138" t="inlineStr">
        <is>
          <t>LJUNGBY</t>
        </is>
      </c>
      <c r="G138" t="n">
        <v>1.9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Borsttåg</t>
        </is>
      </c>
      <c r="S138">
        <f>HYPERLINK("https://klasma.github.io/Logging_0781/artfynd/A 205-2023 artfynd.xlsx", "A 205-2023")</f>
        <v/>
      </c>
      <c r="T138">
        <f>HYPERLINK("https://klasma.github.io/Logging_0781/kartor/A 205-2023 karta.png", "A 205-2023")</f>
        <v/>
      </c>
      <c r="V138">
        <f>HYPERLINK("https://klasma.github.io/Logging_0781/klagomål/A 205-2023 FSC-klagomål.docx", "A 205-2023")</f>
        <v/>
      </c>
      <c r="W138">
        <f>HYPERLINK("https://klasma.github.io/Logging_0781/klagomålsmail/A 205-2023 FSC-klagomål mail.docx", "A 205-2023")</f>
        <v/>
      </c>
      <c r="X138">
        <f>HYPERLINK("https://klasma.github.io/Logging_0781/tillsyn/A 205-2023 tillsynsbegäran.docx", "A 205-2023")</f>
        <v/>
      </c>
      <c r="Y138">
        <f>HYPERLINK("https://klasma.github.io/Logging_0781/tillsynsmail/A 205-2023 tillsynsbegäran mail.docx", "A 205-2023")</f>
        <v/>
      </c>
    </row>
    <row r="139" ht="15" customHeight="1">
      <c r="A139" t="inlineStr">
        <is>
          <t>A 13604-2025</t>
        </is>
      </c>
      <c r="B139" s="1" t="n">
        <v>45736</v>
      </c>
      <c r="C139" s="1" t="n">
        <v>45957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Barkticka</t>
        </is>
      </c>
      <c r="S139">
        <f>HYPERLINK("https://klasma.github.io/Logging_0763/artfynd/A 13604-2025 artfynd.xlsx", "A 13604-2025")</f>
        <v/>
      </c>
      <c r="T139">
        <f>HYPERLINK("https://klasma.github.io/Logging_0763/kartor/A 13604-2025 karta.png", "A 13604-2025")</f>
        <v/>
      </c>
      <c r="V139">
        <f>HYPERLINK("https://klasma.github.io/Logging_0763/klagomål/A 13604-2025 FSC-klagomål.docx", "A 13604-2025")</f>
        <v/>
      </c>
      <c r="W139">
        <f>HYPERLINK("https://klasma.github.io/Logging_0763/klagomålsmail/A 13604-2025 FSC-klagomål mail.docx", "A 13604-2025")</f>
        <v/>
      </c>
      <c r="X139">
        <f>HYPERLINK("https://klasma.github.io/Logging_0763/tillsyn/A 13604-2025 tillsynsbegäran.docx", "A 13604-2025")</f>
        <v/>
      </c>
      <c r="Y139">
        <f>HYPERLINK("https://klasma.github.io/Logging_0763/tillsynsmail/A 13604-2025 tillsynsbegäran mail.docx", "A 13604-2025")</f>
        <v/>
      </c>
    </row>
    <row r="140" ht="15" customHeight="1">
      <c r="A140" t="inlineStr">
        <is>
          <t>A 40560-2024</t>
        </is>
      </c>
      <c r="B140" s="1" t="n">
        <v>45555.65903935185</v>
      </c>
      <c r="C140" s="1" t="n">
        <v>45957</v>
      </c>
      <c r="D140" t="inlineStr">
        <is>
          <t>KRONOBERGS LÄN</t>
        </is>
      </c>
      <c r="E140" t="inlineStr">
        <is>
          <t>LJUNGBY</t>
        </is>
      </c>
      <c r="G140" t="n">
        <v>3.4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Talltita</t>
        </is>
      </c>
      <c r="S140">
        <f>HYPERLINK("https://klasma.github.io/Logging_0781/artfynd/A 40560-2024 artfynd.xlsx", "A 40560-2024")</f>
        <v/>
      </c>
      <c r="T140">
        <f>HYPERLINK("https://klasma.github.io/Logging_0781/kartor/A 40560-2024 karta.png", "A 40560-2024")</f>
        <v/>
      </c>
      <c r="V140">
        <f>HYPERLINK("https://klasma.github.io/Logging_0781/klagomål/A 40560-2024 FSC-klagomål.docx", "A 40560-2024")</f>
        <v/>
      </c>
      <c r="W140">
        <f>HYPERLINK("https://klasma.github.io/Logging_0781/klagomålsmail/A 40560-2024 FSC-klagomål mail.docx", "A 40560-2024")</f>
        <v/>
      </c>
      <c r="X140">
        <f>HYPERLINK("https://klasma.github.io/Logging_0781/tillsyn/A 40560-2024 tillsynsbegäran.docx", "A 40560-2024")</f>
        <v/>
      </c>
      <c r="Y140">
        <f>HYPERLINK("https://klasma.github.io/Logging_0781/tillsynsmail/A 40560-2024 tillsynsbegäran mail.docx", "A 40560-2024")</f>
        <v/>
      </c>
      <c r="Z140">
        <f>HYPERLINK("https://klasma.github.io/Logging_0781/fåglar/A 40560-2024 prioriterade fågelarter.docx", "A 40560-2024")</f>
        <v/>
      </c>
    </row>
    <row r="141" ht="15" customHeight="1">
      <c r="A141" t="inlineStr">
        <is>
          <t>A 16882-2022</t>
        </is>
      </c>
      <c r="B141" s="1" t="n">
        <v>44676</v>
      </c>
      <c r="C141" s="1" t="n">
        <v>45957</v>
      </c>
      <c r="D141" t="inlineStr">
        <is>
          <t>KRONOBERGS LÄN</t>
        </is>
      </c>
      <c r="E141" t="inlineStr">
        <is>
          <t>UPPVIDINGE</t>
        </is>
      </c>
      <c r="G141" t="n">
        <v>13.5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Sommarfibbla</t>
        </is>
      </c>
      <c r="S141">
        <f>HYPERLINK("https://klasma.github.io/Logging_0760/artfynd/A 16882-2022 artfynd.xlsx", "A 16882-2022")</f>
        <v/>
      </c>
      <c r="T141">
        <f>HYPERLINK("https://klasma.github.io/Logging_0760/kartor/A 16882-2022 karta.png", "A 16882-2022")</f>
        <v/>
      </c>
      <c r="V141">
        <f>HYPERLINK("https://klasma.github.io/Logging_0760/klagomål/A 16882-2022 FSC-klagomål.docx", "A 16882-2022")</f>
        <v/>
      </c>
      <c r="W141">
        <f>HYPERLINK("https://klasma.github.io/Logging_0760/klagomålsmail/A 16882-2022 FSC-klagomål mail.docx", "A 16882-2022")</f>
        <v/>
      </c>
      <c r="X141">
        <f>HYPERLINK("https://klasma.github.io/Logging_0760/tillsyn/A 16882-2022 tillsynsbegäran.docx", "A 16882-2022")</f>
        <v/>
      </c>
      <c r="Y141">
        <f>HYPERLINK("https://klasma.github.io/Logging_0760/tillsynsmail/A 16882-2022 tillsynsbegäran mail.docx", "A 16882-2022")</f>
        <v/>
      </c>
    </row>
    <row r="142" ht="15" customHeight="1">
      <c r="A142" t="inlineStr">
        <is>
          <t>A 55799-2024</t>
        </is>
      </c>
      <c r="B142" s="1" t="n">
        <v>45623</v>
      </c>
      <c r="C142" s="1" t="n">
        <v>45957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HYPERLINK("https://klasma.github.io/Logging_0760/artfynd/A 55799-2024 artfynd.xlsx", "A 55799-2024")</f>
        <v/>
      </c>
      <c r="T142">
        <f>HYPERLINK("https://klasma.github.io/Logging_0760/kartor/A 55799-2024 karta.png", "A 55799-2024")</f>
        <v/>
      </c>
      <c r="V142">
        <f>HYPERLINK("https://klasma.github.io/Logging_0760/klagomål/A 55799-2024 FSC-klagomål.docx", "A 55799-2024")</f>
        <v/>
      </c>
      <c r="W142">
        <f>HYPERLINK("https://klasma.github.io/Logging_0760/klagomålsmail/A 55799-2024 FSC-klagomål mail.docx", "A 55799-2024")</f>
        <v/>
      </c>
      <c r="X142">
        <f>HYPERLINK("https://klasma.github.io/Logging_0760/tillsyn/A 55799-2024 tillsynsbegäran.docx", "A 55799-2024")</f>
        <v/>
      </c>
      <c r="Y142">
        <f>HYPERLINK("https://klasma.github.io/Logging_0760/tillsynsmail/A 55799-2024 tillsynsbegäran mail.docx", "A 55799-2024")</f>
        <v/>
      </c>
    </row>
    <row r="143" ht="15" customHeight="1">
      <c r="A143" t="inlineStr">
        <is>
          <t>A 63385-2020</t>
        </is>
      </c>
      <c r="B143" s="1" t="n">
        <v>44160</v>
      </c>
      <c r="C143" s="1" t="n">
        <v>45957</v>
      </c>
      <c r="D143" t="inlineStr">
        <is>
          <t>KRONOBERGS LÄN</t>
        </is>
      </c>
      <c r="E143" t="inlineStr">
        <is>
          <t>UPPVIDINGE</t>
        </is>
      </c>
      <c r="G143" t="n">
        <v>0.8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Blodvaxing</t>
        </is>
      </c>
      <c r="S143">
        <f>HYPERLINK("https://klasma.github.io/Logging_0760/artfynd/A 63385-2020 artfynd.xlsx", "A 63385-2020")</f>
        <v/>
      </c>
      <c r="T143">
        <f>HYPERLINK("https://klasma.github.io/Logging_0760/kartor/A 63385-2020 karta.png", "A 63385-2020")</f>
        <v/>
      </c>
      <c r="V143">
        <f>HYPERLINK("https://klasma.github.io/Logging_0760/klagomål/A 63385-2020 FSC-klagomål.docx", "A 63385-2020")</f>
        <v/>
      </c>
      <c r="W143">
        <f>HYPERLINK("https://klasma.github.io/Logging_0760/klagomålsmail/A 63385-2020 FSC-klagomål mail.docx", "A 63385-2020")</f>
        <v/>
      </c>
      <c r="X143">
        <f>HYPERLINK("https://klasma.github.io/Logging_0760/tillsyn/A 63385-2020 tillsynsbegäran.docx", "A 63385-2020")</f>
        <v/>
      </c>
      <c r="Y143">
        <f>HYPERLINK("https://klasma.github.io/Logging_0760/tillsynsmail/A 63385-2020 tillsynsbegäran mail.docx", "A 63385-2020")</f>
        <v/>
      </c>
    </row>
    <row r="144" ht="15" customHeight="1">
      <c r="A144" t="inlineStr">
        <is>
          <t>A 22758-2025</t>
        </is>
      </c>
      <c r="B144" s="1" t="n">
        <v>45789.61961805556</v>
      </c>
      <c r="C144" s="1" t="n">
        <v>45957</v>
      </c>
      <c r="D144" t="inlineStr">
        <is>
          <t>KRONOBERGS LÄN</t>
        </is>
      </c>
      <c r="E144" t="inlineStr">
        <is>
          <t>UPPVIDINGE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HYPERLINK("https://klasma.github.io/Logging_0760/artfynd/A 22758-2025 artfynd.xlsx", "A 22758-2025")</f>
        <v/>
      </c>
      <c r="T144">
        <f>HYPERLINK("https://klasma.github.io/Logging_0760/kartor/A 22758-2025 karta.png", "A 22758-2025")</f>
        <v/>
      </c>
      <c r="U144">
        <f>HYPERLINK("https://klasma.github.io/Logging_0760/knärot/A 22758-2025 karta knärot.png", "A 22758-2025")</f>
        <v/>
      </c>
      <c r="V144">
        <f>HYPERLINK("https://klasma.github.io/Logging_0760/klagomål/A 22758-2025 FSC-klagomål.docx", "A 22758-2025")</f>
        <v/>
      </c>
      <c r="W144">
        <f>HYPERLINK("https://klasma.github.io/Logging_0760/klagomålsmail/A 22758-2025 FSC-klagomål mail.docx", "A 22758-2025")</f>
        <v/>
      </c>
      <c r="X144">
        <f>HYPERLINK("https://klasma.github.io/Logging_0760/tillsyn/A 22758-2025 tillsynsbegäran.docx", "A 22758-2025")</f>
        <v/>
      </c>
      <c r="Y144">
        <f>HYPERLINK("https://klasma.github.io/Logging_0760/tillsynsmail/A 22758-2025 tillsynsbegäran mail.docx", "A 22758-2025")</f>
        <v/>
      </c>
    </row>
    <row r="145" ht="15" customHeight="1">
      <c r="A145" t="inlineStr">
        <is>
          <t>A 4801-2025</t>
        </is>
      </c>
      <c r="B145" s="1" t="n">
        <v>45688.59202546296</v>
      </c>
      <c r="C145" s="1" t="n">
        <v>45957</v>
      </c>
      <c r="D145" t="inlineStr">
        <is>
          <t>KRONOBERGS LÄN</t>
        </is>
      </c>
      <c r="E145" t="inlineStr">
        <is>
          <t>UPPVIDINGE</t>
        </is>
      </c>
      <c r="F145" t="inlineStr">
        <is>
          <t>Sveaskog</t>
        </is>
      </c>
      <c r="G145" t="n">
        <v>2.1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Blåsippa</t>
        </is>
      </c>
      <c r="S145">
        <f>HYPERLINK("https://klasma.github.io/Logging_0760/artfynd/A 4801-2025 artfynd.xlsx", "A 4801-2025")</f>
        <v/>
      </c>
      <c r="T145">
        <f>HYPERLINK("https://klasma.github.io/Logging_0760/kartor/A 4801-2025 karta.png", "A 4801-2025")</f>
        <v/>
      </c>
      <c r="V145">
        <f>HYPERLINK("https://klasma.github.io/Logging_0760/klagomål/A 4801-2025 FSC-klagomål.docx", "A 4801-2025")</f>
        <v/>
      </c>
      <c r="W145">
        <f>HYPERLINK("https://klasma.github.io/Logging_0760/klagomålsmail/A 4801-2025 FSC-klagomål mail.docx", "A 4801-2025")</f>
        <v/>
      </c>
      <c r="X145">
        <f>HYPERLINK("https://klasma.github.io/Logging_0760/tillsyn/A 4801-2025 tillsynsbegäran.docx", "A 4801-2025")</f>
        <v/>
      </c>
      <c r="Y145">
        <f>HYPERLINK("https://klasma.github.io/Logging_0760/tillsynsmail/A 4801-2025 tillsynsbegäran mail.docx", "A 4801-2025")</f>
        <v/>
      </c>
    </row>
    <row r="146" ht="15" customHeight="1">
      <c r="A146" t="inlineStr">
        <is>
          <t>A 50892-2023</t>
        </is>
      </c>
      <c r="B146" s="1" t="n">
        <v>45218</v>
      </c>
      <c r="C146" s="1" t="n">
        <v>45957</v>
      </c>
      <c r="D146" t="inlineStr">
        <is>
          <t>KRONOBERGS LÄN</t>
        </is>
      </c>
      <c r="E146" t="inlineStr">
        <is>
          <t>ÄLMHULT</t>
        </is>
      </c>
      <c r="G146" t="n">
        <v>83.40000000000001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Mattlummer</t>
        </is>
      </c>
      <c r="S146">
        <f>HYPERLINK("https://klasma.github.io/Logging_0765/artfynd/A 50892-2023 artfynd.xlsx", "A 50892-2023")</f>
        <v/>
      </c>
      <c r="T146">
        <f>HYPERLINK("https://klasma.github.io/Logging_0765/kartor/A 50892-2023 karta.png", "A 50892-2023")</f>
        <v/>
      </c>
      <c r="V146">
        <f>HYPERLINK("https://klasma.github.io/Logging_0765/klagomål/A 50892-2023 FSC-klagomål.docx", "A 50892-2023")</f>
        <v/>
      </c>
      <c r="W146">
        <f>HYPERLINK("https://klasma.github.io/Logging_0765/klagomålsmail/A 50892-2023 FSC-klagomål mail.docx", "A 50892-2023")</f>
        <v/>
      </c>
      <c r="X146">
        <f>HYPERLINK("https://klasma.github.io/Logging_0765/tillsyn/A 50892-2023 tillsynsbegäran.docx", "A 50892-2023")</f>
        <v/>
      </c>
      <c r="Y146">
        <f>HYPERLINK("https://klasma.github.io/Logging_0765/tillsynsmail/A 50892-2023 tillsynsbegäran mail.docx", "A 50892-2023")</f>
        <v/>
      </c>
    </row>
    <row r="147" ht="15" customHeight="1">
      <c r="A147" t="inlineStr">
        <is>
          <t>A 16796-2022</t>
        </is>
      </c>
      <c r="B147" s="1" t="n">
        <v>44673</v>
      </c>
      <c r="C147" s="1" t="n">
        <v>45957</v>
      </c>
      <c r="D147" t="inlineStr">
        <is>
          <t>KRONOBERGS LÄN</t>
        </is>
      </c>
      <c r="E147" t="inlineStr">
        <is>
          <t>VÄXJÖ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Ask</t>
        </is>
      </c>
      <c r="S147">
        <f>HYPERLINK("https://klasma.github.io/Logging_0780/artfynd/A 16796-2022 artfynd.xlsx", "A 16796-2022")</f>
        <v/>
      </c>
      <c r="T147">
        <f>HYPERLINK("https://klasma.github.io/Logging_0780/kartor/A 16796-2022 karta.png", "A 16796-2022")</f>
        <v/>
      </c>
      <c r="V147">
        <f>HYPERLINK("https://klasma.github.io/Logging_0780/klagomål/A 16796-2022 FSC-klagomål.docx", "A 16796-2022")</f>
        <v/>
      </c>
      <c r="W147">
        <f>HYPERLINK("https://klasma.github.io/Logging_0780/klagomålsmail/A 16796-2022 FSC-klagomål mail.docx", "A 16796-2022")</f>
        <v/>
      </c>
      <c r="X147">
        <f>HYPERLINK("https://klasma.github.io/Logging_0780/tillsyn/A 16796-2022 tillsynsbegäran.docx", "A 16796-2022")</f>
        <v/>
      </c>
      <c r="Y147">
        <f>HYPERLINK("https://klasma.github.io/Logging_0780/tillsynsmail/A 16796-2022 tillsynsbegäran mail.docx", "A 16796-2022")</f>
        <v/>
      </c>
    </row>
    <row r="148" ht="15" customHeight="1">
      <c r="A148" t="inlineStr">
        <is>
          <t>A 47481-2025</t>
        </is>
      </c>
      <c r="B148" s="1" t="n">
        <v>45930</v>
      </c>
      <c r="C148" s="1" t="n">
        <v>45957</v>
      </c>
      <c r="D148" t="inlineStr">
        <is>
          <t>KRONOBERGS LÄN</t>
        </is>
      </c>
      <c r="E148" t="inlineStr">
        <is>
          <t>UPPVIDINGE</t>
        </is>
      </c>
      <c r="F148" t="inlineStr">
        <is>
          <t>Kyrkan</t>
        </is>
      </c>
      <c r="G148" t="n">
        <v>10.7</v>
      </c>
      <c r="H148" t="n">
        <v>1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Spindelblomster</t>
        </is>
      </c>
      <c r="S148">
        <f>HYPERLINK("https://klasma.github.io/Logging_0760/artfynd/A 47481-2025 artfynd.xlsx", "A 47481-2025")</f>
        <v/>
      </c>
      <c r="T148">
        <f>HYPERLINK("https://klasma.github.io/Logging_0760/kartor/A 47481-2025 karta.png", "A 47481-2025")</f>
        <v/>
      </c>
      <c r="V148">
        <f>HYPERLINK("https://klasma.github.io/Logging_0760/klagomål/A 47481-2025 FSC-klagomål.docx", "A 47481-2025")</f>
        <v/>
      </c>
      <c r="W148">
        <f>HYPERLINK("https://klasma.github.io/Logging_0760/klagomålsmail/A 47481-2025 FSC-klagomål mail.docx", "A 47481-2025")</f>
        <v/>
      </c>
      <c r="X148">
        <f>HYPERLINK("https://klasma.github.io/Logging_0760/tillsyn/A 47481-2025 tillsynsbegäran.docx", "A 47481-2025")</f>
        <v/>
      </c>
      <c r="Y148">
        <f>HYPERLINK("https://klasma.github.io/Logging_0760/tillsynsmail/A 47481-2025 tillsynsbegäran mail.docx", "A 47481-2025")</f>
        <v/>
      </c>
    </row>
    <row r="149" ht="15" customHeight="1">
      <c r="A149" t="inlineStr">
        <is>
          <t>A 4451-2025</t>
        </is>
      </c>
      <c r="B149" s="1" t="n">
        <v>45686.57611111111</v>
      </c>
      <c r="C149" s="1" t="n">
        <v>45957</v>
      </c>
      <c r="D149" t="inlineStr">
        <is>
          <t>KRONOBERGS LÄN</t>
        </is>
      </c>
      <c r="E149" t="inlineStr">
        <is>
          <t>LJUNGBY</t>
        </is>
      </c>
      <c r="G149" t="n">
        <v>2.5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Duvhök</t>
        </is>
      </c>
      <c r="S149">
        <f>HYPERLINK("https://klasma.github.io/Logging_0781/artfynd/A 4451-2025 artfynd.xlsx", "A 4451-2025")</f>
        <v/>
      </c>
      <c r="T149">
        <f>HYPERLINK("https://klasma.github.io/Logging_0781/kartor/A 4451-2025 karta.png", "A 4451-2025")</f>
        <v/>
      </c>
      <c r="V149">
        <f>HYPERLINK("https://klasma.github.io/Logging_0781/klagomål/A 4451-2025 FSC-klagomål.docx", "A 4451-2025")</f>
        <v/>
      </c>
      <c r="W149">
        <f>HYPERLINK("https://klasma.github.io/Logging_0781/klagomålsmail/A 4451-2025 FSC-klagomål mail.docx", "A 4451-2025")</f>
        <v/>
      </c>
      <c r="X149">
        <f>HYPERLINK("https://klasma.github.io/Logging_0781/tillsyn/A 4451-2025 tillsynsbegäran.docx", "A 4451-2025")</f>
        <v/>
      </c>
      <c r="Y149">
        <f>HYPERLINK("https://klasma.github.io/Logging_0781/tillsynsmail/A 4451-2025 tillsynsbegäran mail.docx", "A 4451-2025")</f>
        <v/>
      </c>
      <c r="Z149">
        <f>HYPERLINK("https://klasma.github.io/Logging_0781/fåglar/A 4451-2025 prioriterade fågelarter.docx", "A 4451-2025")</f>
        <v/>
      </c>
    </row>
    <row r="150" ht="15" customHeight="1">
      <c r="A150" t="inlineStr">
        <is>
          <t>A 46706-2025</t>
        </is>
      </c>
      <c r="B150" s="1" t="n">
        <v>45926.56731481481</v>
      </c>
      <c r="C150" s="1" t="n">
        <v>45957</v>
      </c>
      <c r="D150" t="inlineStr">
        <is>
          <t>KRONOBERGS LÄN</t>
        </is>
      </c>
      <c r="E150" t="inlineStr">
        <is>
          <t>UPPVIDINGE</t>
        </is>
      </c>
      <c r="G150" t="n">
        <v>1.6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Grönpyrola</t>
        </is>
      </c>
      <c r="S150">
        <f>HYPERLINK("https://klasma.github.io/Logging_0760/artfynd/A 46706-2025 artfynd.xlsx", "A 46706-2025")</f>
        <v/>
      </c>
      <c r="T150">
        <f>HYPERLINK("https://klasma.github.io/Logging_0760/kartor/A 46706-2025 karta.png", "A 46706-2025")</f>
        <v/>
      </c>
      <c r="V150">
        <f>HYPERLINK("https://klasma.github.io/Logging_0760/klagomål/A 46706-2025 FSC-klagomål.docx", "A 46706-2025")</f>
        <v/>
      </c>
      <c r="W150">
        <f>HYPERLINK("https://klasma.github.io/Logging_0760/klagomålsmail/A 46706-2025 FSC-klagomål mail.docx", "A 46706-2025")</f>
        <v/>
      </c>
      <c r="X150">
        <f>HYPERLINK("https://klasma.github.io/Logging_0760/tillsyn/A 46706-2025 tillsynsbegäran.docx", "A 46706-2025")</f>
        <v/>
      </c>
      <c r="Y150">
        <f>HYPERLINK("https://klasma.github.io/Logging_0760/tillsynsmail/A 46706-2025 tillsynsbegäran mail.docx", "A 46706-2025")</f>
        <v/>
      </c>
    </row>
    <row r="151" ht="15" customHeight="1">
      <c r="A151" t="inlineStr">
        <is>
          <t>A 47709-2025</t>
        </is>
      </c>
      <c r="B151" s="1" t="n">
        <v>45931.6134837963</v>
      </c>
      <c r="C151" s="1" t="n">
        <v>45957</v>
      </c>
      <c r="D151" t="inlineStr">
        <is>
          <t>KRONOBERGS LÄN</t>
        </is>
      </c>
      <c r="E151" t="inlineStr">
        <is>
          <t>UPPVIDINGE</t>
        </is>
      </c>
      <c r="F151" t="inlineStr">
        <is>
          <t>Kommuner</t>
        </is>
      </c>
      <c r="G151" t="n">
        <v>2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Granbräken</t>
        </is>
      </c>
      <c r="S151">
        <f>HYPERLINK("https://klasma.github.io/Logging_0760/artfynd/A 47709-2025 artfynd.xlsx", "A 47709-2025")</f>
        <v/>
      </c>
      <c r="T151">
        <f>HYPERLINK("https://klasma.github.io/Logging_0760/kartor/A 47709-2025 karta.png", "A 47709-2025")</f>
        <v/>
      </c>
      <c r="V151">
        <f>HYPERLINK("https://klasma.github.io/Logging_0760/klagomål/A 47709-2025 FSC-klagomål.docx", "A 47709-2025")</f>
        <v/>
      </c>
      <c r="W151">
        <f>HYPERLINK("https://klasma.github.io/Logging_0760/klagomålsmail/A 47709-2025 FSC-klagomål mail.docx", "A 47709-2025")</f>
        <v/>
      </c>
      <c r="X151">
        <f>HYPERLINK("https://klasma.github.io/Logging_0760/tillsyn/A 47709-2025 tillsynsbegäran.docx", "A 47709-2025")</f>
        <v/>
      </c>
      <c r="Y151">
        <f>HYPERLINK("https://klasma.github.io/Logging_0760/tillsynsmail/A 47709-2025 tillsynsbegäran mail.docx", "A 47709-2025")</f>
        <v/>
      </c>
    </row>
    <row r="152" ht="15" customHeight="1">
      <c r="A152" t="inlineStr">
        <is>
          <t>A 28798-2025</t>
        </is>
      </c>
      <c r="B152" s="1" t="n">
        <v>45820.48319444444</v>
      </c>
      <c r="C152" s="1" t="n">
        <v>45957</v>
      </c>
      <c r="D152" t="inlineStr">
        <is>
          <t>KRONOBERGS LÄN</t>
        </is>
      </c>
      <c r="E152" t="inlineStr">
        <is>
          <t>UPPVIDINGE</t>
        </is>
      </c>
      <c r="G152" t="n">
        <v>1.2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Igelkott</t>
        </is>
      </c>
      <c r="S152">
        <f>HYPERLINK("https://klasma.github.io/Logging_0760/artfynd/A 28798-2025 artfynd.xlsx", "A 28798-2025")</f>
        <v/>
      </c>
      <c r="T152">
        <f>HYPERLINK("https://klasma.github.io/Logging_0760/kartor/A 28798-2025 karta.png", "A 28798-2025")</f>
        <v/>
      </c>
      <c r="V152">
        <f>HYPERLINK("https://klasma.github.io/Logging_0760/klagomål/A 28798-2025 FSC-klagomål.docx", "A 28798-2025")</f>
        <v/>
      </c>
      <c r="W152">
        <f>HYPERLINK("https://klasma.github.io/Logging_0760/klagomålsmail/A 28798-2025 FSC-klagomål mail.docx", "A 28798-2025")</f>
        <v/>
      </c>
      <c r="X152">
        <f>HYPERLINK("https://klasma.github.io/Logging_0760/tillsyn/A 28798-2025 tillsynsbegäran.docx", "A 28798-2025")</f>
        <v/>
      </c>
      <c r="Y152">
        <f>HYPERLINK("https://klasma.github.io/Logging_0760/tillsynsmail/A 28798-2025 tillsynsbegäran mail.docx", "A 28798-2025")</f>
        <v/>
      </c>
    </row>
    <row r="153" ht="15" customHeight="1">
      <c r="A153" t="inlineStr">
        <is>
          <t>A 29290-2025</t>
        </is>
      </c>
      <c r="B153" s="1" t="n">
        <v>45824.44016203703</v>
      </c>
      <c r="C153" s="1" t="n">
        <v>45957</v>
      </c>
      <c r="D153" t="inlineStr">
        <is>
          <t>KRONOBERGS LÄN</t>
        </is>
      </c>
      <c r="E153" t="inlineStr">
        <is>
          <t>VÄXJÖ</t>
        </is>
      </c>
      <c r="G153" t="n">
        <v>2.7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Plattlummer</t>
        </is>
      </c>
      <c r="S153">
        <f>HYPERLINK("https://klasma.github.io/Logging_0780/artfynd/A 29290-2025 artfynd.xlsx", "A 29290-2025")</f>
        <v/>
      </c>
      <c r="T153">
        <f>HYPERLINK("https://klasma.github.io/Logging_0780/kartor/A 29290-2025 karta.png", "A 29290-2025")</f>
        <v/>
      </c>
      <c r="V153">
        <f>HYPERLINK("https://klasma.github.io/Logging_0780/klagomål/A 29290-2025 FSC-klagomål.docx", "A 29290-2025")</f>
        <v/>
      </c>
      <c r="W153">
        <f>HYPERLINK("https://klasma.github.io/Logging_0780/klagomålsmail/A 29290-2025 FSC-klagomål mail.docx", "A 29290-2025")</f>
        <v/>
      </c>
      <c r="X153">
        <f>HYPERLINK("https://klasma.github.io/Logging_0780/tillsyn/A 29290-2025 tillsynsbegäran.docx", "A 29290-2025")</f>
        <v/>
      </c>
      <c r="Y153">
        <f>HYPERLINK("https://klasma.github.io/Logging_0780/tillsynsmail/A 29290-2025 tillsynsbegäran mail.docx", "A 29290-2025")</f>
        <v/>
      </c>
    </row>
    <row r="154" ht="15" customHeight="1">
      <c r="A154" t="inlineStr">
        <is>
          <t>A 39508-2022</t>
        </is>
      </c>
      <c r="B154" s="1" t="n">
        <v>44818</v>
      </c>
      <c r="C154" s="1" t="n">
        <v>45957</v>
      </c>
      <c r="D154" t="inlineStr">
        <is>
          <t>KRONOBERGS LÄN</t>
        </is>
      </c>
      <c r="E154" t="inlineStr">
        <is>
          <t>MARKARYD</t>
        </is>
      </c>
      <c r="F154" t="inlineStr">
        <is>
          <t>Kommuner</t>
        </is>
      </c>
      <c r="G154" t="n">
        <v>45.6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Gråkråka</t>
        </is>
      </c>
      <c r="S154">
        <f>HYPERLINK("https://klasma.github.io/Logging_0767/artfynd/A 39508-2022 artfynd.xlsx", "A 39508-2022")</f>
        <v/>
      </c>
      <c r="T154">
        <f>HYPERLINK("https://klasma.github.io/Logging_0767/kartor/A 39508-2022 karta.png", "A 39508-2022")</f>
        <v/>
      </c>
      <c r="V154">
        <f>HYPERLINK("https://klasma.github.io/Logging_0767/klagomål/A 39508-2022 FSC-klagomål.docx", "A 39508-2022")</f>
        <v/>
      </c>
      <c r="W154">
        <f>HYPERLINK("https://klasma.github.io/Logging_0767/klagomålsmail/A 39508-2022 FSC-klagomål mail.docx", "A 39508-2022")</f>
        <v/>
      </c>
      <c r="X154">
        <f>HYPERLINK("https://klasma.github.io/Logging_0767/tillsyn/A 39508-2022 tillsynsbegäran.docx", "A 39508-2022")</f>
        <v/>
      </c>
      <c r="Y154">
        <f>HYPERLINK("https://klasma.github.io/Logging_0767/tillsynsmail/A 39508-2022 tillsynsbegäran mail.docx", "A 39508-2022")</f>
        <v/>
      </c>
    </row>
    <row r="155" ht="15" customHeight="1">
      <c r="A155" t="inlineStr">
        <is>
          <t>A 29588-2025</t>
        </is>
      </c>
      <c r="B155" s="1" t="n">
        <v>45825</v>
      </c>
      <c r="C155" s="1" t="n">
        <v>45957</v>
      </c>
      <c r="D155" t="inlineStr">
        <is>
          <t>KRONOBERGS LÄN</t>
        </is>
      </c>
      <c r="E155" t="inlineStr">
        <is>
          <t>UPPVIDINGE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1</v>
      </c>
      <c r="O155" t="n">
        <v>1</v>
      </c>
      <c r="P155" t="n">
        <v>0</v>
      </c>
      <c r="Q155" t="n">
        <v>1</v>
      </c>
      <c r="R155" s="2" t="inlineStr">
        <is>
          <t>Pimpinellros</t>
        </is>
      </c>
      <c r="S155">
        <f>HYPERLINK("https://klasma.github.io/Logging_0760/artfynd/A 29588-2025 artfynd.xlsx", "A 29588-2025")</f>
        <v/>
      </c>
      <c r="T155">
        <f>HYPERLINK("https://klasma.github.io/Logging_0760/kartor/A 29588-2025 karta.png", "A 29588-2025")</f>
        <v/>
      </c>
      <c r="V155">
        <f>HYPERLINK("https://klasma.github.io/Logging_0760/klagomål/A 29588-2025 FSC-klagomål.docx", "A 29588-2025")</f>
        <v/>
      </c>
      <c r="W155">
        <f>HYPERLINK("https://klasma.github.io/Logging_0760/klagomålsmail/A 29588-2025 FSC-klagomål mail.docx", "A 29588-2025")</f>
        <v/>
      </c>
      <c r="X155">
        <f>HYPERLINK("https://klasma.github.io/Logging_0760/tillsyn/A 29588-2025 tillsynsbegäran.docx", "A 29588-2025")</f>
        <v/>
      </c>
      <c r="Y155">
        <f>HYPERLINK("https://klasma.github.io/Logging_0760/tillsynsmail/A 29588-2025 tillsynsbegäran mail.docx", "A 29588-2025")</f>
        <v/>
      </c>
    </row>
    <row r="156" ht="15" customHeight="1">
      <c r="A156" t="inlineStr">
        <is>
          <t>A 40368-2025</t>
        </is>
      </c>
      <c r="B156" s="1" t="n">
        <v>45895.5059375</v>
      </c>
      <c r="C156" s="1" t="n">
        <v>45957</v>
      </c>
      <c r="D156" t="inlineStr">
        <is>
          <t>KRONOBERGS LÄN</t>
        </is>
      </c>
      <c r="E156" t="inlineStr">
        <is>
          <t>TINGSRYD</t>
        </is>
      </c>
      <c r="G156" t="n">
        <v>1.7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Havsörn</t>
        </is>
      </c>
      <c r="S156">
        <f>HYPERLINK("https://klasma.github.io/Logging_0763/artfynd/A 40368-2025 artfynd.xlsx", "A 40368-2025")</f>
        <v/>
      </c>
      <c r="T156">
        <f>HYPERLINK("https://klasma.github.io/Logging_0763/kartor/A 40368-2025 karta.png", "A 40368-2025")</f>
        <v/>
      </c>
      <c r="V156">
        <f>HYPERLINK("https://klasma.github.io/Logging_0763/klagomål/A 40368-2025 FSC-klagomål.docx", "A 40368-2025")</f>
        <v/>
      </c>
      <c r="W156">
        <f>HYPERLINK("https://klasma.github.io/Logging_0763/klagomålsmail/A 40368-2025 FSC-klagomål mail.docx", "A 40368-2025")</f>
        <v/>
      </c>
      <c r="X156">
        <f>HYPERLINK("https://klasma.github.io/Logging_0763/tillsyn/A 40368-2025 tillsynsbegäran.docx", "A 40368-2025")</f>
        <v/>
      </c>
      <c r="Y156">
        <f>HYPERLINK("https://klasma.github.io/Logging_0763/tillsynsmail/A 40368-2025 tillsynsbegäran mail.docx", "A 40368-2025")</f>
        <v/>
      </c>
      <c r="Z156">
        <f>HYPERLINK("https://klasma.github.io/Logging_0763/fåglar/A 40368-2025 prioriterade fågelarter.docx", "A 40368-2025")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45957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HYPERLINK("https://klasma.github.io/Logging_0781/kartor/A 13387-2022 karta.png", "A 13387-2022")</f>
        <v/>
      </c>
      <c r="V157">
        <f>HYPERLINK("https://klasma.github.io/Logging_0781/klagomål/A 13387-2022 FSC-klagomål.docx", "A 13387-2022")</f>
        <v/>
      </c>
      <c r="W157">
        <f>HYPERLINK("https://klasma.github.io/Logging_0781/klagomålsmail/A 13387-2022 FSC-klagomål mail.docx", "A 13387-2022")</f>
        <v/>
      </c>
      <c r="X157">
        <f>HYPERLINK("https://klasma.github.io/Logging_0781/tillsyn/A 13387-2022 tillsynsbegäran.docx", "A 13387-2022")</f>
        <v/>
      </c>
      <c r="Y157">
        <f>HYPERLINK("https://klasma.github.io/Logging_0781/tillsynsmail/A 13387-2022 tillsynsbegäran mail.docx", "A 13387-2022")</f>
        <v/>
      </c>
    </row>
    <row r="158" ht="15" customHeight="1">
      <c r="A158" t="inlineStr">
        <is>
          <t>A 30330-2025</t>
        </is>
      </c>
      <c r="B158" s="1" t="n">
        <v>45827.50682870371</v>
      </c>
      <c r="C158" s="1" t="n">
        <v>45957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1.8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Västlig hakmossa</t>
        </is>
      </c>
      <c r="S158">
        <f>HYPERLINK("https://klasma.github.io/Logging_0763/artfynd/A 30330-2025 artfynd.xlsx", "A 30330-2025")</f>
        <v/>
      </c>
      <c r="T158">
        <f>HYPERLINK("https://klasma.github.io/Logging_0763/kartor/A 30330-2025 karta.png", "A 30330-2025")</f>
        <v/>
      </c>
      <c r="V158">
        <f>HYPERLINK("https://klasma.github.io/Logging_0763/klagomål/A 30330-2025 FSC-klagomål.docx", "A 30330-2025")</f>
        <v/>
      </c>
      <c r="W158">
        <f>HYPERLINK("https://klasma.github.io/Logging_0763/klagomålsmail/A 30330-2025 FSC-klagomål mail.docx", "A 30330-2025")</f>
        <v/>
      </c>
      <c r="X158">
        <f>HYPERLINK("https://klasma.github.io/Logging_0763/tillsyn/A 30330-2025 tillsynsbegäran.docx", "A 30330-2025")</f>
        <v/>
      </c>
      <c r="Y158">
        <f>HYPERLINK("https://klasma.github.io/Logging_0763/tillsynsmail/A 30330-2025 tillsynsbegäran mail.docx", "A 30330-2025")</f>
        <v/>
      </c>
    </row>
    <row r="159" ht="15" customHeight="1">
      <c r="A159" t="inlineStr">
        <is>
          <t>A 41349-2024</t>
        </is>
      </c>
      <c r="B159" s="1" t="n">
        <v>45559.69049768519</v>
      </c>
      <c r="C159" s="1" t="n">
        <v>45957</v>
      </c>
      <c r="D159" t="inlineStr">
        <is>
          <t>KRONOBERGS LÄN</t>
        </is>
      </c>
      <c r="E159" t="inlineStr">
        <is>
          <t>ALVESTA</t>
        </is>
      </c>
      <c r="G159" t="n">
        <v>6.1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Ärtsångare</t>
        </is>
      </c>
      <c r="S159">
        <f>HYPERLINK("https://klasma.github.io/Logging_0764/artfynd/A 41349-2024 artfynd.xlsx", "A 41349-2024")</f>
        <v/>
      </c>
      <c r="T159">
        <f>HYPERLINK("https://klasma.github.io/Logging_0764/kartor/A 41349-2024 karta.png", "A 41349-2024")</f>
        <v/>
      </c>
      <c r="V159">
        <f>HYPERLINK("https://klasma.github.io/Logging_0764/klagomål/A 41349-2024 FSC-klagomål.docx", "A 41349-2024")</f>
        <v/>
      </c>
      <c r="W159">
        <f>HYPERLINK("https://klasma.github.io/Logging_0764/klagomålsmail/A 41349-2024 FSC-klagomål mail.docx", "A 41349-2024")</f>
        <v/>
      </c>
      <c r="X159">
        <f>HYPERLINK("https://klasma.github.io/Logging_0764/tillsyn/A 41349-2024 tillsynsbegäran.docx", "A 41349-2024")</f>
        <v/>
      </c>
      <c r="Y159">
        <f>HYPERLINK("https://klasma.github.io/Logging_0764/tillsynsmail/A 41349-2024 tillsynsbegäran mail.docx", "A 41349-2024")</f>
        <v/>
      </c>
      <c r="Z159">
        <f>HYPERLINK("https://klasma.github.io/Logging_0764/fåglar/A 41349-2024 prioriterade fågelarter.docx", "A 41349-2024")</f>
        <v/>
      </c>
    </row>
    <row r="160" ht="15" customHeight="1">
      <c r="A160" t="inlineStr">
        <is>
          <t>A 12184-2023</t>
        </is>
      </c>
      <c r="B160" s="1" t="n">
        <v>44998</v>
      </c>
      <c r="C160" s="1" t="n">
        <v>45957</v>
      </c>
      <c r="D160" t="inlineStr">
        <is>
          <t>KRONOBERGS LÄN</t>
        </is>
      </c>
      <c r="E160" t="inlineStr">
        <is>
          <t>UPPVIDINGE</t>
        </is>
      </c>
      <c r="G160" t="n">
        <v>0.6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Fjällig taggsvamp s.str.</t>
        </is>
      </c>
      <c r="S160">
        <f>HYPERLINK("https://klasma.github.io/Logging_0760/artfynd/A 12184-2023 artfynd.xlsx", "A 12184-2023")</f>
        <v/>
      </c>
      <c r="T160">
        <f>HYPERLINK("https://klasma.github.io/Logging_0760/kartor/A 12184-2023 karta.png", "A 12184-2023")</f>
        <v/>
      </c>
      <c r="V160">
        <f>HYPERLINK("https://klasma.github.io/Logging_0760/klagomål/A 12184-2023 FSC-klagomål.docx", "A 12184-2023")</f>
        <v/>
      </c>
      <c r="W160">
        <f>HYPERLINK("https://klasma.github.io/Logging_0760/klagomålsmail/A 12184-2023 FSC-klagomål mail.docx", "A 12184-2023")</f>
        <v/>
      </c>
      <c r="X160">
        <f>HYPERLINK("https://klasma.github.io/Logging_0760/tillsyn/A 12184-2023 tillsynsbegäran.docx", "A 12184-2023")</f>
        <v/>
      </c>
      <c r="Y160">
        <f>HYPERLINK("https://klasma.github.io/Logging_0760/tillsynsmail/A 12184-2023 tillsynsbegäran mail.docx", "A 12184-2023")</f>
        <v/>
      </c>
    </row>
    <row r="161" ht="15" customHeight="1">
      <c r="A161" t="inlineStr">
        <is>
          <t>A 25814-2022</t>
        </is>
      </c>
      <c r="B161" s="1" t="n">
        <v>44729</v>
      </c>
      <c r="C161" s="1" t="n">
        <v>45957</v>
      </c>
      <c r="D161" t="inlineStr">
        <is>
          <t>KRONOBERGS LÄN</t>
        </is>
      </c>
      <c r="E161" t="inlineStr">
        <is>
          <t>TINGSRYD</t>
        </is>
      </c>
      <c r="G161" t="n">
        <v>2.5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Mindre bastardsvärmare</t>
        </is>
      </c>
      <c r="S161">
        <f>HYPERLINK("https://klasma.github.io/Logging_0763/artfynd/A 25814-2022 artfynd.xlsx", "A 25814-2022")</f>
        <v/>
      </c>
      <c r="T161">
        <f>HYPERLINK("https://klasma.github.io/Logging_0763/kartor/A 25814-2022 karta.png", "A 25814-2022")</f>
        <v/>
      </c>
      <c r="V161">
        <f>HYPERLINK("https://klasma.github.io/Logging_0763/klagomål/A 25814-2022 FSC-klagomål.docx", "A 25814-2022")</f>
        <v/>
      </c>
      <c r="W161">
        <f>HYPERLINK("https://klasma.github.io/Logging_0763/klagomålsmail/A 25814-2022 FSC-klagomål mail.docx", "A 25814-2022")</f>
        <v/>
      </c>
      <c r="X161">
        <f>HYPERLINK("https://klasma.github.io/Logging_0763/tillsyn/A 25814-2022 tillsynsbegäran.docx", "A 25814-2022")</f>
        <v/>
      </c>
      <c r="Y161">
        <f>HYPERLINK("https://klasma.github.io/Logging_0763/tillsynsmail/A 25814-2022 tillsynsbegäran mail.docx", "A 25814-2022")</f>
        <v/>
      </c>
    </row>
    <row r="162" ht="15" customHeight="1">
      <c r="A162" t="inlineStr">
        <is>
          <t>A 40839-2025</t>
        </is>
      </c>
      <c r="B162" s="1" t="n">
        <v>45897</v>
      </c>
      <c r="C162" s="1" t="n">
        <v>45957</v>
      </c>
      <c r="D162" t="inlineStr">
        <is>
          <t>KRONOBERGS LÄN</t>
        </is>
      </c>
      <c r="E162" t="inlineStr">
        <is>
          <t>UPPVIDINGE</t>
        </is>
      </c>
      <c r="G162" t="n">
        <v>1.5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Fjällig taggsvamp s.str.</t>
        </is>
      </c>
      <c r="S162">
        <f>HYPERLINK("https://klasma.github.io/Logging_0760/artfynd/A 40839-2025 artfynd.xlsx", "A 40839-2025")</f>
        <v/>
      </c>
      <c r="T162">
        <f>HYPERLINK("https://klasma.github.io/Logging_0760/kartor/A 40839-2025 karta.png", "A 40839-2025")</f>
        <v/>
      </c>
      <c r="V162">
        <f>HYPERLINK("https://klasma.github.io/Logging_0760/klagomål/A 40839-2025 FSC-klagomål.docx", "A 40839-2025")</f>
        <v/>
      </c>
      <c r="W162">
        <f>HYPERLINK("https://klasma.github.io/Logging_0760/klagomålsmail/A 40839-2025 FSC-klagomål mail.docx", "A 40839-2025")</f>
        <v/>
      </c>
      <c r="X162">
        <f>HYPERLINK("https://klasma.github.io/Logging_0760/tillsyn/A 40839-2025 tillsynsbegäran.docx", "A 40839-2025")</f>
        <v/>
      </c>
      <c r="Y162">
        <f>HYPERLINK("https://klasma.github.io/Logging_0760/tillsynsmail/A 40839-2025 tillsynsbegäran mail.docx", "A 40839-2025")</f>
        <v/>
      </c>
    </row>
    <row r="163" ht="15" customHeight="1">
      <c r="A163" t="inlineStr">
        <is>
          <t>A 41107-2025</t>
        </is>
      </c>
      <c r="B163" s="1" t="n">
        <v>45898.45767361111</v>
      </c>
      <c r="C163" s="1" t="n">
        <v>45957</v>
      </c>
      <c r="D163" t="inlineStr">
        <is>
          <t>KRONOBERGS LÄN</t>
        </is>
      </c>
      <c r="E163" t="inlineStr">
        <is>
          <t>TINGSRYD</t>
        </is>
      </c>
      <c r="F163" t="inlineStr">
        <is>
          <t>Kommuner</t>
        </is>
      </c>
      <c r="G163" t="n">
        <v>1.3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Västlig hakmossa</t>
        </is>
      </c>
      <c r="S163">
        <f>HYPERLINK("https://klasma.github.io/Logging_0763/artfynd/A 41107-2025 artfynd.xlsx", "A 41107-2025")</f>
        <v/>
      </c>
      <c r="T163">
        <f>HYPERLINK("https://klasma.github.io/Logging_0763/kartor/A 41107-2025 karta.png", "A 41107-2025")</f>
        <v/>
      </c>
      <c r="V163">
        <f>HYPERLINK("https://klasma.github.io/Logging_0763/klagomål/A 41107-2025 FSC-klagomål.docx", "A 41107-2025")</f>
        <v/>
      </c>
      <c r="W163">
        <f>HYPERLINK("https://klasma.github.io/Logging_0763/klagomålsmail/A 41107-2025 FSC-klagomål mail.docx", "A 41107-2025")</f>
        <v/>
      </c>
      <c r="X163">
        <f>HYPERLINK("https://klasma.github.io/Logging_0763/tillsyn/A 41107-2025 tillsynsbegäran.docx", "A 41107-2025")</f>
        <v/>
      </c>
      <c r="Y163">
        <f>HYPERLINK("https://klasma.github.io/Logging_0763/tillsynsmail/A 41107-2025 tillsynsbegäran mail.docx", "A 41107-2025")</f>
        <v/>
      </c>
    </row>
    <row r="164" ht="15" customHeight="1">
      <c r="A164" t="inlineStr">
        <is>
          <t>A 60139-2024</t>
        </is>
      </c>
      <c r="B164" s="1" t="n">
        <v>45642.60756944444</v>
      </c>
      <c r="C164" s="1" t="n">
        <v>45957</v>
      </c>
      <c r="D164" t="inlineStr">
        <is>
          <t>KRONOBERGS LÄN</t>
        </is>
      </c>
      <c r="E164" t="inlineStr">
        <is>
          <t>LJUNGBY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1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Skogsalm</t>
        </is>
      </c>
      <c r="S164">
        <f>HYPERLINK("https://klasma.github.io/Logging_0781/artfynd/A 60139-2024 artfynd.xlsx", "A 60139-2024")</f>
        <v/>
      </c>
      <c r="T164">
        <f>HYPERLINK("https://klasma.github.io/Logging_0781/kartor/A 60139-2024 karta.png", "A 60139-2024")</f>
        <v/>
      </c>
      <c r="V164">
        <f>HYPERLINK("https://klasma.github.io/Logging_0781/klagomål/A 60139-2024 FSC-klagomål.docx", "A 60139-2024")</f>
        <v/>
      </c>
      <c r="W164">
        <f>HYPERLINK("https://klasma.github.io/Logging_0781/klagomålsmail/A 60139-2024 FSC-klagomål mail.docx", "A 60139-2024")</f>
        <v/>
      </c>
      <c r="X164">
        <f>HYPERLINK("https://klasma.github.io/Logging_0781/tillsyn/A 60139-2024 tillsynsbegäran.docx", "A 60139-2024")</f>
        <v/>
      </c>
      <c r="Y164">
        <f>HYPERLINK("https://klasma.github.io/Logging_0781/tillsynsmail/A 60139-2024 tillsynsbegäran mail.docx", "A 60139-2024")</f>
        <v/>
      </c>
    </row>
    <row r="165" ht="15" customHeight="1">
      <c r="A165" t="inlineStr">
        <is>
          <t>A 43004-2023</t>
        </is>
      </c>
      <c r="B165" s="1" t="n">
        <v>45182</v>
      </c>
      <c r="C165" s="1" t="n">
        <v>45957</v>
      </c>
      <c r="D165" t="inlineStr">
        <is>
          <t>KRONOBERGS LÄN</t>
        </is>
      </c>
      <c r="E165" t="inlineStr">
        <is>
          <t>TINGSRYD</t>
        </is>
      </c>
      <c r="G165" t="n">
        <v>3.7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Hasselmus</t>
        </is>
      </c>
      <c r="S165">
        <f>HYPERLINK("https://klasma.github.io/Logging_0763/artfynd/A 43004-2023 artfynd.xlsx", "A 43004-2023")</f>
        <v/>
      </c>
      <c r="T165">
        <f>HYPERLINK("https://klasma.github.io/Logging_0763/kartor/A 43004-2023 karta.png", "A 43004-2023")</f>
        <v/>
      </c>
      <c r="V165">
        <f>HYPERLINK("https://klasma.github.io/Logging_0763/klagomål/A 43004-2023 FSC-klagomål.docx", "A 43004-2023")</f>
        <v/>
      </c>
      <c r="W165">
        <f>HYPERLINK("https://klasma.github.io/Logging_0763/klagomålsmail/A 43004-2023 FSC-klagomål mail.docx", "A 43004-2023")</f>
        <v/>
      </c>
      <c r="X165">
        <f>HYPERLINK("https://klasma.github.io/Logging_0763/tillsyn/A 43004-2023 tillsynsbegäran.docx", "A 43004-2023")</f>
        <v/>
      </c>
      <c r="Y165">
        <f>HYPERLINK("https://klasma.github.io/Logging_0763/tillsynsmail/A 43004-2023 tillsynsbegäran mail.docx", "A 43004-2023")</f>
        <v/>
      </c>
    </row>
    <row r="166" ht="15" customHeight="1">
      <c r="A166" t="inlineStr">
        <is>
          <t>A 40690-2025</t>
        </is>
      </c>
      <c r="B166" s="1" t="n">
        <v>45896.9408912037</v>
      </c>
      <c r="C166" s="1" t="n">
        <v>45957</v>
      </c>
      <c r="D166" t="inlineStr">
        <is>
          <t>KRONOBERGS LÄN</t>
        </is>
      </c>
      <c r="E166" t="inlineStr">
        <is>
          <t>LJUNGBY</t>
        </is>
      </c>
      <c r="G166" t="n">
        <v>3.7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HYPERLINK("https://klasma.github.io/Logging_0781/artfynd/A 40690-2025 artfynd.xlsx", "A 40690-2025")</f>
        <v/>
      </c>
      <c r="T166">
        <f>HYPERLINK("https://klasma.github.io/Logging_0781/kartor/A 40690-2025 karta.png", "A 40690-2025")</f>
        <v/>
      </c>
      <c r="V166">
        <f>HYPERLINK("https://klasma.github.io/Logging_0781/klagomål/A 40690-2025 FSC-klagomål.docx", "A 40690-2025")</f>
        <v/>
      </c>
      <c r="W166">
        <f>HYPERLINK("https://klasma.github.io/Logging_0781/klagomålsmail/A 40690-2025 FSC-klagomål mail.docx", "A 40690-2025")</f>
        <v/>
      </c>
      <c r="X166">
        <f>HYPERLINK("https://klasma.github.io/Logging_0781/tillsyn/A 40690-2025 tillsynsbegäran.docx", "A 40690-2025")</f>
        <v/>
      </c>
      <c r="Y166">
        <f>HYPERLINK("https://klasma.github.io/Logging_0781/tillsynsmail/A 40690-2025 tillsynsbegäran mail.docx", "A 40690-2025")</f>
        <v/>
      </c>
    </row>
    <row r="167" ht="15" customHeight="1">
      <c r="A167" t="inlineStr">
        <is>
          <t>A 33730-2025</t>
        </is>
      </c>
      <c r="B167" s="1" t="n">
        <v>45842.29693287037</v>
      </c>
      <c r="C167" s="1" t="n">
        <v>45957</v>
      </c>
      <c r="D167" t="inlineStr">
        <is>
          <t>KRONOBERGS LÄN</t>
        </is>
      </c>
      <c r="E167" t="inlineStr">
        <is>
          <t>TINGSRYD</t>
        </is>
      </c>
      <c r="G167" t="n">
        <v>1.7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Backmåra</t>
        </is>
      </c>
      <c r="S167">
        <f>HYPERLINK("https://klasma.github.io/Logging_0763/artfynd/A 33730-2025 artfynd.xlsx", "A 33730-2025")</f>
        <v/>
      </c>
      <c r="T167">
        <f>HYPERLINK("https://klasma.github.io/Logging_0763/kartor/A 33730-2025 karta.png", "A 33730-2025")</f>
        <v/>
      </c>
      <c r="V167">
        <f>HYPERLINK("https://klasma.github.io/Logging_0763/klagomål/A 33730-2025 FSC-klagomål.docx", "A 33730-2025")</f>
        <v/>
      </c>
      <c r="W167">
        <f>HYPERLINK("https://klasma.github.io/Logging_0763/klagomålsmail/A 33730-2025 FSC-klagomål mail.docx", "A 33730-2025")</f>
        <v/>
      </c>
      <c r="X167">
        <f>HYPERLINK("https://klasma.github.io/Logging_0763/tillsyn/A 33730-2025 tillsynsbegäran.docx", "A 33730-2025")</f>
        <v/>
      </c>
      <c r="Y167">
        <f>HYPERLINK("https://klasma.github.io/Logging_0763/tillsynsmail/A 33730-2025 tillsynsbegäran mail.docx", "A 33730-2025")</f>
        <v/>
      </c>
    </row>
    <row r="168" ht="15" customHeight="1">
      <c r="A168" t="inlineStr">
        <is>
          <t>A 59362-2024</t>
        </is>
      </c>
      <c r="B168" s="1" t="n">
        <v>45638.32918981482</v>
      </c>
      <c r="C168" s="1" t="n">
        <v>45957</v>
      </c>
      <c r="D168" t="inlineStr">
        <is>
          <t>KRONOBERGS LÄN</t>
        </is>
      </c>
      <c r="E168" t="inlineStr">
        <is>
          <t>ALVESTA</t>
        </is>
      </c>
      <c r="G168" t="n">
        <v>0.6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HYPERLINK("https://klasma.github.io/Logging_0764/artfynd/A 59362-2024 artfynd.xlsx", "A 59362-2024")</f>
        <v/>
      </c>
      <c r="T168">
        <f>HYPERLINK("https://klasma.github.io/Logging_0764/kartor/A 59362-2024 karta.png", "A 59362-2024")</f>
        <v/>
      </c>
      <c r="V168">
        <f>HYPERLINK("https://klasma.github.io/Logging_0764/klagomål/A 59362-2024 FSC-klagomål.docx", "A 59362-2024")</f>
        <v/>
      </c>
      <c r="W168">
        <f>HYPERLINK("https://klasma.github.io/Logging_0764/klagomålsmail/A 59362-2024 FSC-klagomål mail.docx", "A 59362-2024")</f>
        <v/>
      </c>
      <c r="X168">
        <f>HYPERLINK("https://klasma.github.io/Logging_0764/tillsyn/A 59362-2024 tillsynsbegäran.docx", "A 59362-2024")</f>
        <v/>
      </c>
      <c r="Y168">
        <f>HYPERLINK("https://klasma.github.io/Logging_0764/tillsynsmail/A 59362-2024 tillsynsbegäran mail.docx", "A 59362-2024")</f>
        <v/>
      </c>
    </row>
    <row r="169" ht="15" customHeight="1">
      <c r="A169" t="inlineStr">
        <is>
          <t>A 15676-2022</t>
        </is>
      </c>
      <c r="B169" s="1" t="n">
        <v>44663</v>
      </c>
      <c r="C169" s="1" t="n">
        <v>45957</v>
      </c>
      <c r="D169" t="inlineStr">
        <is>
          <t>KRONOBERGS LÄN</t>
        </is>
      </c>
      <c r="E169" t="inlineStr">
        <is>
          <t>UPPVIDINGE</t>
        </is>
      </c>
      <c r="G169" t="n">
        <v>1.5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HYPERLINK("https://klasma.github.io/Logging_0760/artfynd/A 15676-2022 artfynd.xlsx", "A 15676-2022")</f>
        <v/>
      </c>
      <c r="T169">
        <f>HYPERLINK("https://klasma.github.io/Logging_0760/kartor/A 15676-2022 karta.png", "A 15676-2022")</f>
        <v/>
      </c>
      <c r="U169">
        <f>HYPERLINK("https://klasma.github.io/Logging_0760/knärot/A 15676-2022 karta knärot.png", "A 15676-2022")</f>
        <v/>
      </c>
      <c r="V169">
        <f>HYPERLINK("https://klasma.github.io/Logging_0760/klagomål/A 15676-2022 FSC-klagomål.docx", "A 15676-2022")</f>
        <v/>
      </c>
      <c r="W169">
        <f>HYPERLINK("https://klasma.github.io/Logging_0760/klagomålsmail/A 15676-2022 FSC-klagomål mail.docx", "A 15676-2022")</f>
        <v/>
      </c>
      <c r="X169">
        <f>HYPERLINK("https://klasma.github.io/Logging_0760/tillsyn/A 15676-2022 tillsynsbegäran.docx", "A 15676-2022")</f>
        <v/>
      </c>
      <c r="Y169">
        <f>HYPERLINK("https://klasma.github.io/Logging_0760/tillsynsmail/A 15676-2022 tillsynsbegäran mail.docx", "A 15676-2022")</f>
        <v/>
      </c>
    </row>
    <row r="170" ht="15" customHeight="1">
      <c r="A170" t="inlineStr">
        <is>
          <t>A 31438-2025</t>
        </is>
      </c>
      <c r="B170" s="1" t="n">
        <v>45833</v>
      </c>
      <c r="C170" s="1" t="n">
        <v>45957</v>
      </c>
      <c r="D170" t="inlineStr">
        <is>
          <t>KRONOBERGS LÄN</t>
        </is>
      </c>
      <c r="E170" t="inlineStr">
        <is>
          <t>TINGSRYD</t>
        </is>
      </c>
      <c r="G170" t="n">
        <v>4.1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Barkkornlav</t>
        </is>
      </c>
      <c r="S170">
        <f>HYPERLINK("https://klasma.github.io/Logging_0763/artfynd/A 31438-2025 artfynd.xlsx", "A 31438-2025")</f>
        <v/>
      </c>
      <c r="T170">
        <f>HYPERLINK("https://klasma.github.io/Logging_0763/kartor/A 31438-2025 karta.png", "A 31438-2025")</f>
        <v/>
      </c>
      <c r="V170">
        <f>HYPERLINK("https://klasma.github.io/Logging_0763/klagomål/A 31438-2025 FSC-klagomål.docx", "A 31438-2025")</f>
        <v/>
      </c>
      <c r="W170">
        <f>HYPERLINK("https://klasma.github.io/Logging_0763/klagomålsmail/A 31438-2025 FSC-klagomål mail.docx", "A 31438-2025")</f>
        <v/>
      </c>
      <c r="X170">
        <f>HYPERLINK("https://klasma.github.io/Logging_0763/tillsyn/A 31438-2025 tillsynsbegäran.docx", "A 31438-2025")</f>
        <v/>
      </c>
      <c r="Y170">
        <f>HYPERLINK("https://klasma.github.io/Logging_0763/tillsynsmail/A 31438-2025 tillsynsbegäran mail.docx", "A 31438-2025")</f>
        <v/>
      </c>
    </row>
    <row r="171" ht="15" customHeight="1">
      <c r="A171" t="inlineStr">
        <is>
          <t>A 6614-2025</t>
        </is>
      </c>
      <c r="B171" s="1" t="n">
        <v>45700.35604166667</v>
      </c>
      <c r="C171" s="1" t="n">
        <v>45957</v>
      </c>
      <c r="D171" t="inlineStr">
        <is>
          <t>KRONOBERGS LÄN</t>
        </is>
      </c>
      <c r="E171" t="inlineStr">
        <is>
          <t>MARKARYD</t>
        </is>
      </c>
      <c r="G171" t="n">
        <v>6.1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HYPERLINK("https://klasma.github.io/Logging_0767/artfynd/A 6614-2025 artfynd.xlsx", "A 6614-2025")</f>
        <v/>
      </c>
      <c r="T171">
        <f>HYPERLINK("https://klasma.github.io/Logging_0767/kartor/A 6614-2025 karta.png", "A 6614-2025")</f>
        <v/>
      </c>
      <c r="V171">
        <f>HYPERLINK("https://klasma.github.io/Logging_0767/klagomål/A 6614-2025 FSC-klagomål.docx", "A 6614-2025")</f>
        <v/>
      </c>
      <c r="W171">
        <f>HYPERLINK("https://klasma.github.io/Logging_0767/klagomålsmail/A 6614-2025 FSC-klagomål mail.docx", "A 6614-2025")</f>
        <v/>
      </c>
      <c r="X171">
        <f>HYPERLINK("https://klasma.github.io/Logging_0767/tillsyn/A 6614-2025 tillsynsbegäran.docx", "A 6614-2025")</f>
        <v/>
      </c>
      <c r="Y171">
        <f>HYPERLINK("https://klasma.github.io/Logging_0767/tillsynsmail/A 6614-2025 tillsynsbegäran mail.docx", "A 6614-2025")</f>
        <v/>
      </c>
    </row>
    <row r="172" ht="15" customHeight="1">
      <c r="A172" t="inlineStr">
        <is>
          <t>A 60370-2024</t>
        </is>
      </c>
      <c r="B172" s="1" t="n">
        <v>45643</v>
      </c>
      <c r="C172" s="1" t="n">
        <v>45957</v>
      </c>
      <c r="D172" t="inlineStr">
        <is>
          <t>KRONOBERGS LÄN</t>
        </is>
      </c>
      <c r="E172" t="inlineStr">
        <is>
          <t>VÄXJÖ</t>
        </is>
      </c>
      <c r="G172" t="n">
        <v>0.6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HYPERLINK("https://klasma.github.io/Logging_0780/artfynd/A 60370-2024 artfynd.xlsx", "A 60370-2024")</f>
        <v/>
      </c>
      <c r="T172">
        <f>HYPERLINK("https://klasma.github.io/Logging_0780/kartor/A 60370-2024 karta.png", "A 60370-2024")</f>
        <v/>
      </c>
      <c r="V172">
        <f>HYPERLINK("https://klasma.github.io/Logging_0780/klagomål/A 60370-2024 FSC-klagomål.docx", "A 60370-2024")</f>
        <v/>
      </c>
      <c r="W172">
        <f>HYPERLINK("https://klasma.github.io/Logging_0780/klagomålsmail/A 60370-2024 FSC-klagomål mail.docx", "A 60370-2024")</f>
        <v/>
      </c>
      <c r="X172">
        <f>HYPERLINK("https://klasma.github.io/Logging_0780/tillsyn/A 60370-2024 tillsynsbegäran.docx", "A 60370-2024")</f>
        <v/>
      </c>
      <c r="Y172">
        <f>HYPERLINK("https://klasma.github.io/Logging_0780/tillsynsmail/A 60370-2024 tillsynsbegäran mail.docx", "A 60370-2024")</f>
        <v/>
      </c>
    </row>
    <row r="173" ht="15" customHeight="1">
      <c r="A173" t="inlineStr">
        <is>
          <t>A 49963-2025</t>
        </is>
      </c>
      <c r="B173" s="1" t="n">
        <v>45941.46940972222</v>
      </c>
      <c r="C173" s="1" t="n">
        <v>45957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8.5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Kungsfågel</t>
        </is>
      </c>
      <c r="S173">
        <f>HYPERLINK("https://klasma.github.io/Logging_0760/artfynd/A 49963-2025 artfynd.xlsx", "A 49963-2025")</f>
        <v/>
      </c>
      <c r="T173">
        <f>HYPERLINK("https://klasma.github.io/Logging_0760/kartor/A 49963-2025 karta.png", "A 49963-2025")</f>
        <v/>
      </c>
      <c r="V173">
        <f>HYPERLINK("https://klasma.github.io/Logging_0760/klagomål/A 49963-2025 FSC-klagomål.docx", "A 49963-2025")</f>
        <v/>
      </c>
      <c r="W173">
        <f>HYPERLINK("https://klasma.github.io/Logging_0760/klagomålsmail/A 49963-2025 FSC-klagomål mail.docx", "A 49963-2025")</f>
        <v/>
      </c>
      <c r="X173">
        <f>HYPERLINK("https://klasma.github.io/Logging_0760/tillsyn/A 49963-2025 tillsynsbegäran.docx", "A 49963-2025")</f>
        <v/>
      </c>
      <c r="Y173">
        <f>HYPERLINK("https://klasma.github.io/Logging_0760/tillsynsmail/A 49963-2025 tillsynsbegäran mail.docx", "A 49963-2025")</f>
        <v/>
      </c>
      <c r="Z173">
        <f>HYPERLINK("https://klasma.github.io/Logging_0760/fåglar/A 49963-2025 prioriterade fågelarter.docx", "A 49963-2025")</f>
        <v/>
      </c>
    </row>
    <row r="174" ht="15" customHeight="1">
      <c r="A174" t="inlineStr">
        <is>
          <t>A 34928-2025</t>
        </is>
      </c>
      <c r="B174" s="1" t="n">
        <v>45849.56431712963</v>
      </c>
      <c r="C174" s="1" t="n">
        <v>45957</v>
      </c>
      <c r="D174" t="inlineStr">
        <is>
          <t>KRONOBERGS LÄN</t>
        </is>
      </c>
      <c r="E174" t="inlineStr">
        <is>
          <t>TINGSRYD</t>
        </is>
      </c>
      <c r="G174" t="n">
        <v>8.5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Västlig hakmossa</t>
        </is>
      </c>
      <c r="S174">
        <f>HYPERLINK("https://klasma.github.io/Logging_0763/artfynd/A 34928-2025 artfynd.xlsx", "A 34928-2025")</f>
        <v/>
      </c>
      <c r="T174">
        <f>HYPERLINK("https://klasma.github.io/Logging_0763/kartor/A 34928-2025 karta.png", "A 34928-2025")</f>
        <v/>
      </c>
      <c r="V174">
        <f>HYPERLINK("https://klasma.github.io/Logging_0763/klagomål/A 34928-2025 FSC-klagomål.docx", "A 34928-2025")</f>
        <v/>
      </c>
      <c r="W174">
        <f>HYPERLINK("https://klasma.github.io/Logging_0763/klagomålsmail/A 34928-2025 FSC-klagomål mail.docx", "A 34928-2025")</f>
        <v/>
      </c>
      <c r="X174">
        <f>HYPERLINK("https://klasma.github.io/Logging_0763/tillsyn/A 34928-2025 tillsynsbegäran.docx", "A 34928-2025")</f>
        <v/>
      </c>
      <c r="Y174">
        <f>HYPERLINK("https://klasma.github.io/Logging_0763/tillsynsmail/A 34928-2025 tillsynsbegäran mail.docx", "A 34928-2025")</f>
        <v/>
      </c>
    </row>
    <row r="175" ht="15" customHeight="1">
      <c r="A175" t="inlineStr">
        <is>
          <t>A 18747-2025</t>
        </is>
      </c>
      <c r="B175" s="1" t="n">
        <v>45763.78657407407</v>
      </c>
      <c r="C175" s="1" t="n">
        <v>45957</v>
      </c>
      <c r="D175" t="inlineStr">
        <is>
          <t>KRONOBERGS LÄN</t>
        </is>
      </c>
      <c r="E175" t="inlineStr">
        <is>
          <t>ÄLMHULT</t>
        </is>
      </c>
      <c r="G175" t="n">
        <v>1.4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Borsttåg</t>
        </is>
      </c>
      <c r="S175">
        <f>HYPERLINK("https://klasma.github.io/Logging_0765/artfynd/A 18747-2025 artfynd.xlsx", "A 18747-2025")</f>
        <v/>
      </c>
      <c r="T175">
        <f>HYPERLINK("https://klasma.github.io/Logging_0765/kartor/A 18747-2025 karta.png", "A 18747-2025")</f>
        <v/>
      </c>
      <c r="V175">
        <f>HYPERLINK("https://klasma.github.io/Logging_0765/klagomål/A 18747-2025 FSC-klagomål.docx", "A 18747-2025")</f>
        <v/>
      </c>
      <c r="W175">
        <f>HYPERLINK("https://klasma.github.io/Logging_0765/klagomålsmail/A 18747-2025 FSC-klagomål mail.docx", "A 18747-2025")</f>
        <v/>
      </c>
      <c r="X175">
        <f>HYPERLINK("https://klasma.github.io/Logging_0765/tillsyn/A 18747-2025 tillsynsbegäran.docx", "A 18747-2025")</f>
        <v/>
      </c>
      <c r="Y175">
        <f>HYPERLINK("https://klasma.github.io/Logging_0765/tillsynsmail/A 18747-2025 tillsynsbegäran mail.docx", "A 18747-2025")</f>
        <v/>
      </c>
    </row>
    <row r="176" ht="15" customHeight="1">
      <c r="A176" t="inlineStr">
        <is>
          <t>A 54470-2022</t>
        </is>
      </c>
      <c r="B176" s="1" t="n">
        <v>44882.65143518519</v>
      </c>
      <c r="C176" s="1" t="n">
        <v>45957</v>
      </c>
      <c r="D176" t="inlineStr">
        <is>
          <t>KRONOBERGS LÄN</t>
        </is>
      </c>
      <c r="E176" t="inlineStr">
        <is>
          <t>ÄLMHULT</t>
        </is>
      </c>
      <c r="G176" t="n">
        <v>2.3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Grönpyrola</t>
        </is>
      </c>
      <c r="S176">
        <f>HYPERLINK("https://klasma.github.io/Logging_0765/artfynd/A 54470-2022 artfynd.xlsx", "A 54470-2022")</f>
        <v/>
      </c>
      <c r="T176">
        <f>HYPERLINK("https://klasma.github.io/Logging_0765/kartor/A 54470-2022 karta.png", "A 54470-2022")</f>
        <v/>
      </c>
      <c r="V176">
        <f>HYPERLINK("https://klasma.github.io/Logging_0765/klagomål/A 54470-2022 FSC-klagomål.docx", "A 54470-2022")</f>
        <v/>
      </c>
      <c r="W176">
        <f>HYPERLINK("https://klasma.github.io/Logging_0765/klagomålsmail/A 54470-2022 FSC-klagomål mail.docx", "A 54470-2022")</f>
        <v/>
      </c>
      <c r="X176">
        <f>HYPERLINK("https://klasma.github.io/Logging_0765/tillsyn/A 54470-2022 tillsynsbegäran.docx", "A 54470-2022")</f>
        <v/>
      </c>
      <c r="Y176">
        <f>HYPERLINK("https://klasma.github.io/Logging_0765/tillsynsmail/A 54470-2022 tillsynsbegäran mail.docx", "A 54470-2022")</f>
        <v/>
      </c>
    </row>
    <row r="177" ht="15" customHeight="1">
      <c r="A177" t="inlineStr">
        <is>
          <t>A 55123-2020</t>
        </is>
      </c>
      <c r="B177" s="1" t="n">
        <v>44130</v>
      </c>
      <c r="C177" s="1" t="n">
        <v>45957</v>
      </c>
      <c r="D177" t="inlineStr">
        <is>
          <t>KRONOBERGS LÄN</t>
        </is>
      </c>
      <c r="E177" t="inlineStr">
        <is>
          <t>ALVESTA</t>
        </is>
      </c>
      <c r="G177" t="n">
        <v>15.4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Talltita</t>
        </is>
      </c>
      <c r="S177">
        <f>HYPERLINK("https://klasma.github.io/Logging_0764/artfynd/A 55123-2020 artfynd.xlsx", "A 55123-2020")</f>
        <v/>
      </c>
      <c r="T177">
        <f>HYPERLINK("https://klasma.github.io/Logging_0764/kartor/A 55123-2020 karta.png", "A 55123-2020")</f>
        <v/>
      </c>
      <c r="V177">
        <f>HYPERLINK("https://klasma.github.io/Logging_0764/klagomål/A 55123-2020 FSC-klagomål.docx", "A 55123-2020")</f>
        <v/>
      </c>
      <c r="W177">
        <f>HYPERLINK("https://klasma.github.io/Logging_0764/klagomålsmail/A 55123-2020 FSC-klagomål mail.docx", "A 55123-2020")</f>
        <v/>
      </c>
      <c r="X177">
        <f>HYPERLINK("https://klasma.github.io/Logging_0764/tillsyn/A 55123-2020 tillsynsbegäran.docx", "A 55123-2020")</f>
        <v/>
      </c>
      <c r="Y177">
        <f>HYPERLINK("https://klasma.github.io/Logging_0764/tillsynsmail/A 55123-2020 tillsynsbegäran mail.docx", "A 55123-2020")</f>
        <v/>
      </c>
      <c r="Z177">
        <f>HYPERLINK("https://klasma.github.io/Logging_0764/fåglar/A 55123-2020 prioriterade fågelarter.docx", "A 55123-2020")</f>
        <v/>
      </c>
    </row>
    <row r="178" ht="15" customHeight="1">
      <c r="A178" t="inlineStr">
        <is>
          <t>A 40266-2024</t>
        </is>
      </c>
      <c r="B178" s="1" t="n">
        <v>45554.63932870371</v>
      </c>
      <c r="C178" s="1" t="n">
        <v>45957</v>
      </c>
      <c r="D178" t="inlineStr">
        <is>
          <t>KRONOBERGS LÄN</t>
        </is>
      </c>
      <c r="E178" t="inlineStr">
        <is>
          <t>VÄXJÖ</t>
        </is>
      </c>
      <c r="G178" t="n">
        <v>0.5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Mindre bastardsvärmare</t>
        </is>
      </c>
      <c r="S178">
        <f>HYPERLINK("https://klasma.github.io/Logging_0780/artfynd/A 40266-2024 artfynd.xlsx", "A 40266-2024")</f>
        <v/>
      </c>
      <c r="T178">
        <f>HYPERLINK("https://klasma.github.io/Logging_0780/kartor/A 40266-2024 karta.png", "A 40266-2024")</f>
        <v/>
      </c>
      <c r="V178">
        <f>HYPERLINK("https://klasma.github.io/Logging_0780/klagomål/A 40266-2024 FSC-klagomål.docx", "A 40266-2024")</f>
        <v/>
      </c>
      <c r="W178">
        <f>HYPERLINK("https://klasma.github.io/Logging_0780/klagomålsmail/A 40266-2024 FSC-klagomål mail.docx", "A 40266-2024")</f>
        <v/>
      </c>
      <c r="X178">
        <f>HYPERLINK("https://klasma.github.io/Logging_0780/tillsyn/A 40266-2024 tillsynsbegäran.docx", "A 40266-2024")</f>
        <v/>
      </c>
      <c r="Y178">
        <f>HYPERLINK("https://klasma.github.io/Logging_0780/tillsynsmail/A 40266-2024 tillsynsbegäran mail.docx", "A 40266-2024")</f>
        <v/>
      </c>
    </row>
    <row r="179" ht="15" customHeight="1">
      <c r="A179" t="inlineStr">
        <is>
          <t>A 2015-2025</t>
        </is>
      </c>
      <c r="B179" s="1" t="n">
        <v>45672.46096064815</v>
      </c>
      <c r="C179" s="1" t="n">
        <v>45957</v>
      </c>
      <c r="D179" t="inlineStr">
        <is>
          <t>KRONOBERGS LÄN</t>
        </is>
      </c>
      <c r="E179" t="inlineStr">
        <is>
          <t>LJUNGBY</t>
        </is>
      </c>
      <c r="G179" t="n">
        <v>7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Igelkott</t>
        </is>
      </c>
      <c r="S179">
        <f>HYPERLINK("https://klasma.github.io/Logging_0781/artfynd/A 2015-2025 artfynd.xlsx", "A 2015-2025")</f>
        <v/>
      </c>
      <c r="T179">
        <f>HYPERLINK("https://klasma.github.io/Logging_0781/kartor/A 2015-2025 karta.png", "A 2015-2025")</f>
        <v/>
      </c>
      <c r="V179">
        <f>HYPERLINK("https://klasma.github.io/Logging_0781/klagomål/A 2015-2025 FSC-klagomål.docx", "A 2015-2025")</f>
        <v/>
      </c>
      <c r="W179">
        <f>HYPERLINK("https://klasma.github.io/Logging_0781/klagomålsmail/A 2015-2025 FSC-klagomål mail.docx", "A 2015-2025")</f>
        <v/>
      </c>
      <c r="X179">
        <f>HYPERLINK("https://klasma.github.io/Logging_0781/tillsyn/A 2015-2025 tillsynsbegäran.docx", "A 2015-2025")</f>
        <v/>
      </c>
      <c r="Y179">
        <f>HYPERLINK("https://klasma.github.io/Logging_0781/tillsynsmail/A 2015-2025 tillsynsbegäran mail.docx", "A 2015-2025")</f>
        <v/>
      </c>
    </row>
    <row r="180" ht="15" customHeight="1">
      <c r="A180" t="inlineStr">
        <is>
          <t>A 43766-2023</t>
        </is>
      </c>
      <c r="B180" s="1" t="n">
        <v>45187.50584490741</v>
      </c>
      <c r="C180" s="1" t="n">
        <v>45957</v>
      </c>
      <c r="D180" t="inlineStr">
        <is>
          <t>KRONOBERGS LÄN</t>
        </is>
      </c>
      <c r="E180" t="inlineStr">
        <is>
          <t>ALVESTA</t>
        </is>
      </c>
      <c r="G180" t="n">
        <v>0.8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Åkerkål</t>
        </is>
      </c>
      <c r="S180">
        <f>HYPERLINK("https://klasma.github.io/Logging_0764/artfynd/A 43766-2023 artfynd.xlsx", "A 43766-2023")</f>
        <v/>
      </c>
      <c r="T180">
        <f>HYPERLINK("https://klasma.github.io/Logging_0764/kartor/A 43766-2023 karta.png", "A 43766-2023")</f>
        <v/>
      </c>
      <c r="V180">
        <f>HYPERLINK("https://klasma.github.io/Logging_0764/klagomål/A 43766-2023 FSC-klagomål.docx", "A 43766-2023")</f>
        <v/>
      </c>
      <c r="W180">
        <f>HYPERLINK("https://klasma.github.io/Logging_0764/klagomålsmail/A 43766-2023 FSC-klagomål mail.docx", "A 43766-2023")</f>
        <v/>
      </c>
      <c r="X180">
        <f>HYPERLINK("https://klasma.github.io/Logging_0764/tillsyn/A 43766-2023 tillsynsbegäran.docx", "A 43766-2023")</f>
        <v/>
      </c>
      <c r="Y180">
        <f>HYPERLINK("https://klasma.github.io/Logging_0764/tillsynsmail/A 43766-2023 tillsynsbegäran mail.docx", "A 43766-2023")</f>
        <v/>
      </c>
    </row>
    <row r="181" ht="15" customHeight="1">
      <c r="A181" t="inlineStr">
        <is>
          <t>A 42414-2025</t>
        </is>
      </c>
      <c r="B181" s="1" t="n">
        <v>45905.39171296296</v>
      </c>
      <c r="C181" s="1" t="n">
        <v>45957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Igelkott</t>
        </is>
      </c>
      <c r="S181">
        <f>HYPERLINK("https://klasma.github.io/Logging_0781/artfynd/A 42414-2025 artfynd.xlsx", "A 42414-2025")</f>
        <v/>
      </c>
      <c r="T181">
        <f>HYPERLINK("https://klasma.github.io/Logging_0781/kartor/A 42414-2025 karta.png", "A 42414-2025")</f>
        <v/>
      </c>
      <c r="V181">
        <f>HYPERLINK("https://klasma.github.io/Logging_0781/klagomål/A 42414-2025 FSC-klagomål.docx", "A 42414-2025")</f>
        <v/>
      </c>
      <c r="W181">
        <f>HYPERLINK("https://klasma.github.io/Logging_0781/klagomålsmail/A 42414-2025 FSC-klagomål mail.docx", "A 42414-2025")</f>
        <v/>
      </c>
      <c r="X181">
        <f>HYPERLINK("https://klasma.github.io/Logging_0781/tillsyn/A 42414-2025 tillsynsbegäran.docx", "A 42414-2025")</f>
        <v/>
      </c>
      <c r="Y181">
        <f>HYPERLINK("https://klasma.github.io/Logging_0781/tillsynsmail/A 42414-2025 tillsynsbegäran mail.docx", "A 42414-2025")</f>
        <v/>
      </c>
    </row>
    <row r="182" ht="15" customHeight="1">
      <c r="A182" t="inlineStr">
        <is>
          <t>A 36305-2023</t>
        </is>
      </c>
      <c r="B182" s="1" t="n">
        <v>45152.37778935185</v>
      </c>
      <c r="C182" s="1" t="n">
        <v>45957</v>
      </c>
      <c r="D182" t="inlineStr">
        <is>
          <t>KRONOBERGS LÄN</t>
        </is>
      </c>
      <c r="E182" t="inlineStr">
        <is>
          <t>LJUNGBY</t>
        </is>
      </c>
      <c r="G182" t="n">
        <v>5.1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Björksplintborre</t>
        </is>
      </c>
      <c r="S182">
        <f>HYPERLINK("https://klasma.github.io/Logging_0781/artfynd/A 36305-2023 artfynd.xlsx", "A 36305-2023")</f>
        <v/>
      </c>
      <c r="T182">
        <f>HYPERLINK("https://klasma.github.io/Logging_0781/kartor/A 36305-2023 karta.png", "A 36305-2023")</f>
        <v/>
      </c>
      <c r="V182">
        <f>HYPERLINK("https://klasma.github.io/Logging_0781/klagomål/A 36305-2023 FSC-klagomål.docx", "A 36305-2023")</f>
        <v/>
      </c>
      <c r="W182">
        <f>HYPERLINK("https://klasma.github.io/Logging_0781/klagomålsmail/A 36305-2023 FSC-klagomål mail.docx", "A 36305-2023")</f>
        <v/>
      </c>
      <c r="X182">
        <f>HYPERLINK("https://klasma.github.io/Logging_0781/tillsyn/A 36305-2023 tillsynsbegäran.docx", "A 36305-2023")</f>
        <v/>
      </c>
      <c r="Y182">
        <f>HYPERLINK("https://klasma.github.io/Logging_0781/tillsynsmail/A 36305-2023 tillsynsbegäran mail.docx", "A 36305-2023")</f>
        <v/>
      </c>
    </row>
    <row r="183" ht="15" customHeight="1">
      <c r="A183" t="inlineStr">
        <is>
          <t>A 51785-2025</t>
        </is>
      </c>
      <c r="B183" s="1" t="n">
        <v>45951</v>
      </c>
      <c r="C183" s="1" t="n">
        <v>45957</v>
      </c>
      <c r="D183" t="inlineStr">
        <is>
          <t>KRONOBERGS LÄN</t>
        </is>
      </c>
      <c r="E183" t="inlineStr">
        <is>
          <t>ALVESTA</t>
        </is>
      </c>
      <c r="G183" t="n">
        <v>24.5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Borsttåg</t>
        </is>
      </c>
      <c r="S183">
        <f>HYPERLINK("https://klasma.github.io/Logging_0764/artfynd/A 51785-2025 artfynd.xlsx", "A 51785-2025")</f>
        <v/>
      </c>
      <c r="T183">
        <f>HYPERLINK("https://klasma.github.io/Logging_0764/kartor/A 51785-2025 karta.png", "A 51785-2025")</f>
        <v/>
      </c>
      <c r="V183">
        <f>HYPERLINK("https://klasma.github.io/Logging_0764/klagomål/A 51785-2025 FSC-klagomål.docx", "A 51785-2025")</f>
        <v/>
      </c>
      <c r="W183">
        <f>HYPERLINK("https://klasma.github.io/Logging_0764/klagomålsmail/A 51785-2025 FSC-klagomål mail.docx", "A 51785-2025")</f>
        <v/>
      </c>
      <c r="X183">
        <f>HYPERLINK("https://klasma.github.io/Logging_0764/tillsyn/A 51785-2025 tillsynsbegäran.docx", "A 51785-2025")</f>
        <v/>
      </c>
      <c r="Y183">
        <f>HYPERLINK("https://klasma.github.io/Logging_0764/tillsynsmail/A 51785-2025 tillsynsbegäran mail.docx", "A 51785-2025")</f>
        <v/>
      </c>
    </row>
    <row r="184" ht="15" customHeight="1">
      <c r="A184" t="inlineStr">
        <is>
          <t>A 43899-2025</t>
        </is>
      </c>
      <c r="B184" s="1" t="n">
        <v>45912.94699074074</v>
      </c>
      <c r="C184" s="1" t="n">
        <v>45957</v>
      </c>
      <c r="D184" t="inlineStr">
        <is>
          <t>KRONOBERGS LÄN</t>
        </is>
      </c>
      <c r="E184" t="inlineStr">
        <is>
          <t>VÄXJÖ</t>
        </is>
      </c>
      <c r="G184" t="n">
        <v>0.7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Grönsångare</t>
        </is>
      </c>
      <c r="S184">
        <f>HYPERLINK("https://klasma.github.io/Logging_0780/artfynd/A 43899-2025 artfynd.xlsx", "A 43899-2025")</f>
        <v/>
      </c>
      <c r="T184">
        <f>HYPERLINK("https://klasma.github.io/Logging_0780/kartor/A 43899-2025 karta.png", "A 43899-2025")</f>
        <v/>
      </c>
      <c r="V184">
        <f>HYPERLINK("https://klasma.github.io/Logging_0780/klagomål/A 43899-2025 FSC-klagomål.docx", "A 43899-2025")</f>
        <v/>
      </c>
      <c r="W184">
        <f>HYPERLINK("https://klasma.github.io/Logging_0780/klagomålsmail/A 43899-2025 FSC-klagomål mail.docx", "A 43899-2025")</f>
        <v/>
      </c>
      <c r="X184">
        <f>HYPERLINK("https://klasma.github.io/Logging_0780/tillsyn/A 43899-2025 tillsynsbegäran.docx", "A 43899-2025")</f>
        <v/>
      </c>
      <c r="Y184">
        <f>HYPERLINK("https://klasma.github.io/Logging_0780/tillsynsmail/A 43899-2025 tillsynsbegäran mail.docx", "A 43899-2025")</f>
        <v/>
      </c>
      <c r="Z184">
        <f>HYPERLINK("https://klasma.github.io/Logging_0780/fåglar/A 43899-2025 prioriterade fågelarter.docx", "A 43899-2025")</f>
        <v/>
      </c>
    </row>
    <row r="185" ht="15" customHeight="1">
      <c r="A185" t="inlineStr">
        <is>
          <t>A 63304-2023</t>
        </is>
      </c>
      <c r="B185" s="1" t="n">
        <v>45274.32131944445</v>
      </c>
      <c r="C185" s="1" t="n">
        <v>45957</v>
      </c>
      <c r="D185" t="inlineStr">
        <is>
          <t>KRONOBERGS LÄN</t>
        </is>
      </c>
      <c r="E185" t="inlineStr">
        <is>
          <t>LJUNGBY</t>
        </is>
      </c>
      <c r="G185" t="n">
        <v>0.7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HYPERLINK("https://klasma.github.io/Logging_0781/artfynd/A 63304-2023 artfynd.xlsx", "A 63304-2023")</f>
        <v/>
      </c>
      <c r="T185">
        <f>HYPERLINK("https://klasma.github.io/Logging_0781/kartor/A 63304-2023 karta.png", "A 63304-2023")</f>
        <v/>
      </c>
      <c r="V185">
        <f>HYPERLINK("https://klasma.github.io/Logging_0781/klagomål/A 63304-2023 FSC-klagomål.docx", "A 63304-2023")</f>
        <v/>
      </c>
      <c r="W185">
        <f>HYPERLINK("https://klasma.github.io/Logging_0781/klagomålsmail/A 63304-2023 FSC-klagomål mail.docx", "A 63304-2023")</f>
        <v/>
      </c>
      <c r="X185">
        <f>HYPERLINK("https://klasma.github.io/Logging_0781/tillsyn/A 63304-2023 tillsynsbegäran.docx", "A 63304-2023")</f>
        <v/>
      </c>
      <c r="Y185">
        <f>HYPERLINK("https://klasma.github.io/Logging_0781/tillsynsmail/A 63304-2023 tillsynsbegäran mail.docx", "A 63304-2023")</f>
        <v/>
      </c>
    </row>
    <row r="186" ht="15" customHeight="1">
      <c r="A186" t="inlineStr">
        <is>
          <t>A 29201-2025</t>
        </is>
      </c>
      <c r="B186" s="1" t="n">
        <v>45823.36462962963</v>
      </c>
      <c r="C186" s="1" t="n">
        <v>45957</v>
      </c>
      <c r="D186" t="inlineStr">
        <is>
          <t>KRONOBERGS LÄN</t>
        </is>
      </c>
      <c r="E186" t="inlineStr">
        <is>
          <t>MARKARYD</t>
        </is>
      </c>
      <c r="G186" t="n">
        <v>1.7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Fläcknycklar</t>
        </is>
      </c>
      <c r="S186">
        <f>HYPERLINK("https://klasma.github.io/Logging_0767/artfynd/A 29201-2025 artfynd.xlsx", "A 29201-2025")</f>
        <v/>
      </c>
      <c r="T186">
        <f>HYPERLINK("https://klasma.github.io/Logging_0767/kartor/A 29201-2025 karta.png", "A 29201-2025")</f>
        <v/>
      </c>
      <c r="V186">
        <f>HYPERLINK("https://klasma.github.io/Logging_0767/klagomål/A 29201-2025 FSC-klagomål.docx", "A 29201-2025")</f>
        <v/>
      </c>
      <c r="W186">
        <f>HYPERLINK("https://klasma.github.io/Logging_0767/klagomålsmail/A 29201-2025 FSC-klagomål mail.docx", "A 29201-2025")</f>
        <v/>
      </c>
      <c r="X186">
        <f>HYPERLINK("https://klasma.github.io/Logging_0767/tillsyn/A 29201-2025 tillsynsbegäran.docx", "A 29201-2025")</f>
        <v/>
      </c>
      <c r="Y186">
        <f>HYPERLINK("https://klasma.github.io/Logging_0767/tillsynsmail/A 29201-2025 tillsynsbegäran mail.docx", "A 29201-2025")</f>
        <v/>
      </c>
    </row>
    <row r="187" ht="15" customHeight="1">
      <c r="A187" t="inlineStr">
        <is>
          <t>A 28560-2025</t>
        </is>
      </c>
      <c r="B187" s="1" t="n">
        <v>45819</v>
      </c>
      <c r="C187" s="1" t="n">
        <v>45957</v>
      </c>
      <c r="D187" t="inlineStr">
        <is>
          <t>KRONOBERGS LÄN</t>
        </is>
      </c>
      <c r="E187" t="inlineStr">
        <is>
          <t>LJUNGBY</t>
        </is>
      </c>
      <c r="G187" t="n">
        <v>0.9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Svinrot</t>
        </is>
      </c>
      <c r="S187">
        <f>HYPERLINK("https://klasma.github.io/Logging_0781/artfynd/A 28560-2025 artfynd.xlsx", "A 28560-2025")</f>
        <v/>
      </c>
      <c r="T187">
        <f>HYPERLINK("https://klasma.github.io/Logging_0781/kartor/A 28560-2025 karta.png", "A 28560-2025")</f>
        <v/>
      </c>
      <c r="V187">
        <f>HYPERLINK("https://klasma.github.io/Logging_0781/klagomål/A 28560-2025 FSC-klagomål.docx", "A 28560-2025")</f>
        <v/>
      </c>
      <c r="W187">
        <f>HYPERLINK("https://klasma.github.io/Logging_0781/klagomålsmail/A 28560-2025 FSC-klagomål mail.docx", "A 28560-2025")</f>
        <v/>
      </c>
      <c r="X187">
        <f>HYPERLINK("https://klasma.github.io/Logging_0781/tillsyn/A 28560-2025 tillsynsbegäran.docx", "A 28560-2025")</f>
        <v/>
      </c>
      <c r="Y187">
        <f>HYPERLINK("https://klasma.github.io/Logging_0781/tillsynsmail/A 28560-2025 tillsynsbegäran mail.docx", "A 28560-2025")</f>
        <v/>
      </c>
    </row>
    <row r="188" ht="15" customHeight="1">
      <c r="A188" t="inlineStr">
        <is>
          <t>A 51284-2021</t>
        </is>
      </c>
      <c r="B188" s="1" t="n">
        <v>44461</v>
      </c>
      <c r="C188" s="1" t="n">
        <v>45957</v>
      </c>
      <c r="D188" t="inlineStr">
        <is>
          <t>KRONOBERGS LÄN</t>
        </is>
      </c>
      <c r="E188" t="inlineStr">
        <is>
          <t>LJUNGBY</t>
        </is>
      </c>
      <c r="G188" t="n">
        <v>1.1</v>
      </c>
      <c r="H188" t="n">
        <v>1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Spillkråka</t>
        </is>
      </c>
      <c r="S188">
        <f>HYPERLINK("https://klasma.github.io/Logging_0781/artfynd/A 51284-2021 artfynd.xlsx", "A 51284-2021")</f>
        <v/>
      </c>
      <c r="T188">
        <f>HYPERLINK("https://klasma.github.io/Logging_0781/kartor/A 51284-2021 karta.png", "A 51284-2021")</f>
        <v/>
      </c>
      <c r="V188">
        <f>HYPERLINK("https://klasma.github.io/Logging_0781/klagomål/A 51284-2021 FSC-klagomål.docx", "A 51284-2021")</f>
        <v/>
      </c>
      <c r="W188">
        <f>HYPERLINK("https://klasma.github.io/Logging_0781/klagomålsmail/A 51284-2021 FSC-klagomål mail.docx", "A 51284-2021")</f>
        <v/>
      </c>
      <c r="X188">
        <f>HYPERLINK("https://klasma.github.io/Logging_0781/tillsyn/A 51284-2021 tillsynsbegäran.docx", "A 51284-2021")</f>
        <v/>
      </c>
      <c r="Y188">
        <f>HYPERLINK("https://klasma.github.io/Logging_0781/tillsynsmail/A 51284-2021 tillsynsbegäran mail.docx", "A 51284-2021")</f>
        <v/>
      </c>
      <c r="Z188">
        <f>HYPERLINK("https://klasma.github.io/Logging_0781/fåglar/A 51284-2021 prioriterade fågelarter.docx", "A 51284-2021")</f>
        <v/>
      </c>
    </row>
    <row r="189" ht="15" customHeight="1">
      <c r="A189" t="inlineStr">
        <is>
          <t>A 14789-2025</t>
        </is>
      </c>
      <c r="B189" s="1" t="n">
        <v>45742.78724537037</v>
      </c>
      <c r="C189" s="1" t="n">
        <v>45957</v>
      </c>
      <c r="D189" t="inlineStr">
        <is>
          <t>KRONOBERGS LÄN</t>
        </is>
      </c>
      <c r="E189" t="inlineStr">
        <is>
          <t>ÄLMHULT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1</v>
      </c>
      <c r="O189" t="n">
        <v>1</v>
      </c>
      <c r="P189" t="n">
        <v>0</v>
      </c>
      <c r="Q189" t="n">
        <v>1</v>
      </c>
      <c r="R189" s="2" t="inlineStr">
        <is>
          <t>Pimpinellros</t>
        </is>
      </c>
      <c r="S189">
        <f>HYPERLINK("https://klasma.github.io/Logging_0765/artfynd/A 14789-2025 artfynd.xlsx", "A 14789-2025")</f>
        <v/>
      </c>
      <c r="T189">
        <f>HYPERLINK("https://klasma.github.io/Logging_0765/kartor/A 14789-2025 karta.png", "A 14789-2025")</f>
        <v/>
      </c>
      <c r="V189">
        <f>HYPERLINK("https://klasma.github.io/Logging_0765/klagomål/A 14789-2025 FSC-klagomål.docx", "A 14789-2025")</f>
        <v/>
      </c>
      <c r="W189">
        <f>HYPERLINK("https://klasma.github.io/Logging_0765/klagomålsmail/A 14789-2025 FSC-klagomål mail.docx", "A 14789-2025")</f>
        <v/>
      </c>
      <c r="X189">
        <f>HYPERLINK("https://klasma.github.io/Logging_0765/tillsyn/A 14789-2025 tillsynsbegäran.docx", "A 14789-2025")</f>
        <v/>
      </c>
      <c r="Y189">
        <f>HYPERLINK("https://klasma.github.io/Logging_0765/tillsynsmail/A 14789-2025 tillsynsbegäran mail.docx", "A 14789-2025")</f>
        <v/>
      </c>
    </row>
    <row r="190" ht="15" customHeight="1">
      <c r="A190" t="inlineStr">
        <is>
          <t>A 28325-2025</t>
        </is>
      </c>
      <c r="B190" s="1" t="n">
        <v>45818.65486111111</v>
      </c>
      <c r="C190" s="1" t="n">
        <v>45957</v>
      </c>
      <c r="D190" t="inlineStr">
        <is>
          <t>KRONOBERGS LÄN</t>
        </is>
      </c>
      <c r="E190" t="inlineStr">
        <is>
          <t>ÄLMHULT</t>
        </is>
      </c>
      <c r="F190" t="inlineStr">
        <is>
          <t>Sveaskog</t>
        </is>
      </c>
      <c r="G190" t="n">
        <v>2.2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HYPERLINK("https://klasma.github.io/Logging_0765/artfynd/A 28325-2025 artfynd.xlsx", "A 28325-2025")</f>
        <v/>
      </c>
      <c r="T190">
        <f>HYPERLINK("https://klasma.github.io/Logging_0765/kartor/A 28325-2025 karta.png", "A 28325-2025")</f>
        <v/>
      </c>
      <c r="V190">
        <f>HYPERLINK("https://klasma.github.io/Logging_0765/klagomål/A 28325-2025 FSC-klagomål.docx", "A 28325-2025")</f>
        <v/>
      </c>
      <c r="W190">
        <f>HYPERLINK("https://klasma.github.io/Logging_0765/klagomålsmail/A 28325-2025 FSC-klagomål mail.docx", "A 28325-2025")</f>
        <v/>
      </c>
      <c r="X190">
        <f>HYPERLINK("https://klasma.github.io/Logging_0765/tillsyn/A 28325-2025 tillsynsbegäran.docx", "A 28325-2025")</f>
        <v/>
      </c>
      <c r="Y190">
        <f>HYPERLINK("https://klasma.github.io/Logging_0765/tillsynsmail/A 28325-2025 tillsynsbegäran mail.docx", "A 28325-2025")</f>
        <v/>
      </c>
    </row>
    <row r="191" ht="15" customHeight="1">
      <c r="A191" t="inlineStr">
        <is>
          <t>A 38890-2024</t>
        </is>
      </c>
      <c r="B191" s="1" t="n">
        <v>45547.66675925926</v>
      </c>
      <c r="C191" s="1" t="n">
        <v>45957</v>
      </c>
      <c r="D191" t="inlineStr">
        <is>
          <t>KRONOBERGS LÄN</t>
        </is>
      </c>
      <c r="E191" t="inlineStr">
        <is>
          <t>ALVESTA</t>
        </is>
      </c>
      <c r="G191" t="n">
        <v>0.7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Hårklomossa</t>
        </is>
      </c>
      <c r="S191">
        <f>HYPERLINK("https://klasma.github.io/Logging_0764/artfynd/A 38890-2024 artfynd.xlsx", "A 38890-2024")</f>
        <v/>
      </c>
      <c r="T191">
        <f>HYPERLINK("https://klasma.github.io/Logging_0764/kartor/A 38890-2024 karta.png", "A 38890-2024")</f>
        <v/>
      </c>
      <c r="V191">
        <f>HYPERLINK("https://klasma.github.io/Logging_0764/klagomål/A 38890-2024 FSC-klagomål.docx", "A 38890-2024")</f>
        <v/>
      </c>
      <c r="W191">
        <f>HYPERLINK("https://klasma.github.io/Logging_0764/klagomålsmail/A 38890-2024 FSC-klagomål mail.docx", "A 38890-2024")</f>
        <v/>
      </c>
      <c r="X191">
        <f>HYPERLINK("https://klasma.github.io/Logging_0764/tillsyn/A 38890-2024 tillsynsbegäran.docx", "A 38890-2024")</f>
        <v/>
      </c>
      <c r="Y191">
        <f>HYPERLINK("https://klasma.github.io/Logging_0764/tillsynsmail/A 38890-2024 tillsynsbegäran mail.docx", "A 38890-2024")</f>
        <v/>
      </c>
    </row>
    <row r="192" ht="15" customHeight="1">
      <c r="A192" t="inlineStr">
        <is>
          <t>A 16141-2024</t>
        </is>
      </c>
      <c r="B192" s="1" t="n">
        <v>45406.55770833333</v>
      </c>
      <c r="C192" s="1" t="n">
        <v>45957</v>
      </c>
      <c r="D192" t="inlineStr">
        <is>
          <t>KRONOBERGS LÄN</t>
        </is>
      </c>
      <c r="E192" t="inlineStr">
        <is>
          <t>TINGSRYD</t>
        </is>
      </c>
      <c r="G192" t="n">
        <v>2.8</v>
      </c>
      <c r="H192" t="n">
        <v>1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Ekoxe</t>
        </is>
      </c>
      <c r="S192">
        <f>HYPERLINK("https://klasma.github.io/Logging_0763/artfynd/A 16141-2024 artfynd.xlsx", "A 16141-2024")</f>
        <v/>
      </c>
      <c r="T192">
        <f>HYPERLINK("https://klasma.github.io/Logging_0763/kartor/A 16141-2024 karta.png", "A 16141-2024")</f>
        <v/>
      </c>
      <c r="V192">
        <f>HYPERLINK("https://klasma.github.io/Logging_0763/klagomål/A 16141-2024 FSC-klagomål.docx", "A 16141-2024")</f>
        <v/>
      </c>
      <c r="W192">
        <f>HYPERLINK("https://klasma.github.io/Logging_0763/klagomålsmail/A 16141-2024 FSC-klagomål mail.docx", "A 16141-2024")</f>
        <v/>
      </c>
      <c r="X192">
        <f>HYPERLINK("https://klasma.github.io/Logging_0763/tillsyn/A 16141-2024 tillsynsbegäran.docx", "A 16141-2024")</f>
        <v/>
      </c>
      <c r="Y192">
        <f>HYPERLINK("https://klasma.github.io/Logging_0763/tillsynsmail/A 16141-2024 tillsynsbegäran mail.docx", "A 16141-2024")</f>
        <v/>
      </c>
    </row>
    <row r="193" ht="15" customHeight="1">
      <c r="A193" t="inlineStr">
        <is>
          <t>A 64830-2023</t>
        </is>
      </c>
      <c r="B193" s="1" t="n">
        <v>45282</v>
      </c>
      <c r="C193" s="1" t="n">
        <v>45957</v>
      </c>
      <c r="D193" t="inlineStr">
        <is>
          <t>KRONOBERGS LÄN</t>
        </is>
      </c>
      <c r="E193" t="inlineStr">
        <is>
          <t>LJUNGBY</t>
        </is>
      </c>
      <c r="G193" t="n">
        <v>0.7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HYPERLINK("https://klasma.github.io/Logging_0781/artfynd/A 64830-2023 artfynd.xlsx", "A 64830-2023")</f>
        <v/>
      </c>
      <c r="T193">
        <f>HYPERLINK("https://klasma.github.io/Logging_0781/kartor/A 64830-2023 karta.png", "A 64830-2023")</f>
        <v/>
      </c>
      <c r="V193">
        <f>HYPERLINK("https://klasma.github.io/Logging_0781/klagomål/A 64830-2023 FSC-klagomål.docx", "A 64830-2023")</f>
        <v/>
      </c>
      <c r="W193">
        <f>HYPERLINK("https://klasma.github.io/Logging_0781/klagomålsmail/A 64830-2023 FSC-klagomål mail.docx", "A 64830-2023")</f>
        <v/>
      </c>
      <c r="X193">
        <f>HYPERLINK("https://klasma.github.io/Logging_0781/tillsyn/A 64830-2023 tillsynsbegäran.docx", "A 64830-2023")</f>
        <v/>
      </c>
      <c r="Y193">
        <f>HYPERLINK("https://klasma.github.io/Logging_0781/tillsynsmail/A 64830-2023 tillsynsbegäran mail.docx", "A 64830-2023")</f>
        <v/>
      </c>
    </row>
    <row r="194" ht="15" customHeight="1">
      <c r="A194" t="inlineStr">
        <is>
          <t>A 50486-2021</t>
        </is>
      </c>
      <c r="B194" s="1" t="n">
        <v>44459</v>
      </c>
      <c r="C194" s="1" t="n">
        <v>45957</v>
      </c>
      <c r="D194" t="inlineStr">
        <is>
          <t>KRONOBERGS LÄN</t>
        </is>
      </c>
      <c r="E194" t="inlineStr">
        <is>
          <t>ALVESTA</t>
        </is>
      </c>
      <c r="G194" t="n">
        <v>9.1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Västlig hakmossa</t>
        </is>
      </c>
      <c r="S194">
        <f>HYPERLINK("https://klasma.github.io/Logging_0764/artfynd/A 50486-2021 artfynd.xlsx", "A 50486-2021")</f>
        <v/>
      </c>
      <c r="T194">
        <f>HYPERLINK("https://klasma.github.io/Logging_0764/kartor/A 50486-2021 karta.png", "A 50486-2021")</f>
        <v/>
      </c>
      <c r="V194">
        <f>HYPERLINK("https://klasma.github.io/Logging_0764/klagomål/A 50486-2021 FSC-klagomål.docx", "A 50486-2021")</f>
        <v/>
      </c>
      <c r="W194">
        <f>HYPERLINK("https://klasma.github.io/Logging_0764/klagomålsmail/A 50486-2021 FSC-klagomål mail.docx", "A 50486-2021")</f>
        <v/>
      </c>
      <c r="X194">
        <f>HYPERLINK("https://klasma.github.io/Logging_0764/tillsyn/A 50486-2021 tillsynsbegäran.docx", "A 50486-2021")</f>
        <v/>
      </c>
      <c r="Y194">
        <f>HYPERLINK("https://klasma.github.io/Logging_0764/tillsynsmail/A 50486-2021 tillsynsbegäran mail.docx", "A 50486-2021")</f>
        <v/>
      </c>
    </row>
    <row r="195" ht="15" customHeight="1">
      <c r="A195" t="inlineStr">
        <is>
          <t>A 37608-2022</t>
        </is>
      </c>
      <c r="B195" s="1" t="n">
        <v>44810</v>
      </c>
      <c r="C195" s="1" t="n">
        <v>45957</v>
      </c>
      <c r="D195" t="inlineStr">
        <is>
          <t>KRONOBERGS LÄN</t>
        </is>
      </c>
      <c r="E195" t="inlineStr">
        <is>
          <t>ALVESTA</t>
        </is>
      </c>
      <c r="G195" t="n">
        <v>5.3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Gropticka</t>
        </is>
      </c>
      <c r="S195">
        <f>HYPERLINK("https://klasma.github.io/Logging_0764/artfynd/A 37608-2022 artfynd.xlsx", "A 37608-2022")</f>
        <v/>
      </c>
      <c r="T195">
        <f>HYPERLINK("https://klasma.github.io/Logging_0764/kartor/A 37608-2022 karta.png", "A 37608-2022")</f>
        <v/>
      </c>
      <c r="V195">
        <f>HYPERLINK("https://klasma.github.io/Logging_0764/klagomål/A 37608-2022 FSC-klagomål.docx", "A 37608-2022")</f>
        <v/>
      </c>
      <c r="W195">
        <f>HYPERLINK("https://klasma.github.io/Logging_0764/klagomålsmail/A 37608-2022 FSC-klagomål mail.docx", "A 37608-2022")</f>
        <v/>
      </c>
      <c r="X195">
        <f>HYPERLINK("https://klasma.github.io/Logging_0764/tillsyn/A 37608-2022 tillsynsbegäran.docx", "A 37608-2022")</f>
        <v/>
      </c>
      <c r="Y195">
        <f>HYPERLINK("https://klasma.github.io/Logging_0764/tillsynsmail/A 37608-2022 tillsynsbegäran mail.docx", "A 37608-2022")</f>
        <v/>
      </c>
    </row>
    <row r="196" ht="15" customHeight="1">
      <c r="A196" t="inlineStr">
        <is>
          <t>A 49123-2022</t>
        </is>
      </c>
      <c r="B196" s="1" t="n">
        <v>44858</v>
      </c>
      <c r="C196" s="1" t="n">
        <v>45957</v>
      </c>
      <c r="D196" t="inlineStr">
        <is>
          <t>KRONOBERGS LÄN</t>
        </is>
      </c>
      <c r="E196" t="inlineStr">
        <is>
          <t>UPPVIDINGE</t>
        </is>
      </c>
      <c r="G196" t="n">
        <v>5.5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HYPERLINK("https://klasma.github.io/Logging_0760/artfynd/A 49123-2022 artfynd.xlsx", "A 49123-2022")</f>
        <v/>
      </c>
      <c r="T196">
        <f>HYPERLINK("https://klasma.github.io/Logging_0760/kartor/A 49123-2022 karta.png", "A 49123-2022")</f>
        <v/>
      </c>
      <c r="V196">
        <f>HYPERLINK("https://klasma.github.io/Logging_0760/klagomål/A 49123-2022 FSC-klagomål.docx", "A 49123-2022")</f>
        <v/>
      </c>
      <c r="W196">
        <f>HYPERLINK("https://klasma.github.io/Logging_0760/klagomålsmail/A 49123-2022 FSC-klagomål mail.docx", "A 49123-2022")</f>
        <v/>
      </c>
      <c r="X196">
        <f>HYPERLINK("https://klasma.github.io/Logging_0760/tillsyn/A 49123-2022 tillsynsbegäran.docx", "A 49123-2022")</f>
        <v/>
      </c>
      <c r="Y196">
        <f>HYPERLINK("https://klasma.github.io/Logging_0760/tillsynsmail/A 49123-2022 tillsynsbegäran mail.docx", "A 49123-2022")</f>
        <v/>
      </c>
    </row>
    <row r="197" ht="15" customHeight="1">
      <c r="A197" t="inlineStr">
        <is>
          <t>A 22238-2024</t>
        </is>
      </c>
      <c r="B197" s="1" t="n">
        <v>45446.43868055556</v>
      </c>
      <c r="C197" s="1" t="n">
        <v>45957</v>
      </c>
      <c r="D197" t="inlineStr">
        <is>
          <t>KRONOBERGS LÄN</t>
        </is>
      </c>
      <c r="E197" t="inlineStr">
        <is>
          <t>ALVESTA</t>
        </is>
      </c>
      <c r="G197" t="n">
        <v>0.7</v>
      </c>
      <c r="H197" t="n">
        <v>1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Klockgentiana</t>
        </is>
      </c>
      <c r="S197">
        <f>HYPERLINK("https://klasma.github.io/Logging_0764/artfynd/A 22238-2024 artfynd.xlsx", "A 22238-2024")</f>
        <v/>
      </c>
      <c r="T197">
        <f>HYPERLINK("https://klasma.github.io/Logging_0764/kartor/A 22238-2024 karta.png", "A 22238-2024")</f>
        <v/>
      </c>
      <c r="V197">
        <f>HYPERLINK("https://klasma.github.io/Logging_0764/klagomål/A 22238-2024 FSC-klagomål.docx", "A 22238-2024")</f>
        <v/>
      </c>
      <c r="W197">
        <f>HYPERLINK("https://klasma.github.io/Logging_0764/klagomålsmail/A 22238-2024 FSC-klagomål mail.docx", "A 22238-2024")</f>
        <v/>
      </c>
      <c r="X197">
        <f>HYPERLINK("https://klasma.github.io/Logging_0764/tillsyn/A 22238-2024 tillsynsbegäran.docx", "A 22238-2024")</f>
        <v/>
      </c>
      <c r="Y197">
        <f>HYPERLINK("https://klasma.github.io/Logging_0764/tillsynsmail/A 22238-2024 tillsynsbegäran mail.docx", "A 22238-2024")</f>
        <v/>
      </c>
    </row>
    <row r="198" ht="15" customHeight="1">
      <c r="A198" t="inlineStr">
        <is>
          <t>A 38036-2024</t>
        </is>
      </c>
      <c r="B198" s="1" t="n">
        <v>45544</v>
      </c>
      <c r="C198" s="1" t="n">
        <v>45957</v>
      </c>
      <c r="D198" t="inlineStr">
        <is>
          <t>KRONOBERGS LÄN</t>
        </is>
      </c>
      <c r="E198" t="inlineStr">
        <is>
          <t>VÄXJÖ</t>
        </is>
      </c>
      <c r="F198" t="inlineStr">
        <is>
          <t>Övriga Aktiebolag</t>
        </is>
      </c>
      <c r="G198" t="n">
        <v>2.2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Nattviol</t>
        </is>
      </c>
      <c r="S198">
        <f>HYPERLINK("https://klasma.github.io/Logging_0780/artfynd/A 38036-2024 artfynd.xlsx", "A 38036-2024")</f>
        <v/>
      </c>
      <c r="T198">
        <f>HYPERLINK("https://klasma.github.io/Logging_0780/kartor/A 38036-2024 karta.png", "A 38036-2024")</f>
        <v/>
      </c>
      <c r="V198">
        <f>HYPERLINK("https://klasma.github.io/Logging_0780/klagomål/A 38036-2024 FSC-klagomål.docx", "A 38036-2024")</f>
        <v/>
      </c>
      <c r="W198">
        <f>HYPERLINK("https://klasma.github.io/Logging_0780/klagomålsmail/A 38036-2024 FSC-klagomål mail.docx", "A 38036-2024")</f>
        <v/>
      </c>
      <c r="X198">
        <f>HYPERLINK("https://klasma.github.io/Logging_0780/tillsyn/A 38036-2024 tillsynsbegäran.docx", "A 38036-2024")</f>
        <v/>
      </c>
      <c r="Y198">
        <f>HYPERLINK("https://klasma.github.io/Logging_0780/tillsynsmail/A 38036-2024 tillsynsbegäran mail.docx", "A 38036-2024")</f>
        <v/>
      </c>
    </row>
    <row r="199" ht="15" customHeight="1">
      <c r="A199" t="inlineStr">
        <is>
          <t>A 6165-2021</t>
        </is>
      </c>
      <c r="B199" s="1" t="n">
        <v>44232</v>
      </c>
      <c r="C199" s="1" t="n">
        <v>45957</v>
      </c>
      <c r="D199" t="inlineStr">
        <is>
          <t>KRONOBERGS LÄN</t>
        </is>
      </c>
      <c r="E199" t="inlineStr">
        <is>
          <t>LJUNGBY</t>
        </is>
      </c>
      <c r="G199" t="n">
        <v>4.2</v>
      </c>
      <c r="H199" t="n">
        <v>1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Spillkråka</t>
        </is>
      </c>
      <c r="S199">
        <f>HYPERLINK("https://klasma.github.io/Logging_0781/artfynd/A 6165-2021 artfynd.xlsx", "A 6165-2021")</f>
        <v/>
      </c>
      <c r="T199">
        <f>HYPERLINK("https://klasma.github.io/Logging_0781/kartor/A 6165-2021 karta.png", "A 6165-2021")</f>
        <v/>
      </c>
      <c r="V199">
        <f>HYPERLINK("https://klasma.github.io/Logging_0781/klagomål/A 6165-2021 FSC-klagomål.docx", "A 6165-2021")</f>
        <v/>
      </c>
      <c r="W199">
        <f>HYPERLINK("https://klasma.github.io/Logging_0781/klagomålsmail/A 6165-2021 FSC-klagomål mail.docx", "A 6165-2021")</f>
        <v/>
      </c>
      <c r="X199">
        <f>HYPERLINK("https://klasma.github.io/Logging_0781/tillsyn/A 6165-2021 tillsynsbegäran.docx", "A 6165-2021")</f>
        <v/>
      </c>
      <c r="Y199">
        <f>HYPERLINK("https://klasma.github.io/Logging_0781/tillsynsmail/A 6165-2021 tillsynsbegäran mail.docx", "A 6165-2021")</f>
        <v/>
      </c>
      <c r="Z199">
        <f>HYPERLINK("https://klasma.github.io/Logging_0781/fåglar/A 6165-2021 prioriterade fågelarter.docx", "A 6165-2021")</f>
        <v/>
      </c>
    </row>
    <row r="200" ht="15" customHeight="1">
      <c r="A200" t="inlineStr">
        <is>
          <t>A 37936-2021</t>
        </is>
      </c>
      <c r="B200" s="1" t="n">
        <v>44403</v>
      </c>
      <c r="C200" s="1" t="n">
        <v>45957</v>
      </c>
      <c r="D200" t="inlineStr">
        <is>
          <t>KRONOBERGS LÄN</t>
        </is>
      </c>
      <c r="E200" t="inlineStr">
        <is>
          <t>LESSEBO</t>
        </is>
      </c>
      <c r="G200" t="n">
        <v>6.2</v>
      </c>
      <c r="H200" t="n">
        <v>1</v>
      </c>
      <c r="I200" t="n">
        <v>0</v>
      </c>
      <c r="J200" t="n">
        <v>0</v>
      </c>
      <c r="K200" t="n">
        <v>1</v>
      </c>
      <c r="L200" t="n">
        <v>0</v>
      </c>
      <c r="M200" t="n">
        <v>0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Knärot</t>
        </is>
      </c>
      <c r="S200">
        <f>HYPERLINK("https://klasma.github.io/Logging_0761/artfynd/A 37936-2021 artfynd.xlsx", "A 37936-2021")</f>
        <v/>
      </c>
      <c r="T200">
        <f>HYPERLINK("https://klasma.github.io/Logging_0761/kartor/A 37936-2021 karta.png", "A 37936-2021")</f>
        <v/>
      </c>
      <c r="U200">
        <f>HYPERLINK("https://klasma.github.io/Logging_0761/knärot/A 37936-2021 karta knärot.png", "A 37936-2021")</f>
        <v/>
      </c>
      <c r="V200">
        <f>HYPERLINK("https://klasma.github.io/Logging_0761/klagomål/A 37936-2021 FSC-klagomål.docx", "A 37936-2021")</f>
        <v/>
      </c>
      <c r="W200">
        <f>HYPERLINK("https://klasma.github.io/Logging_0761/klagomålsmail/A 37936-2021 FSC-klagomål mail.docx", "A 37936-2021")</f>
        <v/>
      </c>
      <c r="X200">
        <f>HYPERLINK("https://klasma.github.io/Logging_0761/tillsyn/A 37936-2021 tillsynsbegäran.docx", "A 37936-2021")</f>
        <v/>
      </c>
      <c r="Y200">
        <f>HYPERLINK("https://klasma.github.io/Logging_0761/tillsynsmail/A 37936-2021 tillsynsbegäran mail.docx", "A 37936-2021")</f>
        <v/>
      </c>
    </row>
    <row r="201" ht="15" customHeight="1">
      <c r="A201" t="inlineStr">
        <is>
          <t>A 18676-2023</t>
        </is>
      </c>
      <c r="B201" s="1" t="n">
        <v>45043.58965277778</v>
      </c>
      <c r="C201" s="1" t="n">
        <v>45957</v>
      </c>
      <c r="D201" t="inlineStr">
        <is>
          <t>KRONOBERGS LÄN</t>
        </is>
      </c>
      <c r="E201" t="inlineStr">
        <is>
          <t>ALVESTA</t>
        </is>
      </c>
      <c r="G201" t="n">
        <v>1.4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Blomkålssvamp</t>
        </is>
      </c>
      <c r="S201">
        <f>HYPERLINK("https://klasma.github.io/Logging_0764/artfynd/A 18676-2023 artfynd.xlsx", "A 18676-2023")</f>
        <v/>
      </c>
      <c r="T201">
        <f>HYPERLINK("https://klasma.github.io/Logging_0764/kartor/A 18676-2023 karta.png", "A 18676-2023")</f>
        <v/>
      </c>
      <c r="V201">
        <f>HYPERLINK("https://klasma.github.io/Logging_0764/klagomål/A 18676-2023 FSC-klagomål.docx", "A 18676-2023")</f>
        <v/>
      </c>
      <c r="W201">
        <f>HYPERLINK("https://klasma.github.io/Logging_0764/klagomålsmail/A 18676-2023 FSC-klagomål mail.docx", "A 18676-2023")</f>
        <v/>
      </c>
      <c r="X201">
        <f>HYPERLINK("https://klasma.github.io/Logging_0764/tillsyn/A 18676-2023 tillsynsbegäran.docx", "A 18676-2023")</f>
        <v/>
      </c>
      <c r="Y201">
        <f>HYPERLINK("https://klasma.github.io/Logging_0764/tillsynsmail/A 18676-2023 tillsynsbegäran mail.docx", "A 18676-2023")</f>
        <v/>
      </c>
    </row>
    <row r="202" ht="15" customHeight="1">
      <c r="A202" t="inlineStr">
        <is>
          <t>A 9825-2023</t>
        </is>
      </c>
      <c r="B202" s="1" t="n">
        <v>44984</v>
      </c>
      <c r="C202" s="1" t="n">
        <v>45957</v>
      </c>
      <c r="D202" t="inlineStr">
        <is>
          <t>KRONOBERGS LÄN</t>
        </is>
      </c>
      <c r="E202" t="inlineStr">
        <is>
          <t>TINGSRYD</t>
        </is>
      </c>
      <c r="G202" t="n">
        <v>3.5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Huggorm</t>
        </is>
      </c>
      <c r="S202">
        <f>HYPERLINK("https://klasma.github.io/Logging_0763/artfynd/A 9825-2023 artfynd.xlsx", "A 9825-2023")</f>
        <v/>
      </c>
      <c r="T202">
        <f>HYPERLINK("https://klasma.github.io/Logging_0763/kartor/A 9825-2023 karta.png", "A 9825-2023")</f>
        <v/>
      </c>
      <c r="V202">
        <f>HYPERLINK("https://klasma.github.io/Logging_0763/klagomål/A 9825-2023 FSC-klagomål.docx", "A 9825-2023")</f>
        <v/>
      </c>
      <c r="W202">
        <f>HYPERLINK("https://klasma.github.io/Logging_0763/klagomålsmail/A 9825-2023 FSC-klagomål mail.docx", "A 9825-2023")</f>
        <v/>
      </c>
      <c r="X202">
        <f>HYPERLINK("https://klasma.github.io/Logging_0763/tillsyn/A 9825-2023 tillsynsbegäran.docx", "A 9825-2023")</f>
        <v/>
      </c>
      <c r="Y202">
        <f>HYPERLINK("https://klasma.github.io/Logging_0763/tillsynsmail/A 9825-2023 tillsynsbegäran mail.docx", "A 9825-2023")</f>
        <v/>
      </c>
    </row>
    <row r="203" ht="15" customHeight="1">
      <c r="A203" t="inlineStr">
        <is>
          <t>A 27081-2024</t>
        </is>
      </c>
      <c r="B203" s="1" t="n">
        <v>45471</v>
      </c>
      <c r="C203" s="1" t="n">
        <v>45957</v>
      </c>
      <c r="D203" t="inlineStr">
        <is>
          <t>KRONOBERGS LÄN</t>
        </is>
      </c>
      <c r="E203" t="inlineStr">
        <is>
          <t>ALVESTA</t>
        </is>
      </c>
      <c r="G203" t="n">
        <v>1.9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Blåmossa</t>
        </is>
      </c>
      <c r="S203">
        <f>HYPERLINK("https://klasma.github.io/Logging_0764/artfynd/A 27081-2024 artfynd.xlsx", "A 27081-2024")</f>
        <v/>
      </c>
      <c r="T203">
        <f>HYPERLINK("https://klasma.github.io/Logging_0764/kartor/A 27081-2024 karta.png", "A 27081-2024")</f>
        <v/>
      </c>
      <c r="V203">
        <f>HYPERLINK("https://klasma.github.io/Logging_0764/klagomål/A 27081-2024 FSC-klagomål.docx", "A 27081-2024")</f>
        <v/>
      </c>
      <c r="W203">
        <f>HYPERLINK("https://klasma.github.io/Logging_0764/klagomålsmail/A 27081-2024 FSC-klagomål mail.docx", "A 27081-2024")</f>
        <v/>
      </c>
      <c r="X203">
        <f>HYPERLINK("https://klasma.github.io/Logging_0764/tillsyn/A 27081-2024 tillsynsbegäran.docx", "A 27081-2024")</f>
        <v/>
      </c>
      <c r="Y203">
        <f>HYPERLINK("https://klasma.github.io/Logging_0764/tillsynsmail/A 27081-2024 tillsynsbegäran mail.docx", "A 27081-2024")</f>
        <v/>
      </c>
    </row>
    <row r="204" ht="15" customHeight="1">
      <c r="A204" t="inlineStr">
        <is>
          <t>A 39277-2023</t>
        </is>
      </c>
      <c r="B204" s="1" t="n">
        <v>45166</v>
      </c>
      <c r="C204" s="1" t="n">
        <v>45957</v>
      </c>
      <c r="D204" t="inlineStr">
        <is>
          <t>KRONOBERGS LÄN</t>
        </is>
      </c>
      <c r="E204" t="inlineStr">
        <is>
          <t>ALVESTA</t>
        </is>
      </c>
      <c r="G204" t="n">
        <v>0.9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Västlig hakmossa</t>
        </is>
      </c>
      <c r="S204">
        <f>HYPERLINK("https://klasma.github.io/Logging_0764/artfynd/A 39277-2023 artfynd.xlsx", "A 39277-2023")</f>
        <v/>
      </c>
      <c r="T204">
        <f>HYPERLINK("https://klasma.github.io/Logging_0764/kartor/A 39277-2023 karta.png", "A 39277-2023")</f>
        <v/>
      </c>
      <c r="V204">
        <f>HYPERLINK("https://klasma.github.io/Logging_0764/klagomål/A 39277-2023 FSC-klagomål.docx", "A 39277-2023")</f>
        <v/>
      </c>
      <c r="W204">
        <f>HYPERLINK("https://klasma.github.io/Logging_0764/klagomålsmail/A 39277-2023 FSC-klagomål mail.docx", "A 39277-2023")</f>
        <v/>
      </c>
      <c r="X204">
        <f>HYPERLINK("https://klasma.github.io/Logging_0764/tillsyn/A 39277-2023 tillsynsbegäran.docx", "A 39277-2023")</f>
        <v/>
      </c>
      <c r="Y204">
        <f>HYPERLINK("https://klasma.github.io/Logging_0764/tillsynsmail/A 39277-2023 tillsynsbegäran mail.docx", "A 39277-2023")</f>
        <v/>
      </c>
    </row>
    <row r="205" ht="15" customHeight="1">
      <c r="A205" t="inlineStr">
        <is>
          <t>A 31667-2023</t>
        </is>
      </c>
      <c r="B205" s="1" t="n">
        <v>45098</v>
      </c>
      <c r="C205" s="1" t="n">
        <v>45957</v>
      </c>
      <c r="D205" t="inlineStr">
        <is>
          <t>KRONOBERGS LÄN</t>
        </is>
      </c>
      <c r="E205" t="inlineStr">
        <is>
          <t>VÄXJÖ</t>
        </is>
      </c>
      <c r="G205" t="n">
        <v>1.5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Hårklomossa</t>
        </is>
      </c>
      <c r="S205">
        <f>HYPERLINK("https://klasma.github.io/Logging_0780/artfynd/A 31667-2023 artfynd.xlsx", "A 31667-2023")</f>
        <v/>
      </c>
      <c r="T205">
        <f>HYPERLINK("https://klasma.github.io/Logging_0780/kartor/A 31667-2023 karta.png", "A 31667-2023")</f>
        <v/>
      </c>
      <c r="V205">
        <f>HYPERLINK("https://klasma.github.io/Logging_0780/klagomål/A 31667-2023 FSC-klagomål.docx", "A 31667-2023")</f>
        <v/>
      </c>
      <c r="W205">
        <f>HYPERLINK("https://klasma.github.io/Logging_0780/klagomålsmail/A 31667-2023 FSC-klagomål mail.docx", "A 31667-2023")</f>
        <v/>
      </c>
      <c r="X205">
        <f>HYPERLINK("https://klasma.github.io/Logging_0780/tillsyn/A 31667-2023 tillsynsbegäran.docx", "A 31667-2023")</f>
        <v/>
      </c>
      <c r="Y205">
        <f>HYPERLINK("https://klasma.github.io/Logging_0780/tillsynsmail/A 31667-2023 tillsynsbegäran mail.docx", "A 31667-2023")</f>
        <v/>
      </c>
    </row>
    <row r="206" ht="15" customHeight="1">
      <c r="A206" t="inlineStr">
        <is>
          <t>A 64150-2023</t>
        </is>
      </c>
      <c r="B206" s="1" t="n">
        <v>45279</v>
      </c>
      <c r="C206" s="1" t="n">
        <v>45957</v>
      </c>
      <c r="D206" t="inlineStr">
        <is>
          <t>KRONOBERGS LÄN</t>
        </is>
      </c>
      <c r="E206" t="inlineStr">
        <is>
          <t>VÄXJÖ</t>
        </is>
      </c>
      <c r="G206" t="n">
        <v>7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Blåmossa</t>
        </is>
      </c>
      <c r="S206">
        <f>HYPERLINK("https://klasma.github.io/Logging_0780/artfynd/A 64150-2023 artfynd.xlsx", "A 64150-2023")</f>
        <v/>
      </c>
      <c r="T206">
        <f>HYPERLINK("https://klasma.github.io/Logging_0780/kartor/A 64150-2023 karta.png", "A 64150-2023")</f>
        <v/>
      </c>
      <c r="V206">
        <f>HYPERLINK("https://klasma.github.io/Logging_0780/klagomål/A 64150-2023 FSC-klagomål.docx", "A 64150-2023")</f>
        <v/>
      </c>
      <c r="W206">
        <f>HYPERLINK("https://klasma.github.io/Logging_0780/klagomålsmail/A 64150-2023 FSC-klagomål mail.docx", "A 64150-2023")</f>
        <v/>
      </c>
      <c r="X206">
        <f>HYPERLINK("https://klasma.github.io/Logging_0780/tillsyn/A 64150-2023 tillsynsbegäran.docx", "A 64150-2023")</f>
        <v/>
      </c>
      <c r="Y206">
        <f>HYPERLINK("https://klasma.github.io/Logging_0780/tillsynsmail/A 64150-2023 tillsynsbegäran mail.docx", "A 64150-2023")</f>
        <v/>
      </c>
    </row>
    <row r="207" ht="15" customHeight="1">
      <c r="A207" t="inlineStr">
        <is>
          <t>A 6548-2024</t>
        </is>
      </c>
      <c r="B207" s="1" t="n">
        <v>45341</v>
      </c>
      <c r="C207" s="1" t="n">
        <v>45957</v>
      </c>
      <c r="D207" t="inlineStr">
        <is>
          <t>KRONOBERGS LÄN</t>
        </is>
      </c>
      <c r="E207" t="inlineStr">
        <is>
          <t>TINGSRYD</t>
        </is>
      </c>
      <c r="G207" t="n">
        <v>1.2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Revlummer</t>
        </is>
      </c>
      <c r="S207">
        <f>HYPERLINK("https://klasma.github.io/Logging_0763/artfynd/A 6548-2024 artfynd.xlsx", "A 6548-2024")</f>
        <v/>
      </c>
      <c r="T207">
        <f>HYPERLINK("https://klasma.github.io/Logging_0763/kartor/A 6548-2024 karta.png", "A 6548-2024")</f>
        <v/>
      </c>
      <c r="V207">
        <f>HYPERLINK("https://klasma.github.io/Logging_0763/klagomål/A 6548-2024 FSC-klagomål.docx", "A 6548-2024")</f>
        <v/>
      </c>
      <c r="W207">
        <f>HYPERLINK("https://klasma.github.io/Logging_0763/klagomålsmail/A 6548-2024 FSC-klagomål mail.docx", "A 6548-2024")</f>
        <v/>
      </c>
      <c r="X207">
        <f>HYPERLINK("https://klasma.github.io/Logging_0763/tillsyn/A 6548-2024 tillsynsbegäran.docx", "A 6548-2024")</f>
        <v/>
      </c>
      <c r="Y207">
        <f>HYPERLINK("https://klasma.github.io/Logging_0763/tillsynsmail/A 6548-2024 tillsynsbegäran mail.docx", "A 6548-2024")</f>
        <v/>
      </c>
    </row>
    <row r="208" ht="15" customHeight="1">
      <c r="A208" t="inlineStr">
        <is>
          <t>A 42783-2023</t>
        </is>
      </c>
      <c r="B208" s="1" t="n">
        <v>45181</v>
      </c>
      <c r="C208" s="1" t="n">
        <v>45957</v>
      </c>
      <c r="D208" t="inlineStr">
        <is>
          <t>KRONOBERGS LÄN</t>
        </is>
      </c>
      <c r="E208" t="inlineStr">
        <is>
          <t>LJUNGBY</t>
        </is>
      </c>
      <c r="G208" t="n">
        <v>2.4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Hårklomossa</t>
        </is>
      </c>
      <c r="S208">
        <f>HYPERLINK("https://klasma.github.io/Logging_0781/artfynd/A 42783-2023 artfynd.xlsx", "A 42783-2023")</f>
        <v/>
      </c>
      <c r="T208">
        <f>HYPERLINK("https://klasma.github.io/Logging_0781/kartor/A 42783-2023 karta.png", "A 42783-2023")</f>
        <v/>
      </c>
      <c r="V208">
        <f>HYPERLINK("https://klasma.github.io/Logging_0781/klagomål/A 42783-2023 FSC-klagomål.docx", "A 42783-2023")</f>
        <v/>
      </c>
      <c r="W208">
        <f>HYPERLINK("https://klasma.github.io/Logging_0781/klagomålsmail/A 42783-2023 FSC-klagomål mail.docx", "A 42783-2023")</f>
        <v/>
      </c>
      <c r="X208">
        <f>HYPERLINK("https://klasma.github.io/Logging_0781/tillsyn/A 42783-2023 tillsynsbegäran.docx", "A 42783-2023")</f>
        <v/>
      </c>
      <c r="Y208">
        <f>HYPERLINK("https://klasma.github.io/Logging_0781/tillsynsmail/A 42783-2023 tillsynsbegäran mail.docx", "A 42783-2023")</f>
        <v/>
      </c>
    </row>
    <row r="209" ht="15" customHeight="1">
      <c r="A209" t="inlineStr">
        <is>
          <t>A 430-2025</t>
        </is>
      </c>
      <c r="B209" s="1" t="n">
        <v>45664</v>
      </c>
      <c r="C209" s="1" t="n">
        <v>45957</v>
      </c>
      <c r="D209" t="inlineStr">
        <is>
          <t>KRONOBERGS LÄN</t>
        </is>
      </c>
      <c r="E209" t="inlineStr">
        <is>
          <t>ALVESTA</t>
        </is>
      </c>
      <c r="G209" t="n">
        <v>1.4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Grönsångare</t>
        </is>
      </c>
      <c r="S209">
        <f>HYPERLINK("https://klasma.github.io/Logging_0764/artfynd/A 430-2025 artfynd.xlsx", "A 430-2025")</f>
        <v/>
      </c>
      <c r="T209">
        <f>HYPERLINK("https://klasma.github.io/Logging_0764/kartor/A 430-2025 karta.png", "A 430-2025")</f>
        <v/>
      </c>
      <c r="V209">
        <f>HYPERLINK("https://klasma.github.io/Logging_0764/klagomål/A 430-2025 FSC-klagomål.docx", "A 430-2025")</f>
        <v/>
      </c>
      <c r="W209">
        <f>HYPERLINK("https://klasma.github.io/Logging_0764/klagomålsmail/A 430-2025 FSC-klagomål mail.docx", "A 430-2025")</f>
        <v/>
      </c>
      <c r="X209">
        <f>HYPERLINK("https://klasma.github.io/Logging_0764/tillsyn/A 430-2025 tillsynsbegäran.docx", "A 430-2025")</f>
        <v/>
      </c>
      <c r="Y209">
        <f>HYPERLINK("https://klasma.github.io/Logging_0764/tillsynsmail/A 430-2025 tillsynsbegäran mail.docx", "A 430-2025")</f>
        <v/>
      </c>
      <c r="Z209">
        <f>HYPERLINK("https://klasma.github.io/Logging_0764/fåglar/A 430-2025 prioriterade fågelarter.docx", "A 430-2025")</f>
        <v/>
      </c>
    </row>
    <row r="210" ht="15" customHeight="1">
      <c r="A210" t="inlineStr">
        <is>
          <t>A 3863-2024</t>
        </is>
      </c>
      <c r="B210" s="1" t="n">
        <v>45322</v>
      </c>
      <c r="C210" s="1" t="n">
        <v>45957</v>
      </c>
      <c r="D210" t="inlineStr">
        <is>
          <t>KRONOBERGS LÄN</t>
        </is>
      </c>
      <c r="E210" t="inlineStr">
        <is>
          <t>TINGSRYD</t>
        </is>
      </c>
      <c r="F210" t="inlineStr">
        <is>
          <t>Övriga Aktiebolag</t>
        </is>
      </c>
      <c r="G210" t="n">
        <v>2.2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Safsa</t>
        </is>
      </c>
      <c r="S210">
        <f>HYPERLINK("https://klasma.github.io/Logging_0763/artfynd/A 3863-2024 artfynd.xlsx", "A 3863-2024")</f>
        <v/>
      </c>
      <c r="T210">
        <f>HYPERLINK("https://klasma.github.io/Logging_0763/kartor/A 3863-2024 karta.png", "A 3863-2024")</f>
        <v/>
      </c>
      <c r="V210">
        <f>HYPERLINK("https://klasma.github.io/Logging_0763/klagomål/A 3863-2024 FSC-klagomål.docx", "A 3863-2024")</f>
        <v/>
      </c>
      <c r="W210">
        <f>HYPERLINK("https://klasma.github.io/Logging_0763/klagomålsmail/A 3863-2024 FSC-klagomål mail.docx", "A 3863-2024")</f>
        <v/>
      </c>
      <c r="X210">
        <f>HYPERLINK("https://klasma.github.io/Logging_0763/tillsyn/A 3863-2024 tillsynsbegäran.docx", "A 3863-2024")</f>
        <v/>
      </c>
      <c r="Y210">
        <f>HYPERLINK("https://klasma.github.io/Logging_0763/tillsynsmail/A 3863-2024 tillsynsbegäran mail.docx", "A 3863-2024")</f>
        <v/>
      </c>
    </row>
    <row r="211" ht="15" customHeight="1">
      <c r="A211" t="inlineStr">
        <is>
          <t>A 42487-2024</t>
        </is>
      </c>
      <c r="B211" s="1" t="n">
        <v>45565.49403935186</v>
      </c>
      <c r="C211" s="1" t="n">
        <v>45957</v>
      </c>
      <c r="D211" t="inlineStr">
        <is>
          <t>KRONOBERGS LÄN</t>
        </is>
      </c>
      <c r="E211" t="inlineStr">
        <is>
          <t>TINGSRYD</t>
        </is>
      </c>
      <c r="G211" t="n">
        <v>2.9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Spillkråka</t>
        </is>
      </c>
      <c r="S211">
        <f>HYPERLINK("https://klasma.github.io/Logging_0763/artfynd/A 42487-2024 artfynd.xlsx", "A 42487-2024")</f>
        <v/>
      </c>
      <c r="T211">
        <f>HYPERLINK("https://klasma.github.io/Logging_0763/kartor/A 42487-2024 karta.png", "A 42487-2024")</f>
        <v/>
      </c>
      <c r="V211">
        <f>HYPERLINK("https://klasma.github.io/Logging_0763/klagomål/A 42487-2024 FSC-klagomål.docx", "A 42487-2024")</f>
        <v/>
      </c>
      <c r="W211">
        <f>HYPERLINK("https://klasma.github.io/Logging_0763/klagomålsmail/A 42487-2024 FSC-klagomål mail.docx", "A 42487-2024")</f>
        <v/>
      </c>
      <c r="X211">
        <f>HYPERLINK("https://klasma.github.io/Logging_0763/tillsyn/A 42487-2024 tillsynsbegäran.docx", "A 42487-2024")</f>
        <v/>
      </c>
      <c r="Y211">
        <f>HYPERLINK("https://klasma.github.io/Logging_0763/tillsynsmail/A 42487-2024 tillsynsbegäran mail.docx", "A 42487-2024")</f>
        <v/>
      </c>
      <c r="Z211">
        <f>HYPERLINK("https://klasma.github.io/Logging_0763/fåglar/A 42487-2024 prioriterade fågelarter.docx", "A 42487-2024")</f>
        <v/>
      </c>
    </row>
    <row r="212" ht="15" customHeight="1">
      <c r="A212" t="inlineStr">
        <is>
          <t>A 13460-2023</t>
        </is>
      </c>
      <c r="B212" s="1" t="n">
        <v>45005</v>
      </c>
      <c r="C212" s="1" t="n">
        <v>45957</v>
      </c>
      <c r="D212" t="inlineStr">
        <is>
          <t>KRONOBERGS LÄN</t>
        </is>
      </c>
      <c r="E212" t="inlineStr">
        <is>
          <t>LJUNGBY</t>
        </is>
      </c>
      <c r="G212" t="n">
        <v>5.1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Spillkråka</t>
        </is>
      </c>
      <c r="S212">
        <f>HYPERLINK("https://klasma.github.io/Logging_0781/artfynd/A 13460-2023 artfynd.xlsx", "A 13460-2023")</f>
        <v/>
      </c>
      <c r="T212">
        <f>HYPERLINK("https://klasma.github.io/Logging_0781/kartor/A 13460-2023 karta.png", "A 13460-2023")</f>
        <v/>
      </c>
      <c r="V212">
        <f>HYPERLINK("https://klasma.github.io/Logging_0781/klagomål/A 13460-2023 FSC-klagomål.docx", "A 13460-2023")</f>
        <v/>
      </c>
      <c r="W212">
        <f>HYPERLINK("https://klasma.github.io/Logging_0781/klagomålsmail/A 13460-2023 FSC-klagomål mail.docx", "A 13460-2023")</f>
        <v/>
      </c>
      <c r="X212">
        <f>HYPERLINK("https://klasma.github.io/Logging_0781/tillsyn/A 13460-2023 tillsynsbegäran.docx", "A 13460-2023")</f>
        <v/>
      </c>
      <c r="Y212">
        <f>HYPERLINK("https://klasma.github.io/Logging_0781/tillsynsmail/A 13460-2023 tillsynsbegäran mail.docx", "A 13460-2023")</f>
        <v/>
      </c>
      <c r="Z212">
        <f>HYPERLINK("https://klasma.github.io/Logging_0781/fåglar/A 13460-2023 prioriterade fågelarter.docx", "A 13460-2023")</f>
        <v/>
      </c>
    </row>
    <row r="213" ht="15" customHeight="1">
      <c r="A213" t="inlineStr">
        <is>
          <t>A 30359-2023</t>
        </is>
      </c>
      <c r="B213" s="1" t="n">
        <v>45111</v>
      </c>
      <c r="C213" s="1" t="n">
        <v>45957</v>
      </c>
      <c r="D213" t="inlineStr">
        <is>
          <t>KRONOBERGS LÄN</t>
        </is>
      </c>
      <c r="E213" t="inlineStr">
        <is>
          <t>LJUNGBY</t>
        </is>
      </c>
      <c r="G213" t="n">
        <v>2.1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Brunpudrad nållav</t>
        </is>
      </c>
      <c r="S213">
        <f>HYPERLINK("https://klasma.github.io/Logging_0781/artfynd/A 30359-2023 artfynd.xlsx", "A 30359-2023")</f>
        <v/>
      </c>
      <c r="T213">
        <f>HYPERLINK("https://klasma.github.io/Logging_0781/kartor/A 30359-2023 karta.png", "A 30359-2023")</f>
        <v/>
      </c>
      <c r="V213">
        <f>HYPERLINK("https://klasma.github.io/Logging_0781/klagomål/A 30359-2023 FSC-klagomål.docx", "A 30359-2023")</f>
        <v/>
      </c>
      <c r="W213">
        <f>HYPERLINK("https://klasma.github.io/Logging_0781/klagomålsmail/A 30359-2023 FSC-klagomål mail.docx", "A 30359-2023")</f>
        <v/>
      </c>
      <c r="X213">
        <f>HYPERLINK("https://klasma.github.io/Logging_0781/tillsyn/A 30359-2023 tillsynsbegäran.docx", "A 30359-2023")</f>
        <v/>
      </c>
      <c r="Y213">
        <f>HYPERLINK("https://klasma.github.io/Logging_0781/tillsynsmail/A 30359-2023 tillsynsbegäran mail.docx", "A 30359-2023")</f>
        <v/>
      </c>
    </row>
    <row r="214" ht="15" customHeight="1">
      <c r="A214" t="inlineStr">
        <is>
          <t>A 15922-2025</t>
        </is>
      </c>
      <c r="B214" s="1" t="n">
        <v>45749.46063657408</v>
      </c>
      <c r="C214" s="1" t="n">
        <v>45957</v>
      </c>
      <c r="D214" t="inlineStr">
        <is>
          <t>KRONOBERGS LÄN</t>
        </is>
      </c>
      <c r="E214" t="inlineStr">
        <is>
          <t>LJUNGBY</t>
        </is>
      </c>
      <c r="G214" t="n">
        <v>4.4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Kungsörn</t>
        </is>
      </c>
      <c r="S214">
        <f>HYPERLINK("https://klasma.github.io/Logging_0781/artfynd/A 15922-2025 artfynd.xlsx", "A 15922-2025")</f>
        <v/>
      </c>
      <c r="T214">
        <f>HYPERLINK("https://klasma.github.io/Logging_0781/kartor/A 15922-2025 karta.png", "A 15922-2025")</f>
        <v/>
      </c>
      <c r="V214">
        <f>HYPERLINK("https://klasma.github.io/Logging_0781/klagomål/A 15922-2025 FSC-klagomål.docx", "A 15922-2025")</f>
        <v/>
      </c>
      <c r="W214">
        <f>HYPERLINK("https://klasma.github.io/Logging_0781/klagomålsmail/A 15922-2025 FSC-klagomål mail.docx", "A 15922-2025")</f>
        <v/>
      </c>
      <c r="X214">
        <f>HYPERLINK("https://klasma.github.io/Logging_0781/tillsyn/A 15922-2025 tillsynsbegäran.docx", "A 15922-2025")</f>
        <v/>
      </c>
      <c r="Y214">
        <f>HYPERLINK("https://klasma.github.io/Logging_0781/tillsynsmail/A 15922-2025 tillsynsbegäran mail.docx", "A 15922-2025")</f>
        <v/>
      </c>
      <c r="Z214">
        <f>HYPERLINK("https://klasma.github.io/Logging_0781/fåglar/A 15922-2025 prioriterade fågelarter.docx", "A 15922-2025")</f>
        <v/>
      </c>
    </row>
    <row r="215" ht="15" customHeight="1">
      <c r="A215" t="inlineStr">
        <is>
          <t>A 56472-2024</t>
        </is>
      </c>
      <c r="B215" s="1" t="n">
        <v>45625.46011574074</v>
      </c>
      <c r="C215" s="1" t="n">
        <v>45957</v>
      </c>
      <c r="D215" t="inlineStr">
        <is>
          <t>KRONOBERGS LÄN</t>
        </is>
      </c>
      <c r="E215" t="inlineStr">
        <is>
          <t>LESSEBO</t>
        </is>
      </c>
      <c r="G215" t="n">
        <v>5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Fläcknycklar</t>
        </is>
      </c>
      <c r="S215">
        <f>HYPERLINK("https://klasma.github.io/Logging_0761/artfynd/A 56472-2024 artfynd.xlsx", "A 56472-2024")</f>
        <v/>
      </c>
      <c r="T215">
        <f>HYPERLINK("https://klasma.github.io/Logging_0761/kartor/A 56472-2024 karta.png", "A 56472-2024")</f>
        <v/>
      </c>
      <c r="V215">
        <f>HYPERLINK("https://klasma.github.io/Logging_0761/klagomål/A 56472-2024 FSC-klagomål.docx", "A 56472-2024")</f>
        <v/>
      </c>
      <c r="W215">
        <f>HYPERLINK("https://klasma.github.io/Logging_0761/klagomålsmail/A 56472-2024 FSC-klagomål mail.docx", "A 56472-2024")</f>
        <v/>
      </c>
      <c r="X215">
        <f>HYPERLINK("https://klasma.github.io/Logging_0761/tillsyn/A 56472-2024 tillsynsbegäran.docx", "A 56472-2024")</f>
        <v/>
      </c>
      <c r="Y215">
        <f>HYPERLINK("https://klasma.github.io/Logging_0761/tillsynsmail/A 56472-2024 tillsynsbegäran mail.docx", "A 56472-2024")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45957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45957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45957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45957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1663-2021</t>
        </is>
      </c>
      <c r="B220" s="1" t="n">
        <v>44209</v>
      </c>
      <c r="C220" s="1" t="n">
        <v>45957</v>
      </c>
      <c r="D220" t="inlineStr">
        <is>
          <t>KRONOBERGS LÄN</t>
        </is>
      </c>
      <c r="E220" t="inlineStr">
        <is>
          <t>VÄXJÖ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1692-2021</t>
        </is>
      </c>
      <c r="B221" s="1" t="n">
        <v>44209</v>
      </c>
      <c r="C221" s="1" t="n">
        <v>45957</v>
      </c>
      <c r="D221" t="inlineStr">
        <is>
          <t>KRONOBERGS LÄN</t>
        </is>
      </c>
      <c r="E221" t="inlineStr">
        <is>
          <t>TINGSRYD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8281-2021</t>
        </is>
      </c>
      <c r="B222" s="1" t="n">
        <v>44244</v>
      </c>
      <c r="C222" s="1" t="n">
        <v>45957</v>
      </c>
      <c r="D222" t="inlineStr">
        <is>
          <t>KRONOBERGS LÄN</t>
        </is>
      </c>
      <c r="E222" t="inlineStr">
        <is>
          <t>VÄXJÖ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8310-2021</t>
        </is>
      </c>
      <c r="B223" s="1" t="n">
        <v>44244.67355324074</v>
      </c>
      <c r="C223" s="1" t="n">
        <v>45957</v>
      </c>
      <c r="D223" t="inlineStr">
        <is>
          <t>KRONOBERGS LÄN</t>
        </is>
      </c>
      <c r="E223" t="inlineStr">
        <is>
          <t>ÄLMHULT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36764-2022</t>
        </is>
      </c>
      <c r="B224" s="1" t="n">
        <v>44805.45337962963</v>
      </c>
      <c r="C224" s="1" t="n">
        <v>45957</v>
      </c>
      <c r="D224" t="inlineStr">
        <is>
          <t>KRONOBERGS LÄN</t>
        </is>
      </c>
      <c r="E224" t="inlineStr">
        <is>
          <t>ALVESTA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1116-2021</t>
        </is>
      </c>
      <c r="B225" s="1" t="n">
        <v>44207</v>
      </c>
      <c r="C225" s="1" t="n">
        <v>45957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7892-2021</t>
        </is>
      </c>
      <c r="B226" s="1" t="n">
        <v>44243</v>
      </c>
      <c r="C226" s="1" t="n">
        <v>45957</v>
      </c>
      <c r="D226" t="inlineStr">
        <is>
          <t>KRONOBERGS LÄN</t>
        </is>
      </c>
      <c r="E226" t="inlineStr">
        <is>
          <t>UPPVIDINGE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62534-2020</t>
        </is>
      </c>
      <c r="B227" s="1" t="n">
        <v>44160</v>
      </c>
      <c r="C227" s="1" t="n">
        <v>45957</v>
      </c>
      <c r="D227" t="inlineStr">
        <is>
          <t>KRONOBERGS LÄN</t>
        </is>
      </c>
      <c r="E227" t="inlineStr">
        <is>
          <t>TINGSRYD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62505-2020</t>
        </is>
      </c>
      <c r="B228" s="1" t="n">
        <v>44160</v>
      </c>
      <c r="C228" s="1" t="n">
        <v>45957</v>
      </c>
      <c r="D228" t="inlineStr">
        <is>
          <t>KRONOBERGS LÄN</t>
        </is>
      </c>
      <c r="E228" t="inlineStr">
        <is>
          <t>ÄLMHULT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45957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12694-2021</t>
        </is>
      </c>
      <c r="B230" s="1" t="n">
        <v>44270.56321759259</v>
      </c>
      <c r="C230" s="1" t="n">
        <v>45957</v>
      </c>
      <c r="D230" t="inlineStr">
        <is>
          <t>KRONOBERGS LÄN</t>
        </is>
      </c>
      <c r="E230" t="inlineStr">
        <is>
          <t>UPPVIDINGE</t>
        </is>
      </c>
      <c r="F230" t="inlineStr">
        <is>
          <t>Sveaskog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44576-2022</t>
        </is>
      </c>
      <c r="B231" s="1" t="n">
        <v>44840.49480324074</v>
      </c>
      <c r="C231" s="1" t="n">
        <v>45957</v>
      </c>
      <c r="D231" t="inlineStr">
        <is>
          <t>KRONOBERGS LÄN</t>
        </is>
      </c>
      <c r="E231" t="inlineStr">
        <is>
          <t>LESSEBO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5568-2021</t>
        </is>
      </c>
      <c r="B232" s="1" t="n">
        <v>44228</v>
      </c>
      <c r="C232" s="1" t="n">
        <v>45957</v>
      </c>
      <c r="D232" t="inlineStr">
        <is>
          <t>KRONOBERGS LÄN</t>
        </is>
      </c>
      <c r="E232" t="inlineStr">
        <is>
          <t>UPPVIDINGE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5409-2021</t>
        </is>
      </c>
      <c r="B233" s="1" t="n">
        <v>44228</v>
      </c>
      <c r="C233" s="1" t="n">
        <v>45957</v>
      </c>
      <c r="D233" t="inlineStr">
        <is>
          <t>KRONOBERGS LÄN</t>
        </is>
      </c>
      <c r="E233" t="inlineStr">
        <is>
          <t>VÄXJÖ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18630-2021</t>
        </is>
      </c>
      <c r="B234" s="1" t="n">
        <v>44306</v>
      </c>
      <c r="C234" s="1" t="n">
        <v>45957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23634-2021</t>
        </is>
      </c>
      <c r="B235" s="1" t="n">
        <v>44334</v>
      </c>
      <c r="C235" s="1" t="n">
        <v>45957</v>
      </c>
      <c r="D235" t="inlineStr">
        <is>
          <t>KRONOBERGS LÄN</t>
        </is>
      </c>
      <c r="E235" t="inlineStr">
        <is>
          <t>VÄXJÖ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55602-2022</t>
        </is>
      </c>
      <c r="B236" s="1" t="n">
        <v>44888.43023148148</v>
      </c>
      <c r="C236" s="1" t="n">
        <v>45957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28644-2021</t>
        </is>
      </c>
      <c r="B237" s="1" t="n">
        <v>44357.34326388889</v>
      </c>
      <c r="C237" s="1" t="n">
        <v>45957</v>
      </c>
      <c r="D237" t="inlineStr">
        <is>
          <t>KRONOBERGS LÄN</t>
        </is>
      </c>
      <c r="E237" t="inlineStr">
        <is>
          <t>LJUNGBY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15578-2021</t>
        </is>
      </c>
      <c r="B238" s="1" t="n">
        <v>44285.63270833333</v>
      </c>
      <c r="C238" s="1" t="n">
        <v>45957</v>
      </c>
      <c r="D238" t="inlineStr">
        <is>
          <t>KRONOBERGS LÄN</t>
        </is>
      </c>
      <c r="E238" t="inlineStr">
        <is>
          <t>TINGSRYD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45957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60108-2020</t>
        </is>
      </c>
      <c r="B240" s="1" t="n">
        <v>44152</v>
      </c>
      <c r="C240" s="1" t="n">
        <v>45957</v>
      </c>
      <c r="D240" t="inlineStr">
        <is>
          <t>KRONOBERGS LÄN</t>
        </is>
      </c>
      <c r="E240" t="inlineStr">
        <is>
          <t>VÄXJÖ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45957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12448-2021</t>
        </is>
      </c>
      <c r="B242" s="1" t="n">
        <v>44267.64171296296</v>
      </c>
      <c r="C242" s="1" t="n">
        <v>45957</v>
      </c>
      <c r="D242" t="inlineStr">
        <is>
          <t>KRONOBERGS LÄN</t>
        </is>
      </c>
      <c r="E242" t="inlineStr">
        <is>
          <t>UPPVIDINGE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61247-2020</t>
        </is>
      </c>
      <c r="B243" s="1" t="n">
        <v>44155</v>
      </c>
      <c r="C243" s="1" t="n">
        <v>45957</v>
      </c>
      <c r="D243" t="inlineStr">
        <is>
          <t>KRONOBERGS LÄN</t>
        </is>
      </c>
      <c r="E243" t="inlineStr">
        <is>
          <t>UPPVIDINGE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45957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52962-2021</t>
        </is>
      </c>
      <c r="B245" s="1" t="n">
        <v>44467.6135300926</v>
      </c>
      <c r="C245" s="1" t="n">
        <v>45957</v>
      </c>
      <c r="D245" t="inlineStr">
        <is>
          <t>KRONOBERGS LÄN</t>
        </is>
      </c>
      <c r="E245" t="inlineStr">
        <is>
          <t>LJUNGBY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60584-2020</t>
        </is>
      </c>
      <c r="B246" s="1" t="n">
        <v>44153</v>
      </c>
      <c r="C246" s="1" t="n">
        <v>45957</v>
      </c>
      <c r="D246" t="inlineStr">
        <is>
          <t>KRONOBERGS LÄN</t>
        </is>
      </c>
      <c r="E246" t="inlineStr">
        <is>
          <t>ÄLMHULT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49530-2021</t>
        </is>
      </c>
      <c r="B247" s="1" t="n">
        <v>44455</v>
      </c>
      <c r="C247" s="1" t="n">
        <v>45957</v>
      </c>
      <c r="D247" t="inlineStr">
        <is>
          <t>KRONOBERGS LÄN</t>
        </is>
      </c>
      <c r="E247" t="inlineStr">
        <is>
          <t>ALVESTA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21167-2021</t>
        </is>
      </c>
      <c r="B248" s="1" t="n">
        <v>44320.42899305555</v>
      </c>
      <c r="C248" s="1" t="n">
        <v>45957</v>
      </c>
      <c r="D248" t="inlineStr">
        <is>
          <t>KRONOBERGS LÄN</t>
        </is>
      </c>
      <c r="E248" t="inlineStr">
        <is>
          <t>UPPVIDINGE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21323-2021</t>
        </is>
      </c>
      <c r="B249" s="1" t="n">
        <v>44320</v>
      </c>
      <c r="C249" s="1" t="n">
        <v>45957</v>
      </c>
      <c r="D249" t="inlineStr">
        <is>
          <t>KRONOBERGS LÄN</t>
        </is>
      </c>
      <c r="E249" t="inlineStr">
        <is>
          <t>ÄLMHULT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36433-2021</t>
        </is>
      </c>
      <c r="B250" s="1" t="n">
        <v>44390</v>
      </c>
      <c r="C250" s="1" t="n">
        <v>45957</v>
      </c>
      <c r="D250" t="inlineStr">
        <is>
          <t>KRONOBERGS LÄN</t>
        </is>
      </c>
      <c r="E250" t="inlineStr">
        <is>
          <t>ALVESTA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50240-2021</t>
        </is>
      </c>
      <c r="B251" s="1" t="n">
        <v>44458.3855787037</v>
      </c>
      <c r="C251" s="1" t="n">
        <v>45957</v>
      </c>
      <c r="D251" t="inlineStr">
        <is>
          <t>KRONOBERGS LÄN</t>
        </is>
      </c>
      <c r="E251" t="inlineStr">
        <is>
          <t>VÄXJÖ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8386-2021</t>
        </is>
      </c>
      <c r="B252" s="1" t="n">
        <v>44245</v>
      </c>
      <c r="C252" s="1" t="n">
        <v>45957</v>
      </c>
      <c r="D252" t="inlineStr">
        <is>
          <t>KRONOBERGS LÄN</t>
        </is>
      </c>
      <c r="E252" t="inlineStr">
        <is>
          <t>TINGSRYD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74452-2021</t>
        </is>
      </c>
      <c r="B253" s="1" t="n">
        <v>44560</v>
      </c>
      <c r="C253" s="1" t="n">
        <v>45957</v>
      </c>
      <c r="D253" t="inlineStr">
        <is>
          <t>KRONOBERGS LÄN</t>
        </is>
      </c>
      <c r="E253" t="inlineStr">
        <is>
          <t>MARKARYD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69006-2021</t>
        </is>
      </c>
      <c r="B254" s="1" t="n">
        <v>44530.58934027778</v>
      </c>
      <c r="C254" s="1" t="n">
        <v>45957</v>
      </c>
      <c r="D254" t="inlineStr">
        <is>
          <t>KRONOBERGS LÄN</t>
        </is>
      </c>
      <c r="E254" t="inlineStr">
        <is>
          <t>ALVESTA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5453-2021</t>
        </is>
      </c>
      <c r="B255" s="1" t="n">
        <v>44229</v>
      </c>
      <c r="C255" s="1" t="n">
        <v>45957</v>
      </c>
      <c r="D255" t="inlineStr">
        <is>
          <t>KRONOBERGS LÄN</t>
        </is>
      </c>
      <c r="E255" t="inlineStr">
        <is>
          <t>ÄLMHULT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56485-2020</t>
        </is>
      </c>
      <c r="B256" s="1" t="n">
        <v>44137</v>
      </c>
      <c r="C256" s="1" t="n">
        <v>45957</v>
      </c>
      <c r="D256" t="inlineStr">
        <is>
          <t>KRONOBERGS LÄN</t>
        </is>
      </c>
      <c r="E256" t="inlineStr">
        <is>
          <t>MARKARYD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19370-2021</t>
        </is>
      </c>
      <c r="B257" s="1" t="n">
        <v>44309.65885416666</v>
      </c>
      <c r="C257" s="1" t="n">
        <v>45957</v>
      </c>
      <c r="D257" t="inlineStr">
        <is>
          <t>KRONOBERGS LÄN</t>
        </is>
      </c>
      <c r="E257" t="inlineStr">
        <is>
          <t>LJUNGBY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29297-2021</t>
        </is>
      </c>
      <c r="B258" s="1" t="n">
        <v>44361</v>
      </c>
      <c r="C258" s="1" t="n">
        <v>45957</v>
      </c>
      <c r="D258" t="inlineStr">
        <is>
          <t>KRONOBERGS LÄN</t>
        </is>
      </c>
      <c r="E258" t="inlineStr">
        <is>
          <t>VÄXJÖ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74041-2021</t>
        </is>
      </c>
      <c r="B259" s="1" t="n">
        <v>44557.47803240741</v>
      </c>
      <c r="C259" s="1" t="n">
        <v>45957</v>
      </c>
      <c r="D259" t="inlineStr">
        <is>
          <t>KRONOBERGS LÄN</t>
        </is>
      </c>
      <c r="E259" t="inlineStr">
        <is>
          <t>TINGSRYD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35777-2021</t>
        </is>
      </c>
      <c r="B260" s="1" t="n">
        <v>44386</v>
      </c>
      <c r="C260" s="1" t="n">
        <v>45957</v>
      </c>
      <c r="D260" t="inlineStr">
        <is>
          <t>KRONOBERGS LÄN</t>
        </is>
      </c>
      <c r="E260" t="inlineStr">
        <is>
          <t>UPPVIDINGE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35778-2021</t>
        </is>
      </c>
      <c r="B261" s="1" t="n">
        <v>44386</v>
      </c>
      <c r="C261" s="1" t="n">
        <v>45957</v>
      </c>
      <c r="D261" t="inlineStr">
        <is>
          <t>KRONOBERGS LÄN</t>
        </is>
      </c>
      <c r="E261" t="inlineStr">
        <is>
          <t>UPPVIDINGE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8060-2022</t>
        </is>
      </c>
      <c r="B262" s="1" t="n">
        <v>44609.47314814815</v>
      </c>
      <c r="C262" s="1" t="n">
        <v>45957</v>
      </c>
      <c r="D262" t="inlineStr">
        <is>
          <t>KRONOBERGS LÄN</t>
        </is>
      </c>
      <c r="E262" t="inlineStr">
        <is>
          <t>ÄLMHULT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43141-2021</t>
        </is>
      </c>
      <c r="B263" s="1" t="n">
        <v>44431</v>
      </c>
      <c r="C263" s="1" t="n">
        <v>45957</v>
      </c>
      <c r="D263" t="inlineStr">
        <is>
          <t>KRONOBERGS LÄN</t>
        </is>
      </c>
      <c r="E263" t="inlineStr">
        <is>
          <t>LJUNGBY</t>
        </is>
      </c>
      <c r="F263" t="inlineStr">
        <is>
          <t>Bergvik skog väst AB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66328-2021</t>
        </is>
      </c>
      <c r="B264" s="1" t="n">
        <v>44518.520625</v>
      </c>
      <c r="C264" s="1" t="n">
        <v>45957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1032-2022</t>
        </is>
      </c>
      <c r="B265" s="1" t="n">
        <v>44571.63828703704</v>
      </c>
      <c r="C265" s="1" t="n">
        <v>45957</v>
      </c>
      <c r="D265" t="inlineStr">
        <is>
          <t>KRONOBERGS LÄN</t>
        </is>
      </c>
      <c r="E265" t="inlineStr">
        <is>
          <t>LJUNGBY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60237-2020</t>
        </is>
      </c>
      <c r="B266" s="1" t="n">
        <v>44152</v>
      </c>
      <c r="C266" s="1" t="n">
        <v>45957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22796-2022</t>
        </is>
      </c>
      <c r="B267" s="1" t="n">
        <v>44715.33956018519</v>
      </c>
      <c r="C267" s="1" t="n">
        <v>45957</v>
      </c>
      <c r="D267" t="inlineStr">
        <is>
          <t>KRONOBERGS LÄN</t>
        </is>
      </c>
      <c r="E267" t="inlineStr">
        <is>
          <t>LJUNGBY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44896-2022</t>
        </is>
      </c>
      <c r="B268" s="1" t="n">
        <v>44841.49872685185</v>
      </c>
      <c r="C268" s="1" t="n">
        <v>45957</v>
      </c>
      <c r="D268" t="inlineStr">
        <is>
          <t>KRONOBERGS LÄN</t>
        </is>
      </c>
      <c r="E268" t="inlineStr">
        <is>
          <t>TINGSRYD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38060-2022</t>
        </is>
      </c>
      <c r="B269" s="1" t="n">
        <v>44811.66311342592</v>
      </c>
      <c r="C269" s="1" t="n">
        <v>45957</v>
      </c>
      <c r="D269" t="inlineStr">
        <is>
          <t>KRONOBERGS LÄN</t>
        </is>
      </c>
      <c r="E269" t="inlineStr">
        <is>
          <t>LJUNGBY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36856-2022</t>
        </is>
      </c>
      <c r="B270" s="1" t="n">
        <v>44805</v>
      </c>
      <c r="C270" s="1" t="n">
        <v>45957</v>
      </c>
      <c r="D270" t="inlineStr">
        <is>
          <t>KRONOBERGS LÄN</t>
        </is>
      </c>
      <c r="E270" t="inlineStr">
        <is>
          <t>ALVESTA</t>
        </is>
      </c>
      <c r="F270" t="inlineStr">
        <is>
          <t>Kyrkan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25399-2022</t>
        </is>
      </c>
      <c r="B271" s="1" t="n">
        <v>44732</v>
      </c>
      <c r="C271" s="1" t="n">
        <v>45957</v>
      </c>
      <c r="D271" t="inlineStr">
        <is>
          <t>KRONOBERGS LÄN</t>
        </is>
      </c>
      <c r="E271" t="inlineStr">
        <is>
          <t>TINGSRYD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67867-2021</t>
        </is>
      </c>
      <c r="B272" s="1" t="n">
        <v>44525.50052083333</v>
      </c>
      <c r="C272" s="1" t="n">
        <v>45957</v>
      </c>
      <c r="D272" t="inlineStr">
        <is>
          <t>KRONOBERGS LÄN</t>
        </is>
      </c>
      <c r="E272" t="inlineStr">
        <is>
          <t>ÄLMHULT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663-2022</t>
        </is>
      </c>
      <c r="B273" s="1" t="n">
        <v>44568</v>
      </c>
      <c r="C273" s="1" t="n">
        <v>45957</v>
      </c>
      <c r="D273" t="inlineStr">
        <is>
          <t>KRONOBERGS LÄN</t>
        </is>
      </c>
      <c r="E273" t="inlineStr">
        <is>
          <t>LJUNGBY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53489-2022</t>
        </is>
      </c>
      <c r="B274" s="1" t="n">
        <v>44875</v>
      </c>
      <c r="C274" s="1" t="n">
        <v>45957</v>
      </c>
      <c r="D274" t="inlineStr">
        <is>
          <t>KRONOBERGS LÄN</t>
        </is>
      </c>
      <c r="E274" t="inlineStr">
        <is>
          <t>TINGSRYD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44772-2021</t>
        </is>
      </c>
      <c r="B275" s="1" t="n">
        <v>44438</v>
      </c>
      <c r="C275" s="1" t="n">
        <v>45957</v>
      </c>
      <c r="D275" t="inlineStr">
        <is>
          <t>KRONOBERGS LÄN</t>
        </is>
      </c>
      <c r="E275" t="inlineStr">
        <is>
          <t>VÄXJÖ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9863-2022</t>
        </is>
      </c>
      <c r="B276" s="1" t="n">
        <v>44620.55424768518</v>
      </c>
      <c r="C276" s="1" t="n">
        <v>45957</v>
      </c>
      <c r="D276" t="inlineStr">
        <is>
          <t>KRONOBERGS LÄN</t>
        </is>
      </c>
      <c r="E276" t="inlineStr">
        <is>
          <t>TINGSRYD</t>
        </is>
      </c>
      <c r="F276" t="inlineStr">
        <is>
          <t>Kommuner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9868-2022</t>
        </is>
      </c>
      <c r="B277" s="1" t="n">
        <v>44620.56054398148</v>
      </c>
      <c r="C277" s="1" t="n">
        <v>45957</v>
      </c>
      <c r="D277" t="inlineStr">
        <is>
          <t>KRONOBERGS LÄN</t>
        </is>
      </c>
      <c r="E277" t="inlineStr">
        <is>
          <t>TINGSRYD</t>
        </is>
      </c>
      <c r="F277" t="inlineStr">
        <is>
          <t>Kommuner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47398-2022</t>
        </is>
      </c>
      <c r="B278" s="1" t="n">
        <v>44853.50333333333</v>
      </c>
      <c r="C278" s="1" t="n">
        <v>45957</v>
      </c>
      <c r="D278" t="inlineStr">
        <is>
          <t>KRONOBERGS LÄN</t>
        </is>
      </c>
      <c r="E278" t="inlineStr">
        <is>
          <t>LJUNGBY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30757-2022</t>
        </is>
      </c>
      <c r="B279" s="1" t="n">
        <v>44764.50403935185</v>
      </c>
      <c r="C279" s="1" t="n">
        <v>45957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33401-2022</t>
        </is>
      </c>
      <c r="B280" s="1" t="n">
        <v>44785</v>
      </c>
      <c r="C280" s="1" t="n">
        <v>45957</v>
      </c>
      <c r="D280" t="inlineStr">
        <is>
          <t>KRONOBERGS LÄN</t>
        </is>
      </c>
      <c r="E280" t="inlineStr">
        <is>
          <t>ÄLMHULT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33406-2022</t>
        </is>
      </c>
      <c r="B281" s="1" t="n">
        <v>44785</v>
      </c>
      <c r="C281" s="1" t="n">
        <v>45957</v>
      </c>
      <c r="D281" t="inlineStr">
        <is>
          <t>KRONOBERGS LÄN</t>
        </is>
      </c>
      <c r="E281" t="inlineStr">
        <is>
          <t>ÄLMHULT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33410-2022</t>
        </is>
      </c>
      <c r="B282" s="1" t="n">
        <v>44785</v>
      </c>
      <c r="C282" s="1" t="n">
        <v>45957</v>
      </c>
      <c r="D282" t="inlineStr">
        <is>
          <t>KRONOBERGS LÄN</t>
        </is>
      </c>
      <c r="E282" t="inlineStr">
        <is>
          <t>ÄLMHULT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50146-2022</t>
        </is>
      </c>
      <c r="B283" s="1" t="n">
        <v>44865.57608796296</v>
      </c>
      <c r="C283" s="1" t="n">
        <v>45957</v>
      </c>
      <c r="D283" t="inlineStr">
        <is>
          <t>KRONOBERGS LÄN</t>
        </is>
      </c>
      <c r="E283" t="inlineStr">
        <is>
          <t>UPPVIDINGE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187-2021</t>
        </is>
      </c>
      <c r="B284" s="1" t="n">
        <v>44200</v>
      </c>
      <c r="C284" s="1" t="n">
        <v>45957</v>
      </c>
      <c r="D284" t="inlineStr">
        <is>
          <t>KRONOBERGS LÄN</t>
        </is>
      </c>
      <c r="E284" t="inlineStr">
        <is>
          <t>MARKARYD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68335-2020</t>
        </is>
      </c>
      <c r="B285" s="1" t="n">
        <v>44186</v>
      </c>
      <c r="C285" s="1" t="n">
        <v>45957</v>
      </c>
      <c r="D285" t="inlineStr">
        <is>
          <t>KRONOBERGS LÄN</t>
        </is>
      </c>
      <c r="E285" t="inlineStr">
        <is>
          <t>LJUNGBY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49033-2021</t>
        </is>
      </c>
      <c r="B286" s="1" t="n">
        <v>44453.56091435185</v>
      </c>
      <c r="C286" s="1" t="n">
        <v>45957</v>
      </c>
      <c r="D286" t="inlineStr">
        <is>
          <t>KRONOBERGS LÄN</t>
        </is>
      </c>
      <c r="E286" t="inlineStr">
        <is>
          <t>TINGSRYD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70395-2021</t>
        </is>
      </c>
      <c r="B287" s="1" t="n">
        <v>44536.54855324074</v>
      </c>
      <c r="C287" s="1" t="n">
        <v>45957</v>
      </c>
      <c r="D287" t="inlineStr">
        <is>
          <t>KRONOBERGS LÄN</t>
        </is>
      </c>
      <c r="E287" t="inlineStr">
        <is>
          <t>VÄXJÖ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56145-2021</t>
        </is>
      </c>
      <c r="B288" s="1" t="n">
        <v>44477</v>
      </c>
      <c r="C288" s="1" t="n">
        <v>45957</v>
      </c>
      <c r="D288" t="inlineStr">
        <is>
          <t>KRONOBERGS LÄN</t>
        </is>
      </c>
      <c r="E288" t="inlineStr">
        <is>
          <t>ÄLMHULT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38460-2022</t>
        </is>
      </c>
      <c r="B289" s="1" t="n">
        <v>44813</v>
      </c>
      <c r="C289" s="1" t="n">
        <v>45957</v>
      </c>
      <c r="D289" t="inlineStr">
        <is>
          <t>KRONOBERGS LÄN</t>
        </is>
      </c>
      <c r="E289" t="inlineStr">
        <is>
          <t>TINGSRYD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37696-2022</t>
        </is>
      </c>
      <c r="B290" s="1" t="n">
        <v>44810.51231481481</v>
      </c>
      <c r="C290" s="1" t="n">
        <v>45957</v>
      </c>
      <c r="D290" t="inlineStr">
        <is>
          <t>KRONOBERGS LÄN</t>
        </is>
      </c>
      <c r="E290" t="inlineStr">
        <is>
          <t>ALVESTA</t>
        </is>
      </c>
      <c r="F290" t="inlineStr">
        <is>
          <t>Kyrkan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54722-2021</t>
        </is>
      </c>
      <c r="B291" s="1" t="n">
        <v>44473.81864583334</v>
      </c>
      <c r="C291" s="1" t="n">
        <v>45957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45957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45957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45957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43984-2021</t>
        </is>
      </c>
      <c r="B295" s="1" t="n">
        <v>44434</v>
      </c>
      <c r="C295" s="1" t="n">
        <v>45957</v>
      </c>
      <c r="D295" t="inlineStr">
        <is>
          <t>KRONOBERGS LÄN</t>
        </is>
      </c>
      <c r="E295" t="inlineStr">
        <is>
          <t>VÄXJÖ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55322-2022</t>
        </is>
      </c>
      <c r="B296" s="1" t="n">
        <v>44887.42784722222</v>
      </c>
      <c r="C296" s="1" t="n">
        <v>45957</v>
      </c>
      <c r="D296" t="inlineStr">
        <is>
          <t>KRONOBERGS LÄN</t>
        </is>
      </c>
      <c r="E296" t="inlineStr">
        <is>
          <t>UPPVIDINGE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55324-2022</t>
        </is>
      </c>
      <c r="B297" s="1" t="n">
        <v>44887.42950231482</v>
      </c>
      <c r="C297" s="1" t="n">
        <v>45957</v>
      </c>
      <c r="D297" t="inlineStr">
        <is>
          <t>KRONOBERGS LÄN</t>
        </is>
      </c>
      <c r="E297" t="inlineStr">
        <is>
          <t>UPPVIDINGE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52036-2021</t>
        </is>
      </c>
      <c r="B298" s="1" t="n">
        <v>44463.35791666667</v>
      </c>
      <c r="C298" s="1" t="n">
        <v>45957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52038-2021</t>
        </is>
      </c>
      <c r="B299" s="1" t="n">
        <v>44463.35908564815</v>
      </c>
      <c r="C299" s="1" t="n">
        <v>45957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52040-2021</t>
        </is>
      </c>
      <c r="B300" s="1" t="n">
        <v>44463.35958333333</v>
      </c>
      <c r="C300" s="1" t="n">
        <v>45957</v>
      </c>
      <c r="D300" t="inlineStr">
        <is>
          <t>KRONOBERGS LÄN</t>
        </is>
      </c>
      <c r="E300" t="inlineStr">
        <is>
          <t>ÄLMHULT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69396-2020</t>
        </is>
      </c>
      <c r="B301" s="1" t="n">
        <v>44193</v>
      </c>
      <c r="C301" s="1" t="n">
        <v>45957</v>
      </c>
      <c r="D301" t="inlineStr">
        <is>
          <t>KRONOBERGS LÄN</t>
        </is>
      </c>
      <c r="E301" t="inlineStr">
        <is>
          <t>VÄXJÖ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69427-2020</t>
        </is>
      </c>
      <c r="B302" s="1" t="n">
        <v>44194.31353009259</v>
      </c>
      <c r="C302" s="1" t="n">
        <v>45957</v>
      </c>
      <c r="D302" t="inlineStr">
        <is>
          <t>KRONOBERGS LÄN</t>
        </is>
      </c>
      <c r="E302" t="inlineStr">
        <is>
          <t>ÄLMHULT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53481-2022</t>
        </is>
      </c>
      <c r="B303" s="1" t="n">
        <v>44879</v>
      </c>
      <c r="C303" s="1" t="n">
        <v>45957</v>
      </c>
      <c r="D303" t="inlineStr">
        <is>
          <t>KRONOBERGS LÄN</t>
        </is>
      </c>
      <c r="E303" t="inlineStr">
        <is>
          <t>MARKARYD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64777-2021</t>
        </is>
      </c>
      <c r="B304" s="1" t="n">
        <v>44512.46798611111</v>
      </c>
      <c r="C304" s="1" t="n">
        <v>45957</v>
      </c>
      <c r="D304" t="inlineStr">
        <is>
          <t>KRONOBERGS LÄN</t>
        </is>
      </c>
      <c r="E304" t="inlineStr">
        <is>
          <t>ALVESTA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18753-2021</t>
        </is>
      </c>
      <c r="B305" s="1" t="n">
        <v>44307.45770833334</v>
      </c>
      <c r="C305" s="1" t="n">
        <v>45957</v>
      </c>
      <c r="D305" t="inlineStr">
        <is>
          <t>KRONOBERGS LÄN</t>
        </is>
      </c>
      <c r="E305" t="inlineStr">
        <is>
          <t>UPPVIDINGE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18763-2021</t>
        </is>
      </c>
      <c r="B306" s="1" t="n">
        <v>44307.481875</v>
      </c>
      <c r="C306" s="1" t="n">
        <v>45957</v>
      </c>
      <c r="D306" t="inlineStr">
        <is>
          <t>KRONOBERGS LÄN</t>
        </is>
      </c>
      <c r="E306" t="inlineStr">
        <is>
          <t>LJUNGBY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10209-2021</t>
        </is>
      </c>
      <c r="B307" s="1" t="n">
        <v>44256</v>
      </c>
      <c r="C307" s="1" t="n">
        <v>45957</v>
      </c>
      <c r="D307" t="inlineStr">
        <is>
          <t>KRONOBERGS LÄN</t>
        </is>
      </c>
      <c r="E307" t="inlineStr">
        <is>
          <t>MARKARYD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11601-2021</t>
        </is>
      </c>
      <c r="B308" s="1" t="n">
        <v>44264</v>
      </c>
      <c r="C308" s="1" t="n">
        <v>45957</v>
      </c>
      <c r="D308" t="inlineStr">
        <is>
          <t>KRONOBERGS LÄN</t>
        </is>
      </c>
      <c r="E308" t="inlineStr">
        <is>
          <t>VÄXJÖ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63296-2021</t>
        </is>
      </c>
      <c r="B309" s="1" t="n">
        <v>44508.43092592592</v>
      </c>
      <c r="C309" s="1" t="n">
        <v>45957</v>
      </c>
      <c r="D309" t="inlineStr">
        <is>
          <t>KRONOBERGS LÄN</t>
        </is>
      </c>
      <c r="E309" t="inlineStr">
        <is>
          <t>LJUNGBY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63305-2021</t>
        </is>
      </c>
      <c r="B310" s="1" t="n">
        <v>44508</v>
      </c>
      <c r="C310" s="1" t="n">
        <v>45957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14612-2021</t>
        </is>
      </c>
      <c r="B311" s="1" t="n">
        <v>44280</v>
      </c>
      <c r="C311" s="1" t="n">
        <v>45957</v>
      </c>
      <c r="D311" t="inlineStr">
        <is>
          <t>KRONOBERGS LÄN</t>
        </is>
      </c>
      <c r="E311" t="inlineStr">
        <is>
          <t>ÄLMHULT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10295-2022</t>
        </is>
      </c>
      <c r="B312" s="1" t="n">
        <v>44622</v>
      </c>
      <c r="C312" s="1" t="n">
        <v>45957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69272-2020</t>
        </is>
      </c>
      <c r="B313" s="1" t="n">
        <v>44193</v>
      </c>
      <c r="C313" s="1" t="n">
        <v>45957</v>
      </c>
      <c r="D313" t="inlineStr">
        <is>
          <t>KRONOBERGS LÄN</t>
        </is>
      </c>
      <c r="E313" t="inlineStr">
        <is>
          <t>MARKARYD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49400-2021</t>
        </is>
      </c>
      <c r="B314" s="1" t="n">
        <v>44454</v>
      </c>
      <c r="C314" s="1" t="n">
        <v>45957</v>
      </c>
      <c r="D314" t="inlineStr">
        <is>
          <t>KRONOBERGS LÄN</t>
        </is>
      </c>
      <c r="E314" t="inlineStr">
        <is>
          <t>ALVESTA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68401-2020</t>
        </is>
      </c>
      <c r="B315" s="1" t="n">
        <v>44186</v>
      </c>
      <c r="C315" s="1" t="n">
        <v>45957</v>
      </c>
      <c r="D315" t="inlineStr">
        <is>
          <t>KRONOBERGS LÄN</t>
        </is>
      </c>
      <c r="E315" t="inlineStr">
        <is>
          <t>TINGSRYD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13286-2021</t>
        </is>
      </c>
      <c r="B316" s="1" t="n">
        <v>44272</v>
      </c>
      <c r="C316" s="1" t="n">
        <v>45957</v>
      </c>
      <c r="D316" t="inlineStr">
        <is>
          <t>KRONOBERGS LÄN</t>
        </is>
      </c>
      <c r="E316" t="inlineStr">
        <is>
          <t>LJUNGBY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4190-2021</t>
        </is>
      </c>
      <c r="B317" s="1" t="n">
        <v>44218</v>
      </c>
      <c r="C317" s="1" t="n">
        <v>45957</v>
      </c>
      <c r="D317" t="inlineStr">
        <is>
          <t>KRONOBERGS LÄN</t>
        </is>
      </c>
      <c r="E317" t="inlineStr">
        <is>
          <t>TINGSRYD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45957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45957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11131-2021</t>
        </is>
      </c>
      <c r="B320" s="1" t="n">
        <v>44260.67784722222</v>
      </c>
      <c r="C320" s="1" t="n">
        <v>45957</v>
      </c>
      <c r="D320" t="inlineStr">
        <is>
          <t>KRONOBERGS LÄN</t>
        </is>
      </c>
      <c r="E320" t="inlineStr">
        <is>
          <t>MARKARYD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60768-2020</t>
        </is>
      </c>
      <c r="B321" s="1" t="n">
        <v>44154</v>
      </c>
      <c r="C321" s="1" t="n">
        <v>45957</v>
      </c>
      <c r="D321" t="inlineStr">
        <is>
          <t>KRONOBERGS LÄN</t>
        </is>
      </c>
      <c r="E321" t="inlineStr">
        <is>
          <t>ÄLMHULT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27404-2021</t>
        </is>
      </c>
      <c r="B322" s="1" t="n">
        <v>44351.48209490741</v>
      </c>
      <c r="C322" s="1" t="n">
        <v>45957</v>
      </c>
      <c r="D322" t="inlineStr">
        <is>
          <t>KRONOBERGS LÄN</t>
        </is>
      </c>
      <c r="E322" t="inlineStr">
        <is>
          <t>ÄLMHULT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61899-2020</t>
        </is>
      </c>
      <c r="B323" s="1" t="n">
        <v>44159.39002314815</v>
      </c>
      <c r="C323" s="1" t="n">
        <v>45957</v>
      </c>
      <c r="D323" t="inlineStr">
        <is>
          <t>KRONOBERGS LÄN</t>
        </is>
      </c>
      <c r="E323" t="inlineStr">
        <is>
          <t>VÄXJÖ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66023-2020</t>
        </is>
      </c>
      <c r="B324" s="1" t="n">
        <v>44175</v>
      </c>
      <c r="C324" s="1" t="n">
        <v>45957</v>
      </c>
      <c r="D324" t="inlineStr">
        <is>
          <t>KRONOBERGS LÄN</t>
        </is>
      </c>
      <c r="E324" t="inlineStr">
        <is>
          <t>VÄXJÖ</t>
        </is>
      </c>
      <c r="F324" t="inlineStr">
        <is>
          <t>Sveaskog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66024-2020</t>
        </is>
      </c>
      <c r="B325" s="1" t="n">
        <v>44175</v>
      </c>
      <c r="C325" s="1" t="n">
        <v>45957</v>
      </c>
      <c r="D325" t="inlineStr">
        <is>
          <t>KRONOBERGS LÄN</t>
        </is>
      </c>
      <c r="E325" t="inlineStr">
        <is>
          <t>UPPVIDINGE</t>
        </is>
      </c>
      <c r="F325" t="inlineStr">
        <is>
          <t>Sveaskog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292-2021</t>
        </is>
      </c>
      <c r="B326" s="1" t="n">
        <v>44200</v>
      </c>
      <c r="C326" s="1" t="n">
        <v>45957</v>
      </c>
      <c r="D326" t="inlineStr">
        <is>
          <t>KRONOBERGS LÄN</t>
        </is>
      </c>
      <c r="E326" t="inlineStr">
        <is>
          <t>LESSEBO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328-2021</t>
        </is>
      </c>
      <c r="B327" s="1" t="n">
        <v>44201</v>
      </c>
      <c r="C327" s="1" t="n">
        <v>45957</v>
      </c>
      <c r="D327" t="inlineStr">
        <is>
          <t>KRONOBERGS LÄN</t>
        </is>
      </c>
      <c r="E327" t="inlineStr">
        <is>
          <t>TINGSRYD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13015-2021</t>
        </is>
      </c>
      <c r="B328" s="1" t="n">
        <v>44271</v>
      </c>
      <c r="C328" s="1" t="n">
        <v>45957</v>
      </c>
      <c r="D328" t="inlineStr">
        <is>
          <t>KRONOBERGS LÄN</t>
        </is>
      </c>
      <c r="E328" t="inlineStr">
        <is>
          <t>LJUNGBY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65644-2020</t>
        </is>
      </c>
      <c r="B329" s="1" t="n">
        <v>44174</v>
      </c>
      <c r="C329" s="1" t="n">
        <v>45957</v>
      </c>
      <c r="D329" t="inlineStr">
        <is>
          <t>KRONOBERGS LÄN</t>
        </is>
      </c>
      <c r="E329" t="inlineStr">
        <is>
          <t>TINGSRYD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13073-2021</t>
        </is>
      </c>
      <c r="B330" s="1" t="n">
        <v>44272</v>
      </c>
      <c r="C330" s="1" t="n">
        <v>45957</v>
      </c>
      <c r="D330" t="inlineStr">
        <is>
          <t>KRONOBERGS LÄN</t>
        </is>
      </c>
      <c r="E330" t="inlineStr">
        <is>
          <t>TINGSRYD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56284-2020</t>
        </is>
      </c>
      <c r="B331" s="1" t="n">
        <v>44134</v>
      </c>
      <c r="C331" s="1" t="n">
        <v>45957</v>
      </c>
      <c r="D331" t="inlineStr">
        <is>
          <t>KRONOBERGS LÄN</t>
        </is>
      </c>
      <c r="E331" t="inlineStr">
        <is>
          <t>LJUNGBY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4743-2021</t>
        </is>
      </c>
      <c r="B332" s="1" t="n">
        <v>44225</v>
      </c>
      <c r="C332" s="1" t="n">
        <v>45957</v>
      </c>
      <c r="D332" t="inlineStr">
        <is>
          <t>KRONOBERGS LÄN</t>
        </is>
      </c>
      <c r="E332" t="inlineStr">
        <is>
          <t>UPPVIDINGE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480-2021</t>
        </is>
      </c>
      <c r="B333" s="1" t="n">
        <v>44201</v>
      </c>
      <c r="C333" s="1" t="n">
        <v>45957</v>
      </c>
      <c r="D333" t="inlineStr">
        <is>
          <t>KRONOBERGS LÄN</t>
        </is>
      </c>
      <c r="E333" t="inlineStr">
        <is>
          <t>UPPVIDINGE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482-2021</t>
        </is>
      </c>
      <c r="B334" s="1" t="n">
        <v>44201</v>
      </c>
      <c r="C334" s="1" t="n">
        <v>45957</v>
      </c>
      <c r="D334" t="inlineStr">
        <is>
          <t>KRONOBERGS LÄN</t>
        </is>
      </c>
      <c r="E334" t="inlineStr">
        <is>
          <t>UPPVIDINGE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483-2021</t>
        </is>
      </c>
      <c r="B335" s="1" t="n">
        <v>44201</v>
      </c>
      <c r="C335" s="1" t="n">
        <v>45957</v>
      </c>
      <c r="D335" t="inlineStr">
        <is>
          <t>KRONOBERGS LÄN</t>
        </is>
      </c>
      <c r="E335" t="inlineStr">
        <is>
          <t>UPPVIDINGE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15630-2021</t>
        </is>
      </c>
      <c r="B336" s="1" t="n">
        <v>44285</v>
      </c>
      <c r="C336" s="1" t="n">
        <v>45957</v>
      </c>
      <c r="D336" t="inlineStr">
        <is>
          <t>KRONOBERGS LÄN</t>
        </is>
      </c>
      <c r="E336" t="inlineStr">
        <is>
          <t>UPPVIDINGE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22616-2021</t>
        </is>
      </c>
      <c r="B337" s="1" t="n">
        <v>44326</v>
      </c>
      <c r="C337" s="1" t="n">
        <v>45957</v>
      </c>
      <c r="D337" t="inlineStr">
        <is>
          <t>KRONOBERGS LÄN</t>
        </is>
      </c>
      <c r="E337" t="inlineStr">
        <is>
          <t>TINGSRYD</t>
        </is>
      </c>
      <c r="G337" t="n">
        <v>6.9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22623-2021</t>
        </is>
      </c>
      <c r="B338" s="1" t="n">
        <v>44327.46094907408</v>
      </c>
      <c r="C338" s="1" t="n">
        <v>45957</v>
      </c>
      <c r="D338" t="inlineStr">
        <is>
          <t>KRONOBERGS LÄN</t>
        </is>
      </c>
      <c r="E338" t="inlineStr">
        <is>
          <t>LESSEBO</t>
        </is>
      </c>
      <c r="F338" t="inlineStr">
        <is>
          <t>Kommuner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22639-2021</t>
        </is>
      </c>
      <c r="B339" s="1" t="n">
        <v>44327.4812037037</v>
      </c>
      <c r="C339" s="1" t="n">
        <v>45957</v>
      </c>
      <c r="D339" t="inlineStr">
        <is>
          <t>KRONOBERGS LÄN</t>
        </is>
      </c>
      <c r="E339" t="inlineStr">
        <is>
          <t>LESSEBO</t>
        </is>
      </c>
      <c r="F339" t="inlineStr">
        <is>
          <t>Kommuner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18643-2021</t>
        </is>
      </c>
      <c r="B340" s="1" t="n">
        <v>44306.68837962963</v>
      </c>
      <c r="C340" s="1" t="n">
        <v>45957</v>
      </c>
      <c r="D340" t="inlineStr">
        <is>
          <t>KRONOBERGS LÄN</t>
        </is>
      </c>
      <c r="E340" t="inlineStr">
        <is>
          <t>ÄLMHULT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68742-2020</t>
        </is>
      </c>
      <c r="B341" s="1" t="n">
        <v>44186</v>
      </c>
      <c r="C341" s="1" t="n">
        <v>45957</v>
      </c>
      <c r="D341" t="inlineStr">
        <is>
          <t>KRONOBERGS LÄN</t>
        </is>
      </c>
      <c r="E341" t="inlineStr">
        <is>
          <t>TINGSRYD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4383-2021</t>
        </is>
      </c>
      <c r="B342" s="1" t="n">
        <v>44223</v>
      </c>
      <c r="C342" s="1" t="n">
        <v>45957</v>
      </c>
      <c r="D342" t="inlineStr">
        <is>
          <t>KRONOBERGS LÄN</t>
        </is>
      </c>
      <c r="E342" t="inlineStr">
        <is>
          <t>LESSEBO</t>
        </is>
      </c>
      <c r="F342" t="inlineStr">
        <is>
          <t>Sveaskog</t>
        </is>
      </c>
      <c r="G342" t="n">
        <v>9.4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21850-2021</t>
        </is>
      </c>
      <c r="B343" s="1" t="n">
        <v>44322</v>
      </c>
      <c r="C343" s="1" t="n">
        <v>45957</v>
      </c>
      <c r="D343" t="inlineStr">
        <is>
          <t>KRONOBERGS LÄN</t>
        </is>
      </c>
      <c r="E343" t="inlineStr">
        <is>
          <t>VÄXJÖ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15554-2021</t>
        </is>
      </c>
      <c r="B344" s="1" t="n">
        <v>44285.5874537037</v>
      </c>
      <c r="C344" s="1" t="n">
        <v>45957</v>
      </c>
      <c r="D344" t="inlineStr">
        <is>
          <t>KRONOBERGS LÄN</t>
        </is>
      </c>
      <c r="E344" t="inlineStr">
        <is>
          <t>LJUNGBY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2146-2021</t>
        </is>
      </c>
      <c r="B345" s="1" t="n">
        <v>44211</v>
      </c>
      <c r="C345" s="1" t="n">
        <v>45957</v>
      </c>
      <c r="D345" t="inlineStr">
        <is>
          <t>KRONOBERGS LÄN</t>
        </is>
      </c>
      <c r="E345" t="inlineStr">
        <is>
          <t>ALVESTA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22614-2021</t>
        </is>
      </c>
      <c r="B346" s="1" t="n">
        <v>44327</v>
      </c>
      <c r="C346" s="1" t="n">
        <v>45957</v>
      </c>
      <c r="D346" t="inlineStr">
        <is>
          <t>KRONOBERGS LÄN</t>
        </is>
      </c>
      <c r="E346" t="inlineStr">
        <is>
          <t>VÄXJÖ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479-2021</t>
        </is>
      </c>
      <c r="B347" s="1" t="n">
        <v>44201</v>
      </c>
      <c r="C347" s="1" t="n">
        <v>45957</v>
      </c>
      <c r="D347" t="inlineStr">
        <is>
          <t>KRONOBERGS LÄN</t>
        </is>
      </c>
      <c r="E347" t="inlineStr">
        <is>
          <t>UPPVIDINGE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22678-2021</t>
        </is>
      </c>
      <c r="B348" s="1" t="n">
        <v>44327.57842592592</v>
      </c>
      <c r="C348" s="1" t="n">
        <v>45957</v>
      </c>
      <c r="D348" t="inlineStr">
        <is>
          <t>KRONOBERGS LÄN</t>
        </is>
      </c>
      <c r="E348" t="inlineStr">
        <is>
          <t>ÄLMHULT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45957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20364-2021</t>
        </is>
      </c>
      <c r="B350" s="1" t="n">
        <v>44315</v>
      </c>
      <c r="C350" s="1" t="n">
        <v>45957</v>
      </c>
      <c r="D350" t="inlineStr">
        <is>
          <t>KRONOBERGS LÄN</t>
        </is>
      </c>
      <c r="E350" t="inlineStr">
        <is>
          <t>ÄLMHULT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48639-2021</t>
        </is>
      </c>
      <c r="B351" s="1" t="n">
        <v>44452</v>
      </c>
      <c r="C351" s="1" t="n">
        <v>45957</v>
      </c>
      <c r="D351" t="inlineStr">
        <is>
          <t>KRONOBERGS LÄN</t>
        </is>
      </c>
      <c r="E351" t="inlineStr">
        <is>
          <t>TINGSRYD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45957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26878-2021</t>
        </is>
      </c>
      <c r="B353" s="1" t="n">
        <v>44349.62545138889</v>
      </c>
      <c r="C353" s="1" t="n">
        <v>45957</v>
      </c>
      <c r="D353" t="inlineStr">
        <is>
          <t>KRONOBERGS LÄN</t>
        </is>
      </c>
      <c r="E353" t="inlineStr">
        <is>
          <t>MARKARYD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28658-2021</t>
        </is>
      </c>
      <c r="B354" s="1" t="n">
        <v>44357</v>
      </c>
      <c r="C354" s="1" t="n">
        <v>45957</v>
      </c>
      <c r="D354" t="inlineStr">
        <is>
          <t>KRONOBERGS LÄN</t>
        </is>
      </c>
      <c r="E354" t="inlineStr">
        <is>
          <t>LJUNGBY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45957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50855-2021</t>
        </is>
      </c>
      <c r="B356" s="1" t="n">
        <v>44460.54369212963</v>
      </c>
      <c r="C356" s="1" t="n">
        <v>45957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60357-2021</t>
        </is>
      </c>
      <c r="B357" s="1" t="n">
        <v>44501</v>
      </c>
      <c r="C357" s="1" t="n">
        <v>45957</v>
      </c>
      <c r="D357" t="inlineStr">
        <is>
          <t>KRONOBERGS LÄN</t>
        </is>
      </c>
      <c r="E357" t="inlineStr">
        <is>
          <t>VÄXJÖ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17340-2021</t>
        </is>
      </c>
      <c r="B358" s="1" t="n">
        <v>44298</v>
      </c>
      <c r="C358" s="1" t="n">
        <v>45957</v>
      </c>
      <c r="D358" t="inlineStr">
        <is>
          <t>KRONOBERGS LÄN</t>
        </is>
      </c>
      <c r="E358" t="inlineStr">
        <is>
          <t>TINGSRYD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8652-2022</t>
        </is>
      </c>
      <c r="B359" s="1" t="n">
        <v>44613.65383101852</v>
      </c>
      <c r="C359" s="1" t="n">
        <v>45957</v>
      </c>
      <c r="D359" t="inlineStr">
        <is>
          <t>KRONOBERGS LÄN</t>
        </is>
      </c>
      <c r="E359" t="inlineStr">
        <is>
          <t>UPPVIDINGE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57305-2021</t>
        </is>
      </c>
      <c r="B360" s="1" t="n">
        <v>44483.4240625</v>
      </c>
      <c r="C360" s="1" t="n">
        <v>45957</v>
      </c>
      <c r="D360" t="inlineStr">
        <is>
          <t>KRONOBERGS LÄN</t>
        </is>
      </c>
      <c r="E360" t="inlineStr">
        <is>
          <t>UPPVIDINGE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17485-2021</t>
        </is>
      </c>
      <c r="B361" s="1" t="n">
        <v>44299</v>
      </c>
      <c r="C361" s="1" t="n">
        <v>45957</v>
      </c>
      <c r="D361" t="inlineStr">
        <is>
          <t>KRONOBERGS LÄN</t>
        </is>
      </c>
      <c r="E361" t="inlineStr">
        <is>
          <t>VÄXJÖ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5917-2022</t>
        </is>
      </c>
      <c r="B362" s="1" t="n">
        <v>44597</v>
      </c>
      <c r="C362" s="1" t="n">
        <v>45957</v>
      </c>
      <c r="D362" t="inlineStr">
        <is>
          <t>KRONOBERGS LÄN</t>
        </is>
      </c>
      <c r="E362" t="inlineStr">
        <is>
          <t>ALVESTA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8501-2021</t>
        </is>
      </c>
      <c r="B363" s="1" t="n">
        <v>44245</v>
      </c>
      <c r="C363" s="1" t="n">
        <v>45957</v>
      </c>
      <c r="D363" t="inlineStr">
        <is>
          <t>KRONOBERGS LÄN</t>
        </is>
      </c>
      <c r="E363" t="inlineStr">
        <is>
          <t>ÄLMHULT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8533-2021</t>
        </is>
      </c>
      <c r="B364" s="1" t="n">
        <v>44245.62944444444</v>
      </c>
      <c r="C364" s="1" t="n">
        <v>45957</v>
      </c>
      <c r="D364" t="inlineStr">
        <is>
          <t>KRONOBERGS LÄN</t>
        </is>
      </c>
      <c r="E364" t="inlineStr">
        <is>
          <t>ÄLMHULT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4636-2021</t>
        </is>
      </c>
      <c r="B365" s="1" t="n">
        <v>44224</v>
      </c>
      <c r="C365" s="1" t="n">
        <v>45957</v>
      </c>
      <c r="D365" t="inlineStr">
        <is>
          <t>KRONOBERGS LÄN</t>
        </is>
      </c>
      <c r="E365" t="inlineStr">
        <is>
          <t>LJUNGBY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71126-2021</t>
        </is>
      </c>
      <c r="B366" s="1" t="n">
        <v>44539.38949074074</v>
      </c>
      <c r="C366" s="1" t="n">
        <v>45957</v>
      </c>
      <c r="D366" t="inlineStr">
        <is>
          <t>KRONOBERGS LÄN</t>
        </is>
      </c>
      <c r="E366" t="inlineStr">
        <is>
          <t>TINGSRYD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29698-2022</t>
        </is>
      </c>
      <c r="B367" s="1" t="n">
        <v>44755</v>
      </c>
      <c r="C367" s="1" t="n">
        <v>45957</v>
      </c>
      <c r="D367" t="inlineStr">
        <is>
          <t>KRONOBERGS LÄN</t>
        </is>
      </c>
      <c r="E367" t="inlineStr">
        <is>
          <t>TINGSRYD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28387-2021</t>
        </is>
      </c>
      <c r="B368" s="1" t="n">
        <v>44356.4577662037</v>
      </c>
      <c r="C368" s="1" t="n">
        <v>45957</v>
      </c>
      <c r="D368" t="inlineStr">
        <is>
          <t>KRONOBERGS LÄN</t>
        </is>
      </c>
      <c r="E368" t="inlineStr">
        <is>
          <t>TINGSRYD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9412-2021</t>
        </is>
      </c>
      <c r="B369" s="1" t="n">
        <v>44251</v>
      </c>
      <c r="C369" s="1" t="n">
        <v>45957</v>
      </c>
      <c r="D369" t="inlineStr">
        <is>
          <t>KRONOBERGS LÄN</t>
        </is>
      </c>
      <c r="E369" t="inlineStr">
        <is>
          <t>ÄLMHULT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45748-2021</t>
        </is>
      </c>
      <c r="B370" s="1" t="n">
        <v>44441</v>
      </c>
      <c r="C370" s="1" t="n">
        <v>45957</v>
      </c>
      <c r="D370" t="inlineStr">
        <is>
          <t>KRONOBERGS LÄN</t>
        </is>
      </c>
      <c r="E370" t="inlineStr">
        <is>
          <t>LJUNGBY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1788-2021</t>
        </is>
      </c>
      <c r="B371" s="1" t="n">
        <v>44210.32916666667</v>
      </c>
      <c r="C371" s="1" t="n">
        <v>45957</v>
      </c>
      <c r="D371" t="inlineStr">
        <is>
          <t>KRONOBERGS LÄN</t>
        </is>
      </c>
      <c r="E371" t="inlineStr">
        <is>
          <t>LESSEBO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22384-2022</t>
        </is>
      </c>
      <c r="B372" s="1" t="n">
        <v>44713</v>
      </c>
      <c r="C372" s="1" t="n">
        <v>45957</v>
      </c>
      <c r="D372" t="inlineStr">
        <is>
          <t>KRONOBERGS LÄN</t>
        </is>
      </c>
      <c r="E372" t="inlineStr">
        <is>
          <t>TINGSRYD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5631-2021</t>
        </is>
      </c>
      <c r="B373" s="1" t="n">
        <v>44230</v>
      </c>
      <c r="C373" s="1" t="n">
        <v>45957</v>
      </c>
      <c r="D373" t="inlineStr">
        <is>
          <t>KRONOBERGS LÄN</t>
        </is>
      </c>
      <c r="E373" t="inlineStr">
        <is>
          <t>LJUNGBY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69357-2020</t>
        </is>
      </c>
      <c r="B374" s="1" t="n">
        <v>44193</v>
      </c>
      <c r="C374" s="1" t="n">
        <v>45957</v>
      </c>
      <c r="D374" t="inlineStr">
        <is>
          <t>KRONOBERGS LÄN</t>
        </is>
      </c>
      <c r="E374" t="inlineStr">
        <is>
          <t>UPPVIDINGE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41399-2021</t>
        </is>
      </c>
      <c r="B375" s="1" t="n">
        <v>44424</v>
      </c>
      <c r="C375" s="1" t="n">
        <v>45957</v>
      </c>
      <c r="D375" t="inlineStr">
        <is>
          <t>KRONOBERGS LÄN</t>
        </is>
      </c>
      <c r="E375" t="inlineStr">
        <is>
          <t>TINGSRYD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38691-2022</t>
        </is>
      </c>
      <c r="B376" s="1" t="n">
        <v>44814</v>
      </c>
      <c r="C376" s="1" t="n">
        <v>45957</v>
      </c>
      <c r="D376" t="inlineStr">
        <is>
          <t>KRONOBERGS LÄN</t>
        </is>
      </c>
      <c r="E376" t="inlineStr">
        <is>
          <t>VÄXJÖ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44757-2021</t>
        </is>
      </c>
      <c r="B377" s="1" t="n">
        <v>44438</v>
      </c>
      <c r="C377" s="1" t="n">
        <v>45957</v>
      </c>
      <c r="D377" t="inlineStr">
        <is>
          <t>KRONOBERGS LÄN</t>
        </is>
      </c>
      <c r="E377" t="inlineStr">
        <is>
          <t>VÄXJÖ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46725-2021</t>
        </is>
      </c>
      <c r="B378" s="1" t="n">
        <v>44445</v>
      </c>
      <c r="C378" s="1" t="n">
        <v>45957</v>
      </c>
      <c r="D378" t="inlineStr">
        <is>
          <t>KRONOBERGS LÄN</t>
        </is>
      </c>
      <c r="E378" t="inlineStr">
        <is>
          <t>TINGSRYD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4741-2021</t>
        </is>
      </c>
      <c r="B379" s="1" t="n">
        <v>44225</v>
      </c>
      <c r="C379" s="1" t="n">
        <v>45957</v>
      </c>
      <c r="D379" t="inlineStr">
        <is>
          <t>KRONOBERGS LÄN</t>
        </is>
      </c>
      <c r="E379" t="inlineStr">
        <is>
          <t>UPPVIDINGE</t>
        </is>
      </c>
      <c r="F379" t="inlineStr">
        <is>
          <t>Sveaskog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13379-2022</t>
        </is>
      </c>
      <c r="B380" s="1" t="n">
        <v>44645.46194444445</v>
      </c>
      <c r="C380" s="1" t="n">
        <v>45957</v>
      </c>
      <c r="D380" t="inlineStr">
        <is>
          <t>KRONOBERGS LÄN</t>
        </is>
      </c>
      <c r="E380" t="inlineStr">
        <is>
          <t>VÄXJÖ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46842-2021</t>
        </is>
      </c>
      <c r="B381" s="1" t="n">
        <v>44446.36678240741</v>
      </c>
      <c r="C381" s="1" t="n">
        <v>45957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38872-2021</t>
        </is>
      </c>
      <c r="B382" s="1" t="n">
        <v>44410</v>
      </c>
      <c r="C382" s="1" t="n">
        <v>45957</v>
      </c>
      <c r="D382" t="inlineStr">
        <is>
          <t>KRONOBERGS LÄN</t>
        </is>
      </c>
      <c r="E382" t="inlineStr">
        <is>
          <t>LJUNGBY</t>
        </is>
      </c>
      <c r="G382" t="n">
        <v>8.6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69541-2020</t>
        </is>
      </c>
      <c r="B383" s="1" t="n">
        <v>44194</v>
      </c>
      <c r="C383" s="1" t="n">
        <v>45957</v>
      </c>
      <c r="D383" t="inlineStr">
        <is>
          <t>KRONOBERGS LÄN</t>
        </is>
      </c>
      <c r="E383" t="inlineStr">
        <is>
          <t>TINGSRYD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47580-2021</t>
        </is>
      </c>
      <c r="B384" s="1" t="n">
        <v>44447</v>
      </c>
      <c r="C384" s="1" t="n">
        <v>45957</v>
      </c>
      <c r="D384" t="inlineStr">
        <is>
          <t>KRONOBERGS LÄN</t>
        </is>
      </c>
      <c r="E384" t="inlineStr">
        <is>
          <t>UPPVIDINGE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50271-2021</t>
        </is>
      </c>
      <c r="B385" s="1" t="n">
        <v>44459</v>
      </c>
      <c r="C385" s="1" t="n">
        <v>45957</v>
      </c>
      <c r="D385" t="inlineStr">
        <is>
          <t>KRONOBERGS LÄN</t>
        </is>
      </c>
      <c r="E385" t="inlineStr">
        <is>
          <t>LJUNGBY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23160-2021</t>
        </is>
      </c>
      <c r="B386" s="1" t="n">
        <v>44332</v>
      </c>
      <c r="C386" s="1" t="n">
        <v>45957</v>
      </c>
      <c r="D386" t="inlineStr">
        <is>
          <t>KRONOBERGS LÄN</t>
        </is>
      </c>
      <c r="E386" t="inlineStr">
        <is>
          <t>TINGSRYD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7686-2021</t>
        </is>
      </c>
      <c r="B387" s="1" t="n">
        <v>44242</v>
      </c>
      <c r="C387" s="1" t="n">
        <v>45957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15855-2021</t>
        </is>
      </c>
      <c r="B388" s="1" t="n">
        <v>44286</v>
      </c>
      <c r="C388" s="1" t="n">
        <v>45957</v>
      </c>
      <c r="D388" t="inlineStr">
        <is>
          <t>KRONOBERGS LÄN</t>
        </is>
      </c>
      <c r="E388" t="inlineStr">
        <is>
          <t>ÄLMHULT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39099-2021</t>
        </is>
      </c>
      <c r="B389" s="1" t="n">
        <v>44412</v>
      </c>
      <c r="C389" s="1" t="n">
        <v>45957</v>
      </c>
      <c r="D389" t="inlineStr">
        <is>
          <t>KRONOBERGS LÄN</t>
        </is>
      </c>
      <c r="E389" t="inlineStr">
        <is>
          <t>TINGSRYD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8627-2022</t>
        </is>
      </c>
      <c r="B390" s="1" t="n">
        <v>44613.61299768519</v>
      </c>
      <c r="C390" s="1" t="n">
        <v>45957</v>
      </c>
      <c r="D390" t="inlineStr">
        <is>
          <t>KRONOBERGS LÄN</t>
        </is>
      </c>
      <c r="E390" t="inlineStr">
        <is>
          <t>ALVESTA</t>
        </is>
      </c>
      <c r="F390" t="inlineStr">
        <is>
          <t>Kommuner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18419-2021</t>
        </is>
      </c>
      <c r="B391" s="1" t="n">
        <v>44305</v>
      </c>
      <c r="C391" s="1" t="n">
        <v>45957</v>
      </c>
      <c r="D391" t="inlineStr">
        <is>
          <t>KRONOBERGS LÄN</t>
        </is>
      </c>
      <c r="E391" t="inlineStr">
        <is>
          <t>VÄXJÖ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44991-2021</t>
        </is>
      </c>
      <c r="B392" s="1" t="n">
        <v>44438</v>
      </c>
      <c r="C392" s="1" t="n">
        <v>45957</v>
      </c>
      <c r="D392" t="inlineStr">
        <is>
          <t>KRONOBERGS LÄN</t>
        </is>
      </c>
      <c r="E392" t="inlineStr">
        <is>
          <t>ÄLMHULT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65153-2020</t>
        </is>
      </c>
      <c r="B393" s="1" t="n">
        <v>44168</v>
      </c>
      <c r="C393" s="1" t="n">
        <v>45957</v>
      </c>
      <c r="D393" t="inlineStr">
        <is>
          <t>KRONOBERGS LÄN</t>
        </is>
      </c>
      <c r="E393" t="inlineStr">
        <is>
          <t>TINGSRYD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44-2021</t>
        </is>
      </c>
      <c r="B394" s="1" t="n">
        <v>44199</v>
      </c>
      <c r="C394" s="1" t="n">
        <v>45957</v>
      </c>
      <c r="D394" t="inlineStr">
        <is>
          <t>KRONOBERGS LÄN</t>
        </is>
      </c>
      <c r="E394" t="inlineStr">
        <is>
          <t>TINGSRYD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51341-2021</t>
        </is>
      </c>
      <c r="B395" s="1" t="n">
        <v>44461.63753472222</v>
      </c>
      <c r="C395" s="1" t="n">
        <v>45957</v>
      </c>
      <c r="D395" t="inlineStr">
        <is>
          <t>KRONOBERGS LÄN</t>
        </is>
      </c>
      <c r="E395" t="inlineStr">
        <is>
          <t>ALVESTA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69558-2020</t>
        </is>
      </c>
      <c r="B396" s="1" t="n">
        <v>44194</v>
      </c>
      <c r="C396" s="1" t="n">
        <v>45957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73660-2021</t>
        </is>
      </c>
      <c r="B397" s="1" t="n">
        <v>44552.45428240741</v>
      </c>
      <c r="C397" s="1" t="n">
        <v>45957</v>
      </c>
      <c r="D397" t="inlineStr">
        <is>
          <t>KRONOBERGS LÄN</t>
        </is>
      </c>
      <c r="E397" t="inlineStr">
        <is>
          <t>UPPVIDINGE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37111-2021</t>
        </is>
      </c>
      <c r="B398" s="1" t="n">
        <v>44393</v>
      </c>
      <c r="C398" s="1" t="n">
        <v>45957</v>
      </c>
      <c r="D398" t="inlineStr">
        <is>
          <t>KRONOBERGS LÄN</t>
        </is>
      </c>
      <c r="E398" t="inlineStr">
        <is>
          <t>VÄXJÖ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58109-2021</t>
        </is>
      </c>
      <c r="B399" s="1" t="n">
        <v>44487</v>
      </c>
      <c r="C399" s="1" t="n">
        <v>45957</v>
      </c>
      <c r="D399" t="inlineStr">
        <is>
          <t>KRONOBERGS LÄN</t>
        </is>
      </c>
      <c r="E399" t="inlineStr">
        <is>
          <t>UPPVIDINGE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24806-2021</t>
        </is>
      </c>
      <c r="B400" s="1" t="n">
        <v>44340.66128472222</v>
      </c>
      <c r="C400" s="1" t="n">
        <v>45957</v>
      </c>
      <c r="D400" t="inlineStr">
        <is>
          <t>KRONOBERGS LÄN</t>
        </is>
      </c>
      <c r="E400" t="inlineStr">
        <is>
          <t>ALVESTA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17075-2021</t>
        </is>
      </c>
      <c r="B401" s="1" t="n">
        <v>44297</v>
      </c>
      <c r="C401" s="1" t="n">
        <v>45957</v>
      </c>
      <c r="D401" t="inlineStr">
        <is>
          <t>KRONOBERGS LÄN</t>
        </is>
      </c>
      <c r="E401" t="inlineStr">
        <is>
          <t>LJUNGBY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64288-2021</t>
        </is>
      </c>
      <c r="B402" s="1" t="n">
        <v>44510.88893518518</v>
      </c>
      <c r="C402" s="1" t="n">
        <v>45957</v>
      </c>
      <c r="D402" t="inlineStr">
        <is>
          <t>KRONOBERGS LÄN</t>
        </is>
      </c>
      <c r="E402" t="inlineStr">
        <is>
          <t>LJUNGBY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70324-2021</t>
        </is>
      </c>
      <c r="B403" s="1" t="n">
        <v>44536</v>
      </c>
      <c r="C403" s="1" t="n">
        <v>45957</v>
      </c>
      <c r="D403" t="inlineStr">
        <is>
          <t>KRONOBERGS LÄN</t>
        </is>
      </c>
      <c r="E403" t="inlineStr">
        <is>
          <t>UPPVIDINGE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35965-2022</t>
        </is>
      </c>
      <c r="B404" s="1" t="n">
        <v>44802.57482638889</v>
      </c>
      <c r="C404" s="1" t="n">
        <v>45957</v>
      </c>
      <c r="D404" t="inlineStr">
        <is>
          <t>KRONOBERGS LÄN</t>
        </is>
      </c>
      <c r="E404" t="inlineStr">
        <is>
          <t>ÄLMHULT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65192-2021</t>
        </is>
      </c>
      <c r="B405" s="1" t="n">
        <v>44515</v>
      </c>
      <c r="C405" s="1" t="n">
        <v>45957</v>
      </c>
      <c r="D405" t="inlineStr">
        <is>
          <t>KRONOBERGS LÄN</t>
        </is>
      </c>
      <c r="E405" t="inlineStr">
        <is>
          <t>ÄLMHULT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46446-2021</t>
        </is>
      </c>
      <c r="B406" s="1" t="n">
        <v>44445</v>
      </c>
      <c r="C406" s="1" t="n">
        <v>45957</v>
      </c>
      <c r="D406" t="inlineStr">
        <is>
          <t>KRONOBERGS LÄN</t>
        </is>
      </c>
      <c r="E406" t="inlineStr">
        <is>
          <t>VÄXJÖ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48692-2021</t>
        </is>
      </c>
      <c r="B407" s="1" t="n">
        <v>44452.57429398148</v>
      </c>
      <c r="C407" s="1" t="n">
        <v>45957</v>
      </c>
      <c r="D407" t="inlineStr">
        <is>
          <t>KRONOBERGS LÄN</t>
        </is>
      </c>
      <c r="E407" t="inlineStr">
        <is>
          <t>TINGSRYD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37481-2022</t>
        </is>
      </c>
      <c r="B408" s="1" t="n">
        <v>44809.54884259259</v>
      </c>
      <c r="C408" s="1" t="n">
        <v>45957</v>
      </c>
      <c r="D408" t="inlineStr">
        <is>
          <t>KRONOBERGS LÄN</t>
        </is>
      </c>
      <c r="E408" t="inlineStr">
        <is>
          <t>LJUNGBY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35967-2022</t>
        </is>
      </c>
      <c r="B409" s="1" t="n">
        <v>44802.57569444444</v>
      </c>
      <c r="C409" s="1" t="n">
        <v>45957</v>
      </c>
      <c r="D409" t="inlineStr">
        <is>
          <t>KRONOBERGS LÄN</t>
        </is>
      </c>
      <c r="E409" t="inlineStr">
        <is>
          <t>ÄLMHULT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1719-2022</t>
        </is>
      </c>
      <c r="B410" s="1" t="n">
        <v>44574.4577662037</v>
      </c>
      <c r="C410" s="1" t="n">
        <v>45957</v>
      </c>
      <c r="D410" t="inlineStr">
        <is>
          <t>KRONOBERGS LÄN</t>
        </is>
      </c>
      <c r="E410" t="inlineStr">
        <is>
          <t>UPPVIDINGE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40770-2022</t>
        </is>
      </c>
      <c r="B411" s="1" t="n">
        <v>44824</v>
      </c>
      <c r="C411" s="1" t="n">
        <v>45957</v>
      </c>
      <c r="D411" t="inlineStr">
        <is>
          <t>KRONOBERGS LÄN</t>
        </is>
      </c>
      <c r="E411" t="inlineStr">
        <is>
          <t>LESSEBO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51384-2021</t>
        </is>
      </c>
      <c r="B412" s="1" t="n">
        <v>44461.68690972222</v>
      </c>
      <c r="C412" s="1" t="n">
        <v>45957</v>
      </c>
      <c r="D412" t="inlineStr">
        <is>
          <t>KRONOBERGS LÄN</t>
        </is>
      </c>
      <c r="E412" t="inlineStr">
        <is>
          <t>UPPVIDINGE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7623-2022</t>
        </is>
      </c>
      <c r="B413" s="1" t="n">
        <v>44607</v>
      </c>
      <c r="C413" s="1" t="n">
        <v>45957</v>
      </c>
      <c r="D413" t="inlineStr">
        <is>
          <t>KRONOBERGS LÄN</t>
        </is>
      </c>
      <c r="E413" t="inlineStr">
        <is>
          <t>LJUNGBY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33403-2022</t>
        </is>
      </c>
      <c r="B414" s="1" t="n">
        <v>44785</v>
      </c>
      <c r="C414" s="1" t="n">
        <v>45957</v>
      </c>
      <c r="D414" t="inlineStr">
        <is>
          <t>KRONOBERGS LÄN</t>
        </is>
      </c>
      <c r="E414" t="inlineStr">
        <is>
          <t>ÄLMHULT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13033-2022</t>
        </is>
      </c>
      <c r="B415" s="1" t="n">
        <v>44643</v>
      </c>
      <c r="C415" s="1" t="n">
        <v>45957</v>
      </c>
      <c r="D415" t="inlineStr">
        <is>
          <t>KRONOBERGS LÄN</t>
        </is>
      </c>
      <c r="E415" t="inlineStr">
        <is>
          <t>VÄXJÖ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64688-2021</t>
        </is>
      </c>
      <c r="B416" s="1" t="n">
        <v>44510</v>
      </c>
      <c r="C416" s="1" t="n">
        <v>45957</v>
      </c>
      <c r="D416" t="inlineStr">
        <is>
          <t>KRONOBERGS LÄN</t>
        </is>
      </c>
      <c r="E416" t="inlineStr">
        <is>
          <t>UPPVIDINGE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23634-2022</t>
        </is>
      </c>
      <c r="B417" s="1" t="n">
        <v>44721.65634259259</v>
      </c>
      <c r="C417" s="1" t="n">
        <v>45957</v>
      </c>
      <c r="D417" t="inlineStr">
        <is>
          <t>KRONOBERGS LÄN</t>
        </is>
      </c>
      <c r="E417" t="inlineStr">
        <is>
          <t>LJUNGBY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64153-2021</t>
        </is>
      </c>
      <c r="B418" s="1" t="n">
        <v>44510</v>
      </c>
      <c r="C418" s="1" t="n">
        <v>45957</v>
      </c>
      <c r="D418" t="inlineStr">
        <is>
          <t>KRONOBERGS LÄN</t>
        </is>
      </c>
      <c r="E418" t="inlineStr">
        <is>
          <t>LJUNGBY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64155-2021</t>
        </is>
      </c>
      <c r="B419" s="1" t="n">
        <v>44510</v>
      </c>
      <c r="C419" s="1" t="n">
        <v>45957</v>
      </c>
      <c r="D419" t="inlineStr">
        <is>
          <t>KRONOBERGS LÄN</t>
        </is>
      </c>
      <c r="E419" t="inlineStr">
        <is>
          <t>LESSEBO</t>
        </is>
      </c>
      <c r="F419" t="inlineStr">
        <is>
          <t>Kyrkan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23541-2021</t>
        </is>
      </c>
      <c r="B420" s="1" t="n">
        <v>44334.36253472222</v>
      </c>
      <c r="C420" s="1" t="n">
        <v>45957</v>
      </c>
      <c r="D420" t="inlineStr">
        <is>
          <t>KRONOBERGS LÄN</t>
        </is>
      </c>
      <c r="E420" t="inlineStr">
        <is>
          <t>VÄXJÖ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50143-2021</t>
        </is>
      </c>
      <c r="B421" s="1" t="n">
        <v>44456</v>
      </c>
      <c r="C421" s="1" t="n">
        <v>45957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22857-2021</t>
        </is>
      </c>
      <c r="B422" s="1" t="n">
        <v>44328</v>
      </c>
      <c r="C422" s="1" t="n">
        <v>45957</v>
      </c>
      <c r="D422" t="inlineStr">
        <is>
          <t>KRONOBERGS LÄN</t>
        </is>
      </c>
      <c r="E422" t="inlineStr">
        <is>
          <t>ALVESTA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28931-2022</t>
        </is>
      </c>
      <c r="B423" s="1" t="n">
        <v>44749.58270833334</v>
      </c>
      <c r="C423" s="1" t="n">
        <v>45957</v>
      </c>
      <c r="D423" t="inlineStr">
        <is>
          <t>KRONOBERGS LÄN</t>
        </is>
      </c>
      <c r="E423" t="inlineStr">
        <is>
          <t>ÄLMHULT</t>
        </is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25926-2022</t>
        </is>
      </c>
      <c r="B424" s="1" t="n">
        <v>44734.36189814815</v>
      </c>
      <c r="C424" s="1" t="n">
        <v>45957</v>
      </c>
      <c r="D424" t="inlineStr">
        <is>
          <t>KRONOBERGS LÄN</t>
        </is>
      </c>
      <c r="E424" t="inlineStr">
        <is>
          <t>UPPVIDINGE</t>
        </is>
      </c>
      <c r="F424" t="inlineStr">
        <is>
          <t>Sveaskog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13371-2021</t>
        </is>
      </c>
      <c r="B425" s="1" t="n">
        <v>44273</v>
      </c>
      <c r="C425" s="1" t="n">
        <v>45957</v>
      </c>
      <c r="D425" t="inlineStr">
        <is>
          <t>KRONOBERGS LÄN</t>
        </is>
      </c>
      <c r="E425" t="inlineStr">
        <is>
          <t>UPPVIDINGE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22312-2021</t>
        </is>
      </c>
      <c r="B426" s="1" t="n">
        <v>44321</v>
      </c>
      <c r="C426" s="1" t="n">
        <v>45957</v>
      </c>
      <c r="D426" t="inlineStr">
        <is>
          <t>KRONOBERGS LÄN</t>
        </is>
      </c>
      <c r="E426" t="inlineStr">
        <is>
          <t>UPPVIDINGE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38267-2022</t>
        </is>
      </c>
      <c r="B427" s="1" t="n">
        <v>44812.51043981482</v>
      </c>
      <c r="C427" s="1" t="n">
        <v>45957</v>
      </c>
      <c r="D427" t="inlineStr">
        <is>
          <t>KRONOBERGS LÄN</t>
        </is>
      </c>
      <c r="E427" t="inlineStr">
        <is>
          <t>UPPVIDINGE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20852-2021</t>
        </is>
      </c>
      <c r="B428" s="1" t="n">
        <v>44319.33803240741</v>
      </c>
      <c r="C428" s="1" t="n">
        <v>45957</v>
      </c>
      <c r="D428" t="inlineStr">
        <is>
          <t>KRONOBERGS LÄN</t>
        </is>
      </c>
      <c r="E428" t="inlineStr">
        <is>
          <t>UPPVIDINGE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19332-2022</t>
        </is>
      </c>
      <c r="B429" s="1" t="n">
        <v>44692.61546296296</v>
      </c>
      <c r="C429" s="1" t="n">
        <v>45957</v>
      </c>
      <c r="D429" t="inlineStr">
        <is>
          <t>KRONOBERGS LÄN</t>
        </is>
      </c>
      <c r="E429" t="inlineStr">
        <is>
          <t>MARKARYD</t>
        </is>
      </c>
      <c r="G429" t="n">
        <v>0.2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65204-2021</t>
        </is>
      </c>
      <c r="B430" s="1" t="n">
        <v>44515.49590277778</v>
      </c>
      <c r="C430" s="1" t="n">
        <v>45957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27322-2021</t>
        </is>
      </c>
      <c r="B431" s="1" t="n">
        <v>44351</v>
      </c>
      <c r="C431" s="1" t="n">
        <v>45957</v>
      </c>
      <c r="D431" t="inlineStr">
        <is>
          <t>KRONOBERGS LÄN</t>
        </is>
      </c>
      <c r="E431" t="inlineStr">
        <is>
          <t>TINGSRYD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54970-2021</t>
        </is>
      </c>
      <c r="B432" s="1" t="n">
        <v>44474.50116898148</v>
      </c>
      <c r="C432" s="1" t="n">
        <v>45957</v>
      </c>
      <c r="D432" t="inlineStr">
        <is>
          <t>KRONOBERGS LÄN</t>
        </is>
      </c>
      <c r="E432" t="inlineStr">
        <is>
          <t>ÄLMHULT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66390-2021</t>
        </is>
      </c>
      <c r="B433" s="1" t="n">
        <v>44518</v>
      </c>
      <c r="C433" s="1" t="n">
        <v>45957</v>
      </c>
      <c r="D433" t="inlineStr">
        <is>
          <t>KRONOBERGS LÄN</t>
        </is>
      </c>
      <c r="E433" t="inlineStr">
        <is>
          <t>LESSEBO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38687-2022</t>
        </is>
      </c>
      <c r="B434" s="1" t="n">
        <v>44814.28984953704</v>
      </c>
      <c r="C434" s="1" t="n">
        <v>45957</v>
      </c>
      <c r="D434" t="inlineStr">
        <is>
          <t>KRONOBERGS LÄN</t>
        </is>
      </c>
      <c r="E434" t="inlineStr">
        <is>
          <t>VÄXJÖ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65371-2021</t>
        </is>
      </c>
      <c r="B435" s="1" t="n">
        <v>44515</v>
      </c>
      <c r="C435" s="1" t="n">
        <v>45957</v>
      </c>
      <c r="D435" t="inlineStr">
        <is>
          <t>KRONOBERGS LÄN</t>
        </is>
      </c>
      <c r="E435" t="inlineStr">
        <is>
          <t>ALVESTA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27158-2021</t>
        </is>
      </c>
      <c r="B436" s="1" t="n">
        <v>44350.60737268518</v>
      </c>
      <c r="C436" s="1" t="n">
        <v>45957</v>
      </c>
      <c r="D436" t="inlineStr">
        <is>
          <t>KRONOBERGS LÄN</t>
        </is>
      </c>
      <c r="E436" t="inlineStr">
        <is>
          <t>ÄLMHULT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35251-2022</t>
        </is>
      </c>
      <c r="B437" s="1" t="n">
        <v>44798.3397337963</v>
      </c>
      <c r="C437" s="1" t="n">
        <v>45957</v>
      </c>
      <c r="D437" t="inlineStr">
        <is>
          <t>KRONOBERGS LÄN</t>
        </is>
      </c>
      <c r="E437" t="inlineStr">
        <is>
          <t>ÄLMHULT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35254-2022</t>
        </is>
      </c>
      <c r="B438" s="1" t="n">
        <v>44798.35671296297</v>
      </c>
      <c r="C438" s="1" t="n">
        <v>45957</v>
      </c>
      <c r="D438" t="inlineStr">
        <is>
          <t>KRONOBERGS LÄN</t>
        </is>
      </c>
      <c r="E438" t="inlineStr">
        <is>
          <t>ALVESTA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67593-2021</t>
        </is>
      </c>
      <c r="B439" s="1" t="n">
        <v>44524.60759259259</v>
      </c>
      <c r="C439" s="1" t="n">
        <v>45957</v>
      </c>
      <c r="D439" t="inlineStr">
        <is>
          <t>KRONOBERGS LÄN</t>
        </is>
      </c>
      <c r="E439" t="inlineStr">
        <is>
          <t>TINGSRYD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64459-2021</t>
        </is>
      </c>
      <c r="B440" s="1" t="n">
        <v>44511</v>
      </c>
      <c r="C440" s="1" t="n">
        <v>45957</v>
      </c>
      <c r="D440" t="inlineStr">
        <is>
          <t>KRONOBERGS LÄN</t>
        </is>
      </c>
      <c r="E440" t="inlineStr">
        <is>
          <t>ALVESTA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56544-2021</t>
        </is>
      </c>
      <c r="B441" s="1" t="n">
        <v>44480</v>
      </c>
      <c r="C441" s="1" t="n">
        <v>45957</v>
      </c>
      <c r="D441" t="inlineStr">
        <is>
          <t>KRONOBERGS LÄN</t>
        </is>
      </c>
      <c r="E441" t="inlineStr">
        <is>
          <t>VÄXJÖ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38461-2022</t>
        </is>
      </c>
      <c r="B442" s="1" t="n">
        <v>44813</v>
      </c>
      <c r="C442" s="1" t="n">
        <v>45957</v>
      </c>
      <c r="D442" t="inlineStr">
        <is>
          <t>KRONOBERGS LÄN</t>
        </is>
      </c>
      <c r="E442" t="inlineStr">
        <is>
          <t>TINGSRYD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41983-2021</t>
        </is>
      </c>
      <c r="B443" s="1" t="n">
        <v>44426</v>
      </c>
      <c r="C443" s="1" t="n">
        <v>45957</v>
      </c>
      <c r="D443" t="inlineStr">
        <is>
          <t>KRONOBERGS LÄN</t>
        </is>
      </c>
      <c r="E443" t="inlineStr">
        <is>
          <t>TINGSRYD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58646-2021</t>
        </is>
      </c>
      <c r="B444" s="1" t="n">
        <v>44489.36836805556</v>
      </c>
      <c r="C444" s="1" t="n">
        <v>45957</v>
      </c>
      <c r="D444" t="inlineStr">
        <is>
          <t>KRONOBERGS LÄN</t>
        </is>
      </c>
      <c r="E444" t="inlineStr">
        <is>
          <t>TINGSRYD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29506-2022</t>
        </is>
      </c>
      <c r="B445" s="1" t="n">
        <v>44753.64795138889</v>
      </c>
      <c r="C445" s="1" t="n">
        <v>45957</v>
      </c>
      <c r="D445" t="inlineStr">
        <is>
          <t>KRONOBERGS LÄN</t>
        </is>
      </c>
      <c r="E445" t="inlineStr">
        <is>
          <t>TINGSRYD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49917-2022</t>
        </is>
      </c>
      <c r="B446" s="1" t="n">
        <v>44865.31504629629</v>
      </c>
      <c r="C446" s="1" t="n">
        <v>45957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68062-2021</t>
        </is>
      </c>
      <c r="B447" s="1" t="n">
        <v>44525.97056712963</v>
      </c>
      <c r="C447" s="1" t="n">
        <v>45957</v>
      </c>
      <c r="D447" t="inlineStr">
        <is>
          <t>KRONOBERGS LÄN</t>
        </is>
      </c>
      <c r="E447" t="inlineStr">
        <is>
          <t>VÄXJÖ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2212-2022</t>
        </is>
      </c>
      <c r="B448" s="1" t="n">
        <v>44578</v>
      </c>
      <c r="C448" s="1" t="n">
        <v>45957</v>
      </c>
      <c r="D448" t="inlineStr">
        <is>
          <t>KRONOBERGS LÄN</t>
        </is>
      </c>
      <c r="E448" t="inlineStr">
        <is>
          <t>VÄXJÖ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65672-2021</t>
        </is>
      </c>
      <c r="B449" s="1" t="n">
        <v>44516.59821759259</v>
      </c>
      <c r="C449" s="1" t="n">
        <v>45957</v>
      </c>
      <c r="D449" t="inlineStr">
        <is>
          <t>KRONOBERGS LÄN</t>
        </is>
      </c>
      <c r="E449" t="inlineStr">
        <is>
          <t>VÄXJÖ</t>
        </is>
      </c>
      <c r="F449" t="inlineStr">
        <is>
          <t>Sveaskog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49720-2022</t>
        </is>
      </c>
      <c r="B450" s="1" t="n">
        <v>44859</v>
      </c>
      <c r="C450" s="1" t="n">
        <v>45957</v>
      </c>
      <c r="D450" t="inlineStr">
        <is>
          <t>KRONOBERGS LÄN</t>
        </is>
      </c>
      <c r="E450" t="inlineStr">
        <is>
          <t>UPPVIDINGE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67344-2021</t>
        </is>
      </c>
      <c r="B451" s="1" t="n">
        <v>44523</v>
      </c>
      <c r="C451" s="1" t="n">
        <v>45957</v>
      </c>
      <c r="D451" t="inlineStr">
        <is>
          <t>KRONOBERGS LÄN</t>
        </is>
      </c>
      <c r="E451" t="inlineStr">
        <is>
          <t>ÄLMHULT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69957-2021</t>
        </is>
      </c>
      <c r="B452" s="1" t="n">
        <v>44533.37256944444</v>
      </c>
      <c r="C452" s="1" t="n">
        <v>45957</v>
      </c>
      <c r="D452" t="inlineStr">
        <is>
          <t>KRONOBERGS LÄN</t>
        </is>
      </c>
      <c r="E452" t="inlineStr">
        <is>
          <t>TINGSRYD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42789-2021</t>
        </is>
      </c>
      <c r="B453" s="1" t="n">
        <v>44428.87</v>
      </c>
      <c r="C453" s="1" t="n">
        <v>45957</v>
      </c>
      <c r="D453" t="inlineStr">
        <is>
          <t>KRONOBERGS LÄN</t>
        </is>
      </c>
      <c r="E453" t="inlineStr">
        <is>
          <t>ÄLMHULT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39706-2022</t>
        </is>
      </c>
      <c r="B454" s="1" t="n">
        <v>44818</v>
      </c>
      <c r="C454" s="1" t="n">
        <v>45957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2029-2022</t>
        </is>
      </c>
      <c r="B455" s="1" t="n">
        <v>44575</v>
      </c>
      <c r="C455" s="1" t="n">
        <v>45957</v>
      </c>
      <c r="D455" t="inlineStr">
        <is>
          <t>KRONOBERGS LÄN</t>
        </is>
      </c>
      <c r="E455" t="inlineStr">
        <is>
          <t>TINGSRYD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46357-2021</t>
        </is>
      </c>
      <c r="B456" s="1" t="n">
        <v>44442</v>
      </c>
      <c r="C456" s="1" t="n">
        <v>45957</v>
      </c>
      <c r="D456" t="inlineStr">
        <is>
          <t>KRONOBERGS LÄN</t>
        </is>
      </c>
      <c r="E456" t="inlineStr">
        <is>
          <t>ALVESTA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39909-2022</t>
        </is>
      </c>
      <c r="B457" s="1" t="n">
        <v>44819</v>
      </c>
      <c r="C457" s="1" t="n">
        <v>45957</v>
      </c>
      <c r="D457" t="inlineStr">
        <is>
          <t>KRONOBERGS LÄN</t>
        </is>
      </c>
      <c r="E457" t="inlineStr">
        <is>
          <t>TINGSRYD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182-2021</t>
        </is>
      </c>
      <c r="B458" s="1" t="n">
        <v>44200</v>
      </c>
      <c r="C458" s="1" t="n">
        <v>45957</v>
      </c>
      <c r="D458" t="inlineStr">
        <is>
          <t>KRONOBERGS LÄN</t>
        </is>
      </c>
      <c r="E458" t="inlineStr">
        <is>
          <t>MARKARYD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15402-2021</t>
        </is>
      </c>
      <c r="B459" s="1" t="n">
        <v>44285</v>
      </c>
      <c r="C459" s="1" t="n">
        <v>45957</v>
      </c>
      <c r="D459" t="inlineStr">
        <is>
          <t>KRONOBERGS LÄN</t>
        </is>
      </c>
      <c r="E459" t="inlineStr">
        <is>
          <t>TINGSRYD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178-2021</t>
        </is>
      </c>
      <c r="B460" s="1" t="n">
        <v>44200</v>
      </c>
      <c r="C460" s="1" t="n">
        <v>45957</v>
      </c>
      <c r="D460" t="inlineStr">
        <is>
          <t>KRONOBERGS LÄN</t>
        </is>
      </c>
      <c r="E460" t="inlineStr">
        <is>
          <t>MARKARYD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4750-2021</t>
        </is>
      </c>
      <c r="B461" s="1" t="n">
        <v>44225</v>
      </c>
      <c r="C461" s="1" t="n">
        <v>45957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46357-2022</t>
        </is>
      </c>
      <c r="B462" s="1" t="n">
        <v>44848.3015625</v>
      </c>
      <c r="C462" s="1" t="n">
        <v>45957</v>
      </c>
      <c r="D462" t="inlineStr">
        <is>
          <t>KRONOBERGS LÄN</t>
        </is>
      </c>
      <c r="E462" t="inlineStr">
        <is>
          <t>LJUNGBY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8529-2021</t>
        </is>
      </c>
      <c r="B463" s="1" t="n">
        <v>44245.62523148148</v>
      </c>
      <c r="C463" s="1" t="n">
        <v>45957</v>
      </c>
      <c r="D463" t="inlineStr">
        <is>
          <t>KRONOBERGS LÄN</t>
        </is>
      </c>
      <c r="E463" t="inlineStr">
        <is>
          <t>ÄLMHULT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27758-2021</t>
        </is>
      </c>
      <c r="B464" s="1" t="n">
        <v>44354</v>
      </c>
      <c r="C464" s="1" t="n">
        <v>45957</v>
      </c>
      <c r="D464" t="inlineStr">
        <is>
          <t>KRONOBERGS LÄN</t>
        </is>
      </c>
      <c r="E464" t="inlineStr">
        <is>
          <t>ALVESTA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27760-2021</t>
        </is>
      </c>
      <c r="B465" s="1" t="n">
        <v>44354</v>
      </c>
      <c r="C465" s="1" t="n">
        <v>45957</v>
      </c>
      <c r="D465" t="inlineStr">
        <is>
          <t>KRONOBERGS LÄN</t>
        </is>
      </c>
      <c r="E465" t="inlineStr">
        <is>
          <t>VÄXJÖ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68952-2020</t>
        </is>
      </c>
      <c r="B466" s="1" t="n">
        <v>44187</v>
      </c>
      <c r="C466" s="1" t="n">
        <v>45957</v>
      </c>
      <c r="D466" t="inlineStr">
        <is>
          <t>KRONOBERGS LÄN</t>
        </is>
      </c>
      <c r="E466" t="inlineStr">
        <is>
          <t>VÄXJÖ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66771-2020</t>
        </is>
      </c>
      <c r="B467" s="1" t="n">
        <v>44179</v>
      </c>
      <c r="C467" s="1" t="n">
        <v>45957</v>
      </c>
      <c r="D467" t="inlineStr">
        <is>
          <t>KRONOBERGS LÄN</t>
        </is>
      </c>
      <c r="E467" t="inlineStr">
        <is>
          <t>TINGSRYD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65191-2020</t>
        </is>
      </c>
      <c r="B468" s="1" t="n">
        <v>44172</v>
      </c>
      <c r="C468" s="1" t="n">
        <v>45957</v>
      </c>
      <c r="D468" t="inlineStr">
        <is>
          <t>KRONOBERGS LÄN</t>
        </is>
      </c>
      <c r="E468" t="inlineStr">
        <is>
          <t>VÄXJÖ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17073-2021</t>
        </is>
      </c>
      <c r="B469" s="1" t="n">
        <v>44297</v>
      </c>
      <c r="C469" s="1" t="n">
        <v>45957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12378-2022</t>
        </is>
      </c>
      <c r="B470" s="1" t="n">
        <v>44637.90193287037</v>
      </c>
      <c r="C470" s="1" t="n">
        <v>45957</v>
      </c>
      <c r="D470" t="inlineStr">
        <is>
          <t>KRONOBERGS LÄN</t>
        </is>
      </c>
      <c r="E470" t="inlineStr">
        <is>
          <t>LESSEBO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14002-2021</t>
        </is>
      </c>
      <c r="B471" s="1" t="n">
        <v>44277.6141087963</v>
      </c>
      <c r="C471" s="1" t="n">
        <v>45957</v>
      </c>
      <c r="D471" t="inlineStr">
        <is>
          <t>KRONOBERGS LÄN</t>
        </is>
      </c>
      <c r="E471" t="inlineStr">
        <is>
          <t>LJUNGBY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36334-2022</t>
        </is>
      </c>
      <c r="B472" s="1" t="n">
        <v>44803.73929398148</v>
      </c>
      <c r="C472" s="1" t="n">
        <v>45957</v>
      </c>
      <c r="D472" t="inlineStr">
        <is>
          <t>KRONOBERGS LÄN</t>
        </is>
      </c>
      <c r="E472" t="inlineStr">
        <is>
          <t>VÄXJÖ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5371-2021</t>
        </is>
      </c>
      <c r="B473" s="1" t="n">
        <v>44229</v>
      </c>
      <c r="C473" s="1" t="n">
        <v>45957</v>
      </c>
      <c r="D473" t="inlineStr">
        <is>
          <t>KRONOBERGS LÄN</t>
        </is>
      </c>
      <c r="E473" t="inlineStr">
        <is>
          <t>UPPVIDINGE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62244-2021</t>
        </is>
      </c>
      <c r="B474" s="1" t="n">
        <v>44503</v>
      </c>
      <c r="C474" s="1" t="n">
        <v>45957</v>
      </c>
      <c r="D474" t="inlineStr">
        <is>
          <t>KRONOBERGS LÄN</t>
        </is>
      </c>
      <c r="E474" t="inlineStr">
        <is>
          <t>ÄLMHULT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54147-2021</t>
        </is>
      </c>
      <c r="B475" s="1" t="n">
        <v>44470</v>
      </c>
      <c r="C475" s="1" t="n">
        <v>45957</v>
      </c>
      <c r="D475" t="inlineStr">
        <is>
          <t>KRONOBERGS LÄN</t>
        </is>
      </c>
      <c r="E475" t="inlineStr">
        <is>
          <t>VÄXJÖ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47890-2021</t>
        </is>
      </c>
      <c r="B476" s="1" t="n">
        <v>44448</v>
      </c>
      <c r="C476" s="1" t="n">
        <v>45957</v>
      </c>
      <c r="D476" t="inlineStr">
        <is>
          <t>KRONOBERGS LÄN</t>
        </is>
      </c>
      <c r="E476" t="inlineStr">
        <is>
          <t>ALVESTA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5627-2021</t>
        </is>
      </c>
      <c r="B477" s="1" t="n">
        <v>44230</v>
      </c>
      <c r="C477" s="1" t="n">
        <v>45957</v>
      </c>
      <c r="D477" t="inlineStr">
        <is>
          <t>KRONOBERGS LÄN</t>
        </is>
      </c>
      <c r="E477" t="inlineStr">
        <is>
          <t>LJUNGBY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5676-2021</t>
        </is>
      </c>
      <c r="B478" s="1" t="n">
        <v>44230.58090277778</v>
      </c>
      <c r="C478" s="1" t="n">
        <v>45957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5690-2021</t>
        </is>
      </c>
      <c r="B479" s="1" t="n">
        <v>44230.58996527778</v>
      </c>
      <c r="C479" s="1" t="n">
        <v>45957</v>
      </c>
      <c r="D479" t="inlineStr">
        <is>
          <t>KRONOBERGS LÄN</t>
        </is>
      </c>
      <c r="E479" t="inlineStr">
        <is>
          <t>VÄXJÖ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27883-2021</t>
        </is>
      </c>
      <c r="B480" s="1" t="n">
        <v>44354</v>
      </c>
      <c r="C480" s="1" t="n">
        <v>45957</v>
      </c>
      <c r="D480" t="inlineStr">
        <is>
          <t>KRONOBERGS LÄN</t>
        </is>
      </c>
      <c r="E480" t="inlineStr">
        <is>
          <t>VÄXJÖ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52604-2021</t>
        </is>
      </c>
      <c r="B481" s="1" t="n">
        <v>44466.59662037037</v>
      </c>
      <c r="C481" s="1" t="n">
        <v>45957</v>
      </c>
      <c r="D481" t="inlineStr">
        <is>
          <t>KRONOBERGS LÄN</t>
        </is>
      </c>
      <c r="E481" t="inlineStr">
        <is>
          <t>VÄXJÖ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37713-2021</t>
        </is>
      </c>
      <c r="B482" s="1" t="n">
        <v>44400</v>
      </c>
      <c r="C482" s="1" t="n">
        <v>45957</v>
      </c>
      <c r="D482" t="inlineStr">
        <is>
          <t>KRONOBERGS LÄN</t>
        </is>
      </c>
      <c r="E482" t="inlineStr">
        <is>
          <t>VÄXJÖ</t>
        </is>
      </c>
      <c r="G482" t="n">
        <v>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33141-2021</t>
        </is>
      </c>
      <c r="B483" s="1" t="n">
        <v>44376</v>
      </c>
      <c r="C483" s="1" t="n">
        <v>45957</v>
      </c>
      <c r="D483" t="inlineStr">
        <is>
          <t>KRONOBERGS LÄN</t>
        </is>
      </c>
      <c r="E483" t="inlineStr">
        <is>
          <t>TINGSRYD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51294-2021</t>
        </is>
      </c>
      <c r="B484" s="1" t="n">
        <v>44461.58863425926</v>
      </c>
      <c r="C484" s="1" t="n">
        <v>45957</v>
      </c>
      <c r="D484" t="inlineStr">
        <is>
          <t>KRONOBERGS LÄN</t>
        </is>
      </c>
      <c r="E484" t="inlineStr">
        <is>
          <t>TINGSRYD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41611-2021</t>
        </is>
      </c>
      <c r="B485" s="1" t="n">
        <v>44425.44082175926</v>
      </c>
      <c r="C485" s="1" t="n">
        <v>45957</v>
      </c>
      <c r="D485" t="inlineStr">
        <is>
          <t>KRONOBERGS LÄN</t>
        </is>
      </c>
      <c r="E485" t="inlineStr">
        <is>
          <t>LESSEBO</t>
        </is>
      </c>
      <c r="F485" t="inlineStr">
        <is>
          <t>Sveaskog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59724-2021</t>
        </is>
      </c>
      <c r="B486" s="1" t="n">
        <v>44494.43064814815</v>
      </c>
      <c r="C486" s="1" t="n">
        <v>45957</v>
      </c>
      <c r="D486" t="inlineStr">
        <is>
          <t>KRONOBERGS LÄN</t>
        </is>
      </c>
      <c r="E486" t="inlineStr">
        <is>
          <t>TINGSRYD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777-2022</t>
        </is>
      </c>
      <c r="B487" s="1" t="n">
        <v>44570.7678125</v>
      </c>
      <c r="C487" s="1" t="n">
        <v>45957</v>
      </c>
      <c r="D487" t="inlineStr">
        <is>
          <t>KRONOBERGS LÄN</t>
        </is>
      </c>
      <c r="E487" t="inlineStr">
        <is>
          <t>TINGSRYD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16290-2021</t>
        </is>
      </c>
      <c r="B488" s="1" t="n">
        <v>44292.65935185185</v>
      </c>
      <c r="C488" s="1" t="n">
        <v>45957</v>
      </c>
      <c r="D488" t="inlineStr">
        <is>
          <t>KRONOBERGS LÄN</t>
        </is>
      </c>
      <c r="E488" t="inlineStr">
        <is>
          <t>VÄXJÖ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1718-2022</t>
        </is>
      </c>
      <c r="B489" s="1" t="n">
        <v>44574.45553240741</v>
      </c>
      <c r="C489" s="1" t="n">
        <v>45957</v>
      </c>
      <c r="D489" t="inlineStr">
        <is>
          <t>KRONOBERGS LÄN</t>
        </is>
      </c>
      <c r="E489" t="inlineStr">
        <is>
          <t>UPPVIDINGE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9089-2022</t>
        </is>
      </c>
      <c r="B490" s="1" t="n">
        <v>44615.49030092593</v>
      </c>
      <c r="C490" s="1" t="n">
        <v>45957</v>
      </c>
      <c r="D490" t="inlineStr">
        <is>
          <t>KRONOBERGS LÄN</t>
        </is>
      </c>
      <c r="E490" t="inlineStr">
        <is>
          <t>ALVESTA</t>
        </is>
      </c>
      <c r="F490" t="inlineStr">
        <is>
          <t>Kommuner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63479-2020</t>
        </is>
      </c>
      <c r="B491" s="1" t="n">
        <v>44165</v>
      </c>
      <c r="C491" s="1" t="n">
        <v>45957</v>
      </c>
      <c r="D491" t="inlineStr">
        <is>
          <t>KRONOBERGS LÄN</t>
        </is>
      </c>
      <c r="E491" t="inlineStr">
        <is>
          <t>UPPVIDINGE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11652-2021</t>
        </is>
      </c>
      <c r="B492" s="1" t="n">
        <v>44264</v>
      </c>
      <c r="C492" s="1" t="n">
        <v>45957</v>
      </c>
      <c r="D492" t="inlineStr">
        <is>
          <t>KRONOBERGS LÄN</t>
        </is>
      </c>
      <c r="E492" t="inlineStr">
        <is>
          <t>VÄXJÖ</t>
        </is>
      </c>
      <c r="F492" t="inlineStr">
        <is>
          <t>Sveaskog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12627-2022</t>
        </is>
      </c>
      <c r="B493" s="1" t="n">
        <v>44641.41877314815</v>
      </c>
      <c r="C493" s="1" t="n">
        <v>45957</v>
      </c>
      <c r="D493" t="inlineStr">
        <is>
          <t>KRONOBERGS LÄN</t>
        </is>
      </c>
      <c r="E493" t="inlineStr">
        <is>
          <t>TINGSRYD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12014-2022</t>
        </is>
      </c>
      <c r="B494" s="1" t="n">
        <v>44635.93181712963</v>
      </c>
      <c r="C494" s="1" t="n">
        <v>45957</v>
      </c>
      <c r="D494" t="inlineStr">
        <is>
          <t>KRONOBERGS LÄN</t>
        </is>
      </c>
      <c r="E494" t="inlineStr">
        <is>
          <t>LJUNGBY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19342-2022</t>
        </is>
      </c>
      <c r="B495" s="1" t="n">
        <v>44692.6459375</v>
      </c>
      <c r="C495" s="1" t="n">
        <v>45957</v>
      </c>
      <c r="D495" t="inlineStr">
        <is>
          <t>KRONOBERGS LÄN</t>
        </is>
      </c>
      <c r="E495" t="inlineStr">
        <is>
          <t>TINGSRYD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49748-2022</t>
        </is>
      </c>
      <c r="B496" s="1" t="n">
        <v>44859</v>
      </c>
      <c r="C496" s="1" t="n">
        <v>45957</v>
      </c>
      <c r="D496" t="inlineStr">
        <is>
          <t>KRONOBERGS LÄN</t>
        </is>
      </c>
      <c r="E496" t="inlineStr">
        <is>
          <t>UPPVIDINGE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52739-2021</t>
        </is>
      </c>
      <c r="B497" s="1" t="n">
        <v>44467.30258101852</v>
      </c>
      <c r="C497" s="1" t="n">
        <v>45957</v>
      </c>
      <c r="D497" t="inlineStr">
        <is>
          <t>KRONOBERGS LÄN</t>
        </is>
      </c>
      <c r="E497" t="inlineStr">
        <is>
          <t>MARKARYD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49921-2022</t>
        </is>
      </c>
      <c r="B498" s="1" t="n">
        <v>44865</v>
      </c>
      <c r="C498" s="1" t="n">
        <v>45957</v>
      </c>
      <c r="D498" t="inlineStr">
        <is>
          <t>KRONOBERGS LÄN</t>
        </is>
      </c>
      <c r="E498" t="inlineStr">
        <is>
          <t>LESSEBO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13027-2021</t>
        </is>
      </c>
      <c r="B499" s="1" t="n">
        <v>44271.83804398148</v>
      </c>
      <c r="C499" s="1" t="n">
        <v>45957</v>
      </c>
      <c r="D499" t="inlineStr">
        <is>
          <t>KRONOBERGS LÄN</t>
        </is>
      </c>
      <c r="E499" t="inlineStr">
        <is>
          <t>MARKARYD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8389-2021</t>
        </is>
      </c>
      <c r="B500" s="1" t="n">
        <v>44245.37445601852</v>
      </c>
      <c r="C500" s="1" t="n">
        <v>45957</v>
      </c>
      <c r="D500" t="inlineStr">
        <is>
          <t>KRONOBERGS LÄN</t>
        </is>
      </c>
      <c r="E500" t="inlineStr">
        <is>
          <t>ÄLMHULT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14384-2021</t>
        </is>
      </c>
      <c r="B501" s="1" t="n">
        <v>44279.38944444444</v>
      </c>
      <c r="C501" s="1" t="n">
        <v>45957</v>
      </c>
      <c r="D501" t="inlineStr">
        <is>
          <t>KRONOBERGS LÄN</t>
        </is>
      </c>
      <c r="E501" t="inlineStr">
        <is>
          <t>ÄLMHULT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24226-2021</t>
        </is>
      </c>
      <c r="B502" s="1" t="n">
        <v>44336</v>
      </c>
      <c r="C502" s="1" t="n">
        <v>45957</v>
      </c>
      <c r="D502" t="inlineStr">
        <is>
          <t>KRONOBERGS LÄN</t>
        </is>
      </c>
      <c r="E502" t="inlineStr">
        <is>
          <t>VÄXJÖ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60870-2021</t>
        </is>
      </c>
      <c r="B503" s="1" t="n">
        <v>44497</v>
      </c>
      <c r="C503" s="1" t="n">
        <v>45957</v>
      </c>
      <c r="D503" t="inlineStr">
        <is>
          <t>KRONOBERGS LÄN</t>
        </is>
      </c>
      <c r="E503" t="inlineStr">
        <is>
          <t>ALVESTA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47856-2021</t>
        </is>
      </c>
      <c r="B504" s="1" t="n">
        <v>44448</v>
      </c>
      <c r="C504" s="1" t="n">
        <v>45957</v>
      </c>
      <c r="D504" t="inlineStr">
        <is>
          <t>KRONOBERGS LÄN</t>
        </is>
      </c>
      <c r="E504" t="inlineStr">
        <is>
          <t>ÄLMHULT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18832-2022</t>
        </is>
      </c>
      <c r="B505" s="1" t="n">
        <v>44690</v>
      </c>
      <c r="C505" s="1" t="n">
        <v>45957</v>
      </c>
      <c r="D505" t="inlineStr">
        <is>
          <t>KRONOBERGS LÄN</t>
        </is>
      </c>
      <c r="E505" t="inlineStr">
        <is>
          <t>TINGSRYD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45754-2021</t>
        </is>
      </c>
      <c r="B506" s="1" t="n">
        <v>44441</v>
      </c>
      <c r="C506" s="1" t="n">
        <v>45957</v>
      </c>
      <c r="D506" t="inlineStr">
        <is>
          <t>KRONOBERGS LÄN</t>
        </is>
      </c>
      <c r="E506" t="inlineStr">
        <is>
          <t>ALVESTA</t>
        </is>
      </c>
      <c r="G506" t="n">
        <v>5.2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21524-2021</t>
        </is>
      </c>
      <c r="B507" s="1" t="n">
        <v>44321</v>
      </c>
      <c r="C507" s="1" t="n">
        <v>45957</v>
      </c>
      <c r="D507" t="inlineStr">
        <is>
          <t>KRONOBERGS LÄN</t>
        </is>
      </c>
      <c r="E507" t="inlineStr">
        <is>
          <t>ÄLMHULT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14209-2021</t>
        </is>
      </c>
      <c r="B508" s="1" t="n">
        <v>44278</v>
      </c>
      <c r="C508" s="1" t="n">
        <v>45957</v>
      </c>
      <c r="D508" t="inlineStr">
        <is>
          <t>KRONOBERGS LÄN</t>
        </is>
      </c>
      <c r="E508" t="inlineStr">
        <is>
          <t>UPPVIDINGE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11884-2021</t>
        </is>
      </c>
      <c r="B509" s="1" t="n">
        <v>44265.69087962963</v>
      </c>
      <c r="C509" s="1" t="n">
        <v>45957</v>
      </c>
      <c r="D509" t="inlineStr">
        <is>
          <t>KRONOBERGS LÄN</t>
        </is>
      </c>
      <c r="E509" t="inlineStr">
        <is>
          <t>UPPVIDINGE</t>
        </is>
      </c>
      <c r="F509" t="inlineStr">
        <is>
          <t>Sveaskog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56121-2021</t>
        </is>
      </c>
      <c r="B510" s="1" t="n">
        <v>44477.59568287037</v>
      </c>
      <c r="C510" s="1" t="n">
        <v>45957</v>
      </c>
      <c r="D510" t="inlineStr">
        <is>
          <t>KRONOBERGS LÄN</t>
        </is>
      </c>
      <c r="E510" t="inlineStr">
        <is>
          <t>ALVESTA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8488-2021</t>
        </is>
      </c>
      <c r="B511" s="1" t="n">
        <v>44245</v>
      </c>
      <c r="C511" s="1" t="n">
        <v>45957</v>
      </c>
      <c r="D511" t="inlineStr">
        <is>
          <t>KRONOBERGS LÄN</t>
        </is>
      </c>
      <c r="E511" t="inlineStr">
        <is>
          <t>ÄLMHULT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8497-2021</t>
        </is>
      </c>
      <c r="B512" s="1" t="n">
        <v>44245</v>
      </c>
      <c r="C512" s="1" t="n">
        <v>45957</v>
      </c>
      <c r="D512" t="inlineStr">
        <is>
          <t>KRONOBERGS LÄN</t>
        </is>
      </c>
      <c r="E512" t="inlineStr">
        <is>
          <t>ÄLMHULT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28867-2022</t>
        </is>
      </c>
      <c r="B513" s="1" t="n">
        <v>44749.51114583333</v>
      </c>
      <c r="C513" s="1" t="n">
        <v>45957</v>
      </c>
      <c r="D513" t="inlineStr">
        <is>
          <t>KRONOBERGS LÄN</t>
        </is>
      </c>
      <c r="E513" t="inlineStr">
        <is>
          <t>ALVESTA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54233-2021</t>
        </is>
      </c>
      <c r="B514" s="1" t="n">
        <v>44470.63061342593</v>
      </c>
      <c r="C514" s="1" t="n">
        <v>45957</v>
      </c>
      <c r="D514" t="inlineStr">
        <is>
          <t>KRONOBERGS LÄN</t>
        </is>
      </c>
      <c r="E514" t="inlineStr">
        <is>
          <t>TINGSRYD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27336-2021</t>
        </is>
      </c>
      <c r="B515" s="1" t="n">
        <v>44351.39648148148</v>
      </c>
      <c r="C515" s="1" t="n">
        <v>45957</v>
      </c>
      <c r="D515" t="inlineStr">
        <is>
          <t>KRONOBERGS LÄN</t>
        </is>
      </c>
      <c r="E515" t="inlineStr">
        <is>
          <t>ALVESTA</t>
        </is>
      </c>
      <c r="G515" t="n">
        <v>13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35383-2021</t>
        </is>
      </c>
      <c r="B516" s="1" t="n">
        <v>44385.32215277778</v>
      </c>
      <c r="C516" s="1" t="n">
        <v>45957</v>
      </c>
      <c r="D516" t="inlineStr">
        <is>
          <t>KRONOBERGS LÄN</t>
        </is>
      </c>
      <c r="E516" t="inlineStr">
        <is>
          <t>ÄLMHULT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16968-2022</t>
        </is>
      </c>
      <c r="B517" s="1" t="n">
        <v>44676.551875</v>
      </c>
      <c r="C517" s="1" t="n">
        <v>45957</v>
      </c>
      <c r="D517" t="inlineStr">
        <is>
          <t>KRONOBERGS LÄN</t>
        </is>
      </c>
      <c r="E517" t="inlineStr">
        <is>
          <t>UPPVIDINGE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62624-2021</t>
        </is>
      </c>
      <c r="B518" s="1" t="n">
        <v>44503.73802083333</v>
      </c>
      <c r="C518" s="1" t="n">
        <v>45957</v>
      </c>
      <c r="D518" t="inlineStr">
        <is>
          <t>KRONOBERGS LÄN</t>
        </is>
      </c>
      <c r="E518" t="inlineStr">
        <is>
          <t>LJUNGBY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23510-2022</t>
        </is>
      </c>
      <c r="B519" s="1" t="n">
        <v>44721</v>
      </c>
      <c r="C519" s="1" t="n">
        <v>45957</v>
      </c>
      <c r="D519" t="inlineStr">
        <is>
          <t>KRONOBERGS LÄN</t>
        </is>
      </c>
      <c r="E519" t="inlineStr">
        <is>
          <t>VÄXJÖ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64233-2021</t>
        </is>
      </c>
      <c r="B520" s="1" t="n">
        <v>44510.63989583333</v>
      </c>
      <c r="C520" s="1" t="n">
        <v>45957</v>
      </c>
      <c r="D520" t="inlineStr">
        <is>
          <t>KRONOBERGS LÄN</t>
        </is>
      </c>
      <c r="E520" t="inlineStr">
        <is>
          <t>LJUNGBY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19096-2022</t>
        </is>
      </c>
      <c r="B521" s="1" t="n">
        <v>44691</v>
      </c>
      <c r="C521" s="1" t="n">
        <v>45957</v>
      </c>
      <c r="D521" t="inlineStr">
        <is>
          <t>KRONOBERGS LÄN</t>
        </is>
      </c>
      <c r="E521" t="inlineStr">
        <is>
          <t>VÄXJÖ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49715-2022</t>
        </is>
      </c>
      <c r="B522" s="1" t="n">
        <v>44859</v>
      </c>
      <c r="C522" s="1" t="n">
        <v>45957</v>
      </c>
      <c r="D522" t="inlineStr">
        <is>
          <t>KRONOBERGS LÄN</t>
        </is>
      </c>
      <c r="E522" t="inlineStr">
        <is>
          <t>UPPVIDINGE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49744-2022</t>
        </is>
      </c>
      <c r="B523" s="1" t="n">
        <v>44859</v>
      </c>
      <c r="C523" s="1" t="n">
        <v>45957</v>
      </c>
      <c r="D523" t="inlineStr">
        <is>
          <t>KRONOBERGS LÄN</t>
        </is>
      </c>
      <c r="E523" t="inlineStr">
        <is>
          <t>UPPVIDINGE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8366-2022</t>
        </is>
      </c>
      <c r="B524" s="1" t="n">
        <v>44610.61052083333</v>
      </c>
      <c r="C524" s="1" t="n">
        <v>45957</v>
      </c>
      <c r="D524" t="inlineStr">
        <is>
          <t>KRONOBERGS LÄN</t>
        </is>
      </c>
      <c r="E524" t="inlineStr">
        <is>
          <t>TINGSRYD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49963-2022</t>
        </is>
      </c>
      <c r="B525" s="1" t="n">
        <v>44865</v>
      </c>
      <c r="C525" s="1" t="n">
        <v>45957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5472-2022</t>
        </is>
      </c>
      <c r="B526" s="1" t="n">
        <v>44595.47152777778</v>
      </c>
      <c r="C526" s="1" t="n">
        <v>45957</v>
      </c>
      <c r="D526" t="inlineStr">
        <is>
          <t>KRONOBERGS LÄN</t>
        </is>
      </c>
      <c r="E526" t="inlineStr">
        <is>
          <t>MARKARYD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62403-2021</t>
        </is>
      </c>
      <c r="B527" s="1" t="n">
        <v>44503.48087962963</v>
      </c>
      <c r="C527" s="1" t="n">
        <v>45957</v>
      </c>
      <c r="D527" t="inlineStr">
        <is>
          <t>KRONOBERGS LÄN</t>
        </is>
      </c>
      <c r="E527" t="inlineStr">
        <is>
          <t>ÄLMHULT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26505-2022</t>
        </is>
      </c>
      <c r="B528" s="1" t="n">
        <v>44739.4056712963</v>
      </c>
      <c r="C528" s="1" t="n">
        <v>45957</v>
      </c>
      <c r="D528" t="inlineStr">
        <is>
          <t>KRONOBERGS LÄN</t>
        </is>
      </c>
      <c r="E528" t="inlineStr">
        <is>
          <t>VÄXJÖ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3602-2022</t>
        </is>
      </c>
      <c r="B529" s="1" t="n">
        <v>44586.37515046296</v>
      </c>
      <c r="C529" s="1" t="n">
        <v>45957</v>
      </c>
      <c r="D529" t="inlineStr">
        <is>
          <t>KRONOBERGS LÄN</t>
        </is>
      </c>
      <c r="E529" t="inlineStr">
        <is>
          <t>ALVESTA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14893-2021</t>
        </is>
      </c>
      <c r="B530" s="1" t="n">
        <v>44281.336875</v>
      </c>
      <c r="C530" s="1" t="n">
        <v>45957</v>
      </c>
      <c r="D530" t="inlineStr">
        <is>
          <t>KRONOBERGS LÄN</t>
        </is>
      </c>
      <c r="E530" t="inlineStr">
        <is>
          <t>LESSEBO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28767-2022</t>
        </is>
      </c>
      <c r="B531" s="1" t="n">
        <v>44749</v>
      </c>
      <c r="C531" s="1" t="n">
        <v>45957</v>
      </c>
      <c r="D531" t="inlineStr">
        <is>
          <t>KRONOBERGS LÄN</t>
        </is>
      </c>
      <c r="E531" t="inlineStr">
        <is>
          <t>UPPVIDINGE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18822-2021</t>
        </is>
      </c>
      <c r="B532" s="1" t="n">
        <v>44307</v>
      </c>
      <c r="C532" s="1" t="n">
        <v>45957</v>
      </c>
      <c r="D532" t="inlineStr">
        <is>
          <t>KRONOBERGS LÄN</t>
        </is>
      </c>
      <c r="E532" t="inlineStr">
        <is>
          <t>ALVESTA</t>
        </is>
      </c>
      <c r="G532" t="n">
        <v>0.2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33385-2022</t>
        </is>
      </c>
      <c r="B533" s="1" t="n">
        <v>44785</v>
      </c>
      <c r="C533" s="1" t="n">
        <v>45957</v>
      </c>
      <c r="D533" t="inlineStr">
        <is>
          <t>KRONOBERGS LÄN</t>
        </is>
      </c>
      <c r="E533" t="inlineStr">
        <is>
          <t>ÄLMHULT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1709-2022</t>
        </is>
      </c>
      <c r="B534" s="1" t="n">
        <v>44574.43967592593</v>
      </c>
      <c r="C534" s="1" t="n">
        <v>45957</v>
      </c>
      <c r="D534" t="inlineStr">
        <is>
          <t>KRONOBERGS LÄN</t>
        </is>
      </c>
      <c r="E534" t="inlineStr">
        <is>
          <t>UPPVIDINGE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35808-2021</t>
        </is>
      </c>
      <c r="B535" s="1" t="n">
        <v>44386.6371412037</v>
      </c>
      <c r="C535" s="1" t="n">
        <v>45957</v>
      </c>
      <c r="D535" t="inlineStr">
        <is>
          <t>KRONOBERGS LÄN</t>
        </is>
      </c>
      <c r="E535" t="inlineStr">
        <is>
          <t>LJUNGBY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27606-2022</t>
        </is>
      </c>
      <c r="B536" s="1" t="n">
        <v>44742.95375</v>
      </c>
      <c r="C536" s="1" t="n">
        <v>45957</v>
      </c>
      <c r="D536" t="inlineStr">
        <is>
          <t>KRONOBERGS LÄN</t>
        </is>
      </c>
      <c r="E536" t="inlineStr">
        <is>
          <t>LJUNGBY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3956-2022</t>
        </is>
      </c>
      <c r="B537" s="1" t="n">
        <v>44587.59076388889</v>
      </c>
      <c r="C537" s="1" t="n">
        <v>45957</v>
      </c>
      <c r="D537" t="inlineStr">
        <is>
          <t>KRONOBERGS LÄN</t>
        </is>
      </c>
      <c r="E537" t="inlineStr">
        <is>
          <t>LJUNGBY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4547-2022</t>
        </is>
      </c>
      <c r="B538" s="1" t="n">
        <v>44590</v>
      </c>
      <c r="C538" s="1" t="n">
        <v>45957</v>
      </c>
      <c r="D538" t="inlineStr">
        <is>
          <t>KRONOBERGS LÄN</t>
        </is>
      </c>
      <c r="E538" t="inlineStr">
        <is>
          <t>VÄXJÖ</t>
        </is>
      </c>
      <c r="F538" t="inlineStr">
        <is>
          <t>Kommuner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34126-2022</t>
        </is>
      </c>
      <c r="B539" s="1" t="n">
        <v>44791.5112962963</v>
      </c>
      <c r="C539" s="1" t="n">
        <v>45957</v>
      </c>
      <c r="D539" t="inlineStr">
        <is>
          <t>KRONOBERGS LÄN</t>
        </is>
      </c>
      <c r="E539" t="inlineStr">
        <is>
          <t>TINGSRYD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4801-2022</t>
        </is>
      </c>
      <c r="B540" s="1" t="n">
        <v>44592.65864583333</v>
      </c>
      <c r="C540" s="1" t="n">
        <v>45957</v>
      </c>
      <c r="D540" t="inlineStr">
        <is>
          <t>KRONOBERGS LÄN</t>
        </is>
      </c>
      <c r="E540" t="inlineStr">
        <is>
          <t>LJUNGBY</t>
        </is>
      </c>
      <c r="F540" t="inlineStr">
        <is>
          <t>Kommuner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20664-2022</t>
        </is>
      </c>
      <c r="B541" s="1" t="n">
        <v>44700.65099537037</v>
      </c>
      <c r="C541" s="1" t="n">
        <v>45957</v>
      </c>
      <c r="D541" t="inlineStr">
        <is>
          <t>KRONOBERGS LÄN</t>
        </is>
      </c>
      <c r="E541" t="inlineStr">
        <is>
          <t>MARKARYD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13138-2022</t>
        </is>
      </c>
      <c r="B542" s="1" t="n">
        <v>44644</v>
      </c>
      <c r="C542" s="1" t="n">
        <v>45957</v>
      </c>
      <c r="D542" t="inlineStr">
        <is>
          <t>KRONOBERGS LÄN</t>
        </is>
      </c>
      <c r="E542" t="inlineStr">
        <is>
          <t>TINGSRYD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40019-2022</t>
        </is>
      </c>
      <c r="B543" s="1" t="n">
        <v>44820.40541666667</v>
      </c>
      <c r="C543" s="1" t="n">
        <v>45957</v>
      </c>
      <c r="D543" t="inlineStr">
        <is>
          <t>KRONOBERGS LÄN</t>
        </is>
      </c>
      <c r="E543" t="inlineStr">
        <is>
          <t>VÄXJÖ</t>
        </is>
      </c>
      <c r="F543" t="inlineStr">
        <is>
          <t>Sveaskog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16069-2022</t>
        </is>
      </c>
      <c r="B544" s="1" t="n">
        <v>44665</v>
      </c>
      <c r="C544" s="1" t="n">
        <v>45957</v>
      </c>
      <c r="D544" t="inlineStr">
        <is>
          <t>KRONOBERGS LÄN</t>
        </is>
      </c>
      <c r="E544" t="inlineStr">
        <is>
          <t>ÄLMHULT</t>
        </is>
      </c>
      <c r="F544" t="inlineStr">
        <is>
          <t>Sveaskog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31826-2021</t>
        </is>
      </c>
      <c r="B545" s="1" t="n">
        <v>44370.39163194445</v>
      </c>
      <c r="C545" s="1" t="n">
        <v>45957</v>
      </c>
      <c r="D545" t="inlineStr">
        <is>
          <t>KRONOBERGS LÄN</t>
        </is>
      </c>
      <c r="E545" t="inlineStr">
        <is>
          <t>LJUNGBY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13952-2022</t>
        </is>
      </c>
      <c r="B546" s="1" t="n">
        <v>44650.495</v>
      </c>
      <c r="C546" s="1" t="n">
        <v>45957</v>
      </c>
      <c r="D546" t="inlineStr">
        <is>
          <t>KRONOBERGS LÄN</t>
        </is>
      </c>
      <c r="E546" t="inlineStr">
        <is>
          <t>LJUNGBY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6929-2022</t>
        </is>
      </c>
      <c r="B547" s="1" t="n">
        <v>44602</v>
      </c>
      <c r="C547" s="1" t="n">
        <v>45957</v>
      </c>
      <c r="D547" t="inlineStr">
        <is>
          <t>KRONOBERGS LÄN</t>
        </is>
      </c>
      <c r="E547" t="inlineStr">
        <is>
          <t>UPPVIDINGE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6952-2022</t>
        </is>
      </c>
      <c r="B548" s="1" t="n">
        <v>44603.34966435185</v>
      </c>
      <c r="C548" s="1" t="n">
        <v>45957</v>
      </c>
      <c r="D548" t="inlineStr">
        <is>
          <t>KRONOBERGS LÄN</t>
        </is>
      </c>
      <c r="E548" t="inlineStr">
        <is>
          <t>TINGSRYD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2666-2022</t>
        </is>
      </c>
      <c r="B549" s="1" t="n">
        <v>44580</v>
      </c>
      <c r="C549" s="1" t="n">
        <v>45957</v>
      </c>
      <c r="D549" t="inlineStr">
        <is>
          <t>KRONOBERGS LÄN</t>
        </is>
      </c>
      <c r="E549" t="inlineStr">
        <is>
          <t>UPPVIDINGE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10420-2022</t>
        </is>
      </c>
      <c r="B550" s="1" t="n">
        <v>44623.46204861111</v>
      </c>
      <c r="C550" s="1" t="n">
        <v>45957</v>
      </c>
      <c r="D550" t="inlineStr">
        <is>
          <t>KRONOBERGS LÄN</t>
        </is>
      </c>
      <c r="E550" t="inlineStr">
        <is>
          <t>LJUNGBY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22722-2022</t>
        </is>
      </c>
      <c r="B551" s="1" t="n">
        <v>44714</v>
      </c>
      <c r="C551" s="1" t="n">
        <v>45957</v>
      </c>
      <c r="D551" t="inlineStr">
        <is>
          <t>KRONOBERGS LÄN</t>
        </is>
      </c>
      <c r="E551" t="inlineStr">
        <is>
          <t>LJUNGBY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38692-2022</t>
        </is>
      </c>
      <c r="B552" s="1" t="n">
        <v>44814.31871527778</v>
      </c>
      <c r="C552" s="1" t="n">
        <v>45957</v>
      </c>
      <c r="D552" t="inlineStr">
        <is>
          <t>KRONOBERGS LÄN</t>
        </is>
      </c>
      <c r="E552" t="inlineStr">
        <is>
          <t>VÄXJÖ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6807-2022</t>
        </is>
      </c>
      <c r="B553" s="1" t="n">
        <v>44602.57726851852</v>
      </c>
      <c r="C553" s="1" t="n">
        <v>45957</v>
      </c>
      <c r="D553" t="inlineStr">
        <is>
          <t>KRONOBERGS LÄN</t>
        </is>
      </c>
      <c r="E553" t="inlineStr">
        <is>
          <t>UPPVIDINGE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10762-2022</t>
        </is>
      </c>
      <c r="B554" s="1" t="n">
        <v>44627</v>
      </c>
      <c r="C554" s="1" t="n">
        <v>45957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3168-2021</t>
        </is>
      </c>
      <c r="B555" s="1" t="n">
        <v>44217</v>
      </c>
      <c r="C555" s="1" t="n">
        <v>45957</v>
      </c>
      <c r="D555" t="inlineStr">
        <is>
          <t>KRONOBERGS LÄN</t>
        </is>
      </c>
      <c r="E555" t="inlineStr">
        <is>
          <t>UPPVIDINGE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65875-2020</t>
        </is>
      </c>
      <c r="B556" s="1" t="n">
        <v>44174</v>
      </c>
      <c r="C556" s="1" t="n">
        <v>45957</v>
      </c>
      <c r="D556" t="inlineStr">
        <is>
          <t>KRONOBERGS LÄN</t>
        </is>
      </c>
      <c r="E556" t="inlineStr">
        <is>
          <t>ALVESTA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21042-2022</t>
        </is>
      </c>
      <c r="B557" s="1" t="n">
        <v>44704</v>
      </c>
      <c r="C557" s="1" t="n">
        <v>45957</v>
      </c>
      <c r="D557" t="inlineStr">
        <is>
          <t>KRONOBERGS LÄN</t>
        </is>
      </c>
      <c r="E557" t="inlineStr">
        <is>
          <t>VÄXJÖ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51899-2021</t>
        </is>
      </c>
      <c r="B558" s="1" t="n">
        <v>44462.89869212963</v>
      </c>
      <c r="C558" s="1" t="n">
        <v>45957</v>
      </c>
      <c r="D558" t="inlineStr">
        <is>
          <t>KRONOBERGS LÄN</t>
        </is>
      </c>
      <c r="E558" t="inlineStr">
        <is>
          <t>ÄLMHULT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45962-2022</t>
        </is>
      </c>
      <c r="B559" s="1" t="n">
        <v>44846.67137731481</v>
      </c>
      <c r="C559" s="1" t="n">
        <v>45957</v>
      </c>
      <c r="D559" t="inlineStr">
        <is>
          <t>KRONOBERGS LÄN</t>
        </is>
      </c>
      <c r="E559" t="inlineStr">
        <is>
          <t>ÄLMHULT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45963-2022</t>
        </is>
      </c>
      <c r="B560" s="1" t="n">
        <v>44846.67265046296</v>
      </c>
      <c r="C560" s="1" t="n">
        <v>45957</v>
      </c>
      <c r="D560" t="inlineStr">
        <is>
          <t>KRONOBERGS LÄN</t>
        </is>
      </c>
      <c r="E560" t="inlineStr">
        <is>
          <t>LESSEBO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42968-2021</t>
        </is>
      </c>
      <c r="B561" s="1" t="n">
        <v>44431</v>
      </c>
      <c r="C561" s="1" t="n">
        <v>45957</v>
      </c>
      <c r="D561" t="inlineStr">
        <is>
          <t>KRONOBERGS LÄN</t>
        </is>
      </c>
      <c r="E561" t="inlineStr">
        <is>
          <t>MARKARYD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474-2021</t>
        </is>
      </c>
      <c r="B562" s="1" t="n">
        <v>44201</v>
      </c>
      <c r="C562" s="1" t="n">
        <v>45957</v>
      </c>
      <c r="D562" t="inlineStr">
        <is>
          <t>KRONOBERGS LÄN</t>
        </is>
      </c>
      <c r="E562" t="inlineStr">
        <is>
          <t>UPPVIDINGE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44732-2021</t>
        </is>
      </c>
      <c r="B563" s="1" t="n">
        <v>44438</v>
      </c>
      <c r="C563" s="1" t="n">
        <v>45957</v>
      </c>
      <c r="D563" t="inlineStr">
        <is>
          <t>KRONOBERGS LÄN</t>
        </is>
      </c>
      <c r="E563" t="inlineStr">
        <is>
          <t>TINGSRYD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486-2021</t>
        </is>
      </c>
      <c r="B564" s="1" t="n">
        <v>44201</v>
      </c>
      <c r="C564" s="1" t="n">
        <v>45957</v>
      </c>
      <c r="D564" t="inlineStr">
        <is>
          <t>KRONOBERGS LÄN</t>
        </is>
      </c>
      <c r="E564" t="inlineStr">
        <is>
          <t>UPPVIDINGE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38608-2021</t>
        </is>
      </c>
      <c r="B565" s="1" t="n">
        <v>44409</v>
      </c>
      <c r="C565" s="1" t="n">
        <v>45957</v>
      </c>
      <c r="D565" t="inlineStr">
        <is>
          <t>KRONOBERGS LÄN</t>
        </is>
      </c>
      <c r="E565" t="inlineStr">
        <is>
          <t>MARKARYD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46309-2022</t>
        </is>
      </c>
      <c r="B566" s="1" t="n">
        <v>44847</v>
      </c>
      <c r="C566" s="1" t="n">
        <v>45957</v>
      </c>
      <c r="D566" t="inlineStr">
        <is>
          <t>KRONOBERGS LÄN</t>
        </is>
      </c>
      <c r="E566" t="inlineStr">
        <is>
          <t>LJUNGBY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46311-2022</t>
        </is>
      </c>
      <c r="B567" s="1" t="n">
        <v>44847</v>
      </c>
      <c r="C567" s="1" t="n">
        <v>45957</v>
      </c>
      <c r="D567" t="inlineStr">
        <is>
          <t>KRONOBERGS LÄN</t>
        </is>
      </c>
      <c r="E567" t="inlineStr">
        <is>
          <t>LJUNGBY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1099-2021</t>
        </is>
      </c>
      <c r="B568" s="1" t="n">
        <v>44207</v>
      </c>
      <c r="C568" s="1" t="n">
        <v>45957</v>
      </c>
      <c r="D568" t="inlineStr">
        <is>
          <t>KRONOBERGS LÄN</t>
        </is>
      </c>
      <c r="E568" t="inlineStr">
        <is>
          <t>VÄXJÖ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68185-2020</t>
        </is>
      </c>
      <c r="B569" s="1" t="n">
        <v>44183</v>
      </c>
      <c r="C569" s="1" t="n">
        <v>45957</v>
      </c>
      <c r="D569" t="inlineStr">
        <is>
          <t>KRONOBERGS LÄN</t>
        </is>
      </c>
      <c r="E569" t="inlineStr">
        <is>
          <t>TINGSRYD</t>
        </is>
      </c>
      <c r="G569" t="n">
        <v>7.3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36468-2022</t>
        </is>
      </c>
      <c r="B570" s="1" t="n">
        <v>44804.43328703703</v>
      </c>
      <c r="C570" s="1" t="n">
        <v>45957</v>
      </c>
      <c r="D570" t="inlineStr">
        <is>
          <t>KRONOBERGS LÄN</t>
        </is>
      </c>
      <c r="E570" t="inlineStr">
        <is>
          <t>TINGSRYD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8730-2021</t>
        </is>
      </c>
      <c r="B571" s="1" t="n">
        <v>44246</v>
      </c>
      <c r="C571" s="1" t="n">
        <v>45957</v>
      </c>
      <c r="D571" t="inlineStr">
        <is>
          <t>KRONOBERGS LÄN</t>
        </is>
      </c>
      <c r="E571" t="inlineStr">
        <is>
          <t>VÄXJÖ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67201-2020</t>
        </is>
      </c>
      <c r="B572" s="1" t="n">
        <v>44180</v>
      </c>
      <c r="C572" s="1" t="n">
        <v>45957</v>
      </c>
      <c r="D572" t="inlineStr">
        <is>
          <t>KRONOBERGS LÄN</t>
        </is>
      </c>
      <c r="E572" t="inlineStr">
        <is>
          <t>LESSEBO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67051-2020</t>
        </is>
      </c>
      <c r="B573" s="1" t="n">
        <v>44180</v>
      </c>
      <c r="C573" s="1" t="n">
        <v>45957</v>
      </c>
      <c r="D573" t="inlineStr">
        <is>
          <t>KRONOBERGS LÄN</t>
        </is>
      </c>
      <c r="E573" t="inlineStr">
        <is>
          <t>TINGSRYD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65798-2020</t>
        </is>
      </c>
      <c r="B574" s="1" t="n">
        <v>44174.58591435185</v>
      </c>
      <c r="C574" s="1" t="n">
        <v>45957</v>
      </c>
      <c r="D574" t="inlineStr">
        <is>
          <t>KRONOBERGS LÄN</t>
        </is>
      </c>
      <c r="E574" t="inlineStr">
        <is>
          <t>ALVESTA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67228-2020</t>
        </is>
      </c>
      <c r="B575" s="1" t="n">
        <v>44180</v>
      </c>
      <c r="C575" s="1" t="n">
        <v>45957</v>
      </c>
      <c r="D575" t="inlineStr">
        <is>
          <t>KRONOBERGS LÄN</t>
        </is>
      </c>
      <c r="E575" t="inlineStr">
        <is>
          <t>VÄXJÖ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49706-2022</t>
        </is>
      </c>
      <c r="B576" s="1" t="n">
        <v>44859</v>
      </c>
      <c r="C576" s="1" t="n">
        <v>45957</v>
      </c>
      <c r="D576" t="inlineStr">
        <is>
          <t>KRONOBERGS LÄN</t>
        </is>
      </c>
      <c r="E576" t="inlineStr">
        <is>
          <t>UPPVIDINGE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46254-2021</t>
        </is>
      </c>
      <c r="B577" s="1" t="n">
        <v>44442</v>
      </c>
      <c r="C577" s="1" t="n">
        <v>45957</v>
      </c>
      <c r="D577" t="inlineStr">
        <is>
          <t>KRONOBERGS LÄN</t>
        </is>
      </c>
      <c r="E577" t="inlineStr">
        <is>
          <t>VÄXJÖ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69400-2020</t>
        </is>
      </c>
      <c r="B578" s="1" t="n">
        <v>44193</v>
      </c>
      <c r="C578" s="1" t="n">
        <v>45957</v>
      </c>
      <c r="D578" t="inlineStr">
        <is>
          <t>KRONOBERGS LÄN</t>
        </is>
      </c>
      <c r="E578" t="inlineStr">
        <is>
          <t>VÄXJÖ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29182-2021</t>
        </is>
      </c>
      <c r="B579" s="1" t="n">
        <v>44358</v>
      </c>
      <c r="C579" s="1" t="n">
        <v>45957</v>
      </c>
      <c r="D579" t="inlineStr">
        <is>
          <t>KRONOBERGS LÄN</t>
        </is>
      </c>
      <c r="E579" t="inlineStr">
        <is>
          <t>VÄXJÖ</t>
        </is>
      </c>
      <c r="F579" t="inlineStr">
        <is>
          <t>Kyrkan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2255-2021</t>
        </is>
      </c>
      <c r="B580" s="1" t="n">
        <v>44211.7063425926</v>
      </c>
      <c r="C580" s="1" t="n">
        <v>45957</v>
      </c>
      <c r="D580" t="inlineStr">
        <is>
          <t>KRONOBERGS LÄN</t>
        </is>
      </c>
      <c r="E580" t="inlineStr">
        <is>
          <t>VÄXJÖ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19108-2021</t>
        </is>
      </c>
      <c r="B581" s="1" t="n">
        <v>44308</v>
      </c>
      <c r="C581" s="1" t="n">
        <v>45957</v>
      </c>
      <c r="D581" t="inlineStr">
        <is>
          <t>KRONOBERGS LÄN</t>
        </is>
      </c>
      <c r="E581" t="inlineStr">
        <is>
          <t>UPPVIDINGE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9991-2021</t>
        </is>
      </c>
      <c r="B582" s="1" t="n">
        <v>44254.82885416667</v>
      </c>
      <c r="C582" s="1" t="n">
        <v>45957</v>
      </c>
      <c r="D582" t="inlineStr">
        <is>
          <t>KRONOBERGS LÄN</t>
        </is>
      </c>
      <c r="E582" t="inlineStr">
        <is>
          <t>VÄXJÖ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10468-2021</t>
        </is>
      </c>
      <c r="B583" s="1" t="n">
        <v>44257.83641203704</v>
      </c>
      <c r="C583" s="1" t="n">
        <v>45957</v>
      </c>
      <c r="D583" t="inlineStr">
        <is>
          <t>KRONOBERGS LÄN</t>
        </is>
      </c>
      <c r="E583" t="inlineStr">
        <is>
          <t>LJUNGBY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8514-2021</t>
        </is>
      </c>
      <c r="B584" s="1" t="n">
        <v>44245</v>
      </c>
      <c r="C584" s="1" t="n">
        <v>45957</v>
      </c>
      <c r="D584" t="inlineStr">
        <is>
          <t>KRONOBERGS LÄN</t>
        </is>
      </c>
      <c r="E584" t="inlineStr">
        <is>
          <t>ÄLMHULT</t>
        </is>
      </c>
      <c r="G584" t="n">
        <v>17.3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16224-2021</t>
        </is>
      </c>
      <c r="B585" s="1" t="n">
        <v>44292</v>
      </c>
      <c r="C585" s="1" t="n">
        <v>45957</v>
      </c>
      <c r="D585" t="inlineStr">
        <is>
          <t>KRONOBERGS LÄN</t>
        </is>
      </c>
      <c r="E585" t="inlineStr">
        <is>
          <t>LJUNGBY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4980-2021</t>
        </is>
      </c>
      <c r="B586" s="1" t="n">
        <v>44228</v>
      </c>
      <c r="C586" s="1" t="n">
        <v>45957</v>
      </c>
      <c r="D586" t="inlineStr">
        <is>
          <t>KRONOBERGS LÄN</t>
        </is>
      </c>
      <c r="E586" t="inlineStr">
        <is>
          <t>VÄXJÖ</t>
        </is>
      </c>
      <c r="F586" t="inlineStr">
        <is>
          <t>Sveaskog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53165-2021</t>
        </is>
      </c>
      <c r="B587" s="1" t="n">
        <v>44467</v>
      </c>
      <c r="C587" s="1" t="n">
        <v>45957</v>
      </c>
      <c r="D587" t="inlineStr">
        <is>
          <t>KRONOBERGS LÄN</t>
        </is>
      </c>
      <c r="E587" t="inlineStr">
        <is>
          <t>TINGSRYD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65213-2020</t>
        </is>
      </c>
      <c r="B588" s="1" t="n">
        <v>44172</v>
      </c>
      <c r="C588" s="1" t="n">
        <v>45957</v>
      </c>
      <c r="D588" t="inlineStr">
        <is>
          <t>KRONOBERGS LÄN</t>
        </is>
      </c>
      <c r="E588" t="inlineStr">
        <is>
          <t>ALVESTA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31099-2022</t>
        </is>
      </c>
      <c r="B589" s="1" t="n">
        <v>44769.63366898148</v>
      </c>
      <c r="C589" s="1" t="n">
        <v>45957</v>
      </c>
      <c r="D589" t="inlineStr">
        <is>
          <t>KRONOBERGS LÄN</t>
        </is>
      </c>
      <c r="E589" t="inlineStr">
        <is>
          <t>VÄXJÖ</t>
        </is>
      </c>
      <c r="F589" t="inlineStr">
        <is>
          <t>Sveaskog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3083-2021</t>
        </is>
      </c>
      <c r="B590" s="1" t="n">
        <v>44216</v>
      </c>
      <c r="C590" s="1" t="n">
        <v>45957</v>
      </c>
      <c r="D590" t="inlineStr">
        <is>
          <t>KRONOBERGS LÄN</t>
        </is>
      </c>
      <c r="E590" t="inlineStr">
        <is>
          <t>ALVESTA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48698-2021</t>
        </is>
      </c>
      <c r="B591" s="1" t="n">
        <v>44452.57803240741</v>
      </c>
      <c r="C591" s="1" t="n">
        <v>45957</v>
      </c>
      <c r="D591" t="inlineStr">
        <is>
          <t>KRONOBERGS LÄN</t>
        </is>
      </c>
      <c r="E591" t="inlineStr">
        <is>
          <t>TINGSRYD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53309-2021</t>
        </is>
      </c>
      <c r="B592" s="1" t="n">
        <v>44468</v>
      </c>
      <c r="C592" s="1" t="n">
        <v>45957</v>
      </c>
      <c r="D592" t="inlineStr">
        <is>
          <t>KRONOBERGS LÄN</t>
        </is>
      </c>
      <c r="E592" t="inlineStr">
        <is>
          <t>LJUNGBY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28988-2022</t>
        </is>
      </c>
      <c r="B593" s="1" t="n">
        <v>44749</v>
      </c>
      <c r="C593" s="1" t="n">
        <v>45957</v>
      </c>
      <c r="D593" t="inlineStr">
        <is>
          <t>KRONOBERGS LÄN</t>
        </is>
      </c>
      <c r="E593" t="inlineStr">
        <is>
          <t>LJUNGBY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7287-2021</t>
        </is>
      </c>
      <c r="B594" s="1" t="n">
        <v>44238</v>
      </c>
      <c r="C594" s="1" t="n">
        <v>45957</v>
      </c>
      <c r="D594" t="inlineStr">
        <is>
          <t>KRONOBERGS LÄN</t>
        </is>
      </c>
      <c r="E594" t="inlineStr">
        <is>
          <t>TINGSRYD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42865-2021</t>
        </is>
      </c>
      <c r="B595" s="1" t="n">
        <v>44430.93283564815</v>
      </c>
      <c r="C595" s="1" t="n">
        <v>45957</v>
      </c>
      <c r="D595" t="inlineStr">
        <is>
          <t>KRONOBERGS LÄN</t>
        </is>
      </c>
      <c r="E595" t="inlineStr">
        <is>
          <t>UPPVIDINGE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7150-2021</t>
        </is>
      </c>
      <c r="B596" s="1" t="n">
        <v>44238</v>
      </c>
      <c r="C596" s="1" t="n">
        <v>45957</v>
      </c>
      <c r="D596" t="inlineStr">
        <is>
          <t>KRONOBERGS LÄN</t>
        </is>
      </c>
      <c r="E596" t="inlineStr">
        <is>
          <t>TINGSRYD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51009-2021</t>
        </is>
      </c>
      <c r="B597" s="1" t="n">
        <v>44460</v>
      </c>
      <c r="C597" s="1" t="n">
        <v>45957</v>
      </c>
      <c r="D597" t="inlineStr">
        <is>
          <t>KRONOBERGS LÄN</t>
        </is>
      </c>
      <c r="E597" t="inlineStr">
        <is>
          <t>LJUNGBY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10516-2021</t>
        </is>
      </c>
      <c r="B598" s="1" t="n">
        <v>44258</v>
      </c>
      <c r="C598" s="1" t="n">
        <v>45957</v>
      </c>
      <c r="D598" t="inlineStr">
        <is>
          <t>KRONOBERGS LÄN</t>
        </is>
      </c>
      <c r="E598" t="inlineStr">
        <is>
          <t>LJUNGBY</t>
        </is>
      </c>
      <c r="G598" t="n">
        <v>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46518-2021</t>
        </is>
      </c>
      <c r="B599" s="1" t="n">
        <v>44445.44356481481</v>
      </c>
      <c r="C599" s="1" t="n">
        <v>45957</v>
      </c>
      <c r="D599" t="inlineStr">
        <is>
          <t>KRONOBERGS LÄN</t>
        </is>
      </c>
      <c r="E599" t="inlineStr">
        <is>
          <t>ALVESTA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16280-2021</t>
        </is>
      </c>
      <c r="B600" s="1" t="n">
        <v>44292</v>
      </c>
      <c r="C600" s="1" t="n">
        <v>45957</v>
      </c>
      <c r="D600" t="inlineStr">
        <is>
          <t>KRONOBERGS LÄN</t>
        </is>
      </c>
      <c r="E600" t="inlineStr">
        <is>
          <t>TINGSRYD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45753-2021</t>
        </is>
      </c>
      <c r="B601" s="1" t="n">
        <v>44441</v>
      </c>
      <c r="C601" s="1" t="n">
        <v>45957</v>
      </c>
      <c r="D601" t="inlineStr">
        <is>
          <t>KRONOBERGS LÄN</t>
        </is>
      </c>
      <c r="E601" t="inlineStr">
        <is>
          <t>LJUNGBY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45763-2021</t>
        </is>
      </c>
      <c r="B602" s="1" t="n">
        <v>44441</v>
      </c>
      <c r="C602" s="1" t="n">
        <v>45957</v>
      </c>
      <c r="D602" t="inlineStr">
        <is>
          <t>KRONOBERGS LÄN</t>
        </is>
      </c>
      <c r="E602" t="inlineStr">
        <is>
          <t>LJUNGBY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50989-2021</t>
        </is>
      </c>
      <c r="B603" s="1" t="n">
        <v>44460.73518518519</v>
      </c>
      <c r="C603" s="1" t="n">
        <v>45957</v>
      </c>
      <c r="D603" t="inlineStr">
        <is>
          <t>KRONOBERGS LÄN</t>
        </is>
      </c>
      <c r="E603" t="inlineStr">
        <is>
          <t>ÄLMHULT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51004-2021</t>
        </is>
      </c>
      <c r="B604" s="1" t="n">
        <v>44460</v>
      </c>
      <c r="C604" s="1" t="n">
        <v>45957</v>
      </c>
      <c r="D604" t="inlineStr">
        <is>
          <t>KRONOBERGS LÄN</t>
        </is>
      </c>
      <c r="E604" t="inlineStr">
        <is>
          <t>LJUNGBY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34669-2022</t>
        </is>
      </c>
      <c r="B605" s="1" t="n">
        <v>44795.48144675926</v>
      </c>
      <c r="C605" s="1" t="n">
        <v>45957</v>
      </c>
      <c r="D605" t="inlineStr">
        <is>
          <t>KRONOBERGS LÄN</t>
        </is>
      </c>
      <c r="E605" t="inlineStr">
        <is>
          <t>UPPVIDINGE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2096-2022</t>
        </is>
      </c>
      <c r="B606" s="1" t="n">
        <v>44577.67608796297</v>
      </c>
      <c r="C606" s="1" t="n">
        <v>45957</v>
      </c>
      <c r="D606" t="inlineStr">
        <is>
          <t>KRONOBERGS LÄN</t>
        </is>
      </c>
      <c r="E606" t="inlineStr">
        <is>
          <t>VÄXJÖ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38053-2021</t>
        </is>
      </c>
      <c r="B607" s="1" t="n">
        <v>44404</v>
      </c>
      <c r="C607" s="1" t="n">
        <v>45957</v>
      </c>
      <c r="D607" t="inlineStr">
        <is>
          <t>KRONOBERGS LÄN</t>
        </is>
      </c>
      <c r="E607" t="inlineStr">
        <is>
          <t>LJUNGBY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10842-2021</t>
        </is>
      </c>
      <c r="B608" s="1" t="n">
        <v>44259</v>
      </c>
      <c r="C608" s="1" t="n">
        <v>45957</v>
      </c>
      <c r="D608" t="inlineStr">
        <is>
          <t>KRONOBERGS LÄN</t>
        </is>
      </c>
      <c r="E608" t="inlineStr">
        <is>
          <t>LJUNGBY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10847-2021</t>
        </is>
      </c>
      <c r="B609" s="1" t="n">
        <v>44259</v>
      </c>
      <c r="C609" s="1" t="n">
        <v>45957</v>
      </c>
      <c r="D609" t="inlineStr">
        <is>
          <t>KRONOBERGS LÄN</t>
        </is>
      </c>
      <c r="E609" t="inlineStr">
        <is>
          <t>UPPVIDINGE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63973-2020</t>
        </is>
      </c>
      <c r="B610" s="1" t="n">
        <v>44167</v>
      </c>
      <c r="C610" s="1" t="n">
        <v>45957</v>
      </c>
      <c r="D610" t="inlineStr">
        <is>
          <t>KRONOBERGS LÄN</t>
        </is>
      </c>
      <c r="E610" t="inlineStr">
        <is>
          <t>TINGSRYD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37336-2021</t>
        </is>
      </c>
      <c r="B611" s="1" t="n">
        <v>44397</v>
      </c>
      <c r="C611" s="1" t="n">
        <v>45957</v>
      </c>
      <c r="D611" t="inlineStr">
        <is>
          <t>KRONOBERGS LÄN</t>
        </is>
      </c>
      <c r="E611" t="inlineStr">
        <is>
          <t>ÄLMHULT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33663-2022</t>
        </is>
      </c>
      <c r="B612" s="1" t="n">
        <v>44789</v>
      </c>
      <c r="C612" s="1" t="n">
        <v>45957</v>
      </c>
      <c r="D612" t="inlineStr">
        <is>
          <t>KRONOBERGS LÄN</t>
        </is>
      </c>
      <c r="E612" t="inlineStr">
        <is>
          <t>TINGSRYD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30111-2022</t>
        </is>
      </c>
      <c r="B613" s="1" t="n">
        <v>44757.40570601852</v>
      </c>
      <c r="C613" s="1" t="n">
        <v>45957</v>
      </c>
      <c r="D613" t="inlineStr">
        <is>
          <t>KRONOBERGS LÄN</t>
        </is>
      </c>
      <c r="E613" t="inlineStr">
        <is>
          <t>UPPVIDINGE</t>
        </is>
      </c>
      <c r="F613" t="inlineStr">
        <is>
          <t>Sveaskog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40697-2022</t>
        </is>
      </c>
      <c r="B614" s="1" t="n">
        <v>44820</v>
      </c>
      <c r="C614" s="1" t="n">
        <v>45957</v>
      </c>
      <c r="D614" t="inlineStr">
        <is>
          <t>KRONOBERGS LÄN</t>
        </is>
      </c>
      <c r="E614" t="inlineStr">
        <is>
          <t>VÄXJÖ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46354-2021</t>
        </is>
      </c>
      <c r="B615" s="1" t="n">
        <v>44442</v>
      </c>
      <c r="C615" s="1" t="n">
        <v>45957</v>
      </c>
      <c r="D615" t="inlineStr">
        <is>
          <t>KRONOBERGS LÄN</t>
        </is>
      </c>
      <c r="E615" t="inlineStr">
        <is>
          <t>ALVESTA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21932-2022</t>
        </is>
      </c>
      <c r="B616" s="1" t="n">
        <v>44711.47668981482</v>
      </c>
      <c r="C616" s="1" t="n">
        <v>45957</v>
      </c>
      <c r="D616" t="inlineStr">
        <is>
          <t>KRONOBERGS LÄN</t>
        </is>
      </c>
      <c r="E616" t="inlineStr">
        <is>
          <t>VÄXJÖ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63571-2021</t>
        </is>
      </c>
      <c r="B617" s="1" t="n">
        <v>44508</v>
      </c>
      <c r="C617" s="1" t="n">
        <v>45957</v>
      </c>
      <c r="D617" t="inlineStr">
        <is>
          <t>KRONOBERGS LÄN</t>
        </is>
      </c>
      <c r="E617" t="inlineStr">
        <is>
          <t>TINGSRYD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15165-2021</t>
        </is>
      </c>
      <c r="B618" s="1" t="n">
        <v>44284</v>
      </c>
      <c r="C618" s="1" t="n">
        <v>45957</v>
      </c>
      <c r="D618" t="inlineStr">
        <is>
          <t>KRONOBERGS LÄN</t>
        </is>
      </c>
      <c r="E618" t="inlineStr">
        <is>
          <t>ÄLMHULT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54891-2021</t>
        </is>
      </c>
      <c r="B619" s="1" t="n">
        <v>44474</v>
      </c>
      <c r="C619" s="1" t="n">
        <v>45957</v>
      </c>
      <c r="D619" t="inlineStr">
        <is>
          <t>KRONOBERGS LÄN</t>
        </is>
      </c>
      <c r="E619" t="inlineStr">
        <is>
          <t>LJUNGBY</t>
        </is>
      </c>
      <c r="G619" t="n">
        <v>4.5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54972-2021</t>
        </is>
      </c>
      <c r="B620" s="1" t="n">
        <v>44474</v>
      </c>
      <c r="C620" s="1" t="n">
        <v>45957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16162-2021</t>
        </is>
      </c>
      <c r="B621" s="1" t="n">
        <v>44292.38614583333</v>
      </c>
      <c r="C621" s="1" t="n">
        <v>45957</v>
      </c>
      <c r="D621" t="inlineStr">
        <is>
          <t>KRONOBERGS LÄN</t>
        </is>
      </c>
      <c r="E621" t="inlineStr">
        <is>
          <t>VÄXJÖ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61084-2021</t>
        </is>
      </c>
      <c r="B622" s="1" t="n">
        <v>44498.27439814815</v>
      </c>
      <c r="C622" s="1" t="n">
        <v>45957</v>
      </c>
      <c r="D622" t="inlineStr">
        <is>
          <t>KRONOBERGS LÄN</t>
        </is>
      </c>
      <c r="E622" t="inlineStr">
        <is>
          <t>ÄLMHULT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63420-2021</t>
        </is>
      </c>
      <c r="B623" s="1" t="n">
        <v>44508.56681712963</v>
      </c>
      <c r="C623" s="1" t="n">
        <v>45957</v>
      </c>
      <c r="D623" t="inlineStr">
        <is>
          <t>KRONOBERGS LÄN</t>
        </is>
      </c>
      <c r="E623" t="inlineStr">
        <is>
          <t>VÄXJÖ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46170-2022</t>
        </is>
      </c>
      <c r="B624" s="1" t="n">
        <v>44847.48289351852</v>
      </c>
      <c r="C624" s="1" t="n">
        <v>45957</v>
      </c>
      <c r="D624" t="inlineStr">
        <is>
          <t>KRONOBERGS LÄN</t>
        </is>
      </c>
      <c r="E624" t="inlineStr">
        <is>
          <t>ÄLMHULT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53683-2022</t>
        </is>
      </c>
      <c r="B625" s="1" t="n">
        <v>44880.28204861111</v>
      </c>
      <c r="C625" s="1" t="n">
        <v>45957</v>
      </c>
      <c r="D625" t="inlineStr">
        <is>
          <t>KRONOBERGS LÄN</t>
        </is>
      </c>
      <c r="E625" t="inlineStr">
        <is>
          <t>VÄXJÖ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60233-2021</t>
        </is>
      </c>
      <c r="B626" s="1" t="n">
        <v>44495.62099537037</v>
      </c>
      <c r="C626" s="1" t="n">
        <v>45957</v>
      </c>
      <c r="D626" t="inlineStr">
        <is>
          <t>KRONOBERGS LÄN</t>
        </is>
      </c>
      <c r="E626" t="inlineStr">
        <is>
          <t>VÄXJÖ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60237-2021</t>
        </is>
      </c>
      <c r="B627" s="1" t="n">
        <v>44495.63184027778</v>
      </c>
      <c r="C627" s="1" t="n">
        <v>45957</v>
      </c>
      <c r="D627" t="inlineStr">
        <is>
          <t>KRONOBERGS LÄN</t>
        </is>
      </c>
      <c r="E627" t="inlineStr">
        <is>
          <t>MARKARYD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40563-2022</t>
        </is>
      </c>
      <c r="B628" s="1" t="n">
        <v>44823.67513888889</v>
      </c>
      <c r="C628" s="1" t="n">
        <v>45957</v>
      </c>
      <c r="D628" t="inlineStr">
        <is>
          <t>KRONOBERGS LÄN</t>
        </is>
      </c>
      <c r="E628" t="inlineStr">
        <is>
          <t>ALVESTA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53777-2022</t>
        </is>
      </c>
      <c r="B629" s="1" t="n">
        <v>44880.48260416667</v>
      </c>
      <c r="C629" s="1" t="n">
        <v>45957</v>
      </c>
      <c r="D629" t="inlineStr">
        <is>
          <t>KRONOBERGS LÄN</t>
        </is>
      </c>
      <c r="E629" t="inlineStr">
        <is>
          <t>LJUNGBY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66008-2020</t>
        </is>
      </c>
      <c r="B630" s="1" t="n">
        <v>44173</v>
      </c>
      <c r="C630" s="1" t="n">
        <v>45957</v>
      </c>
      <c r="D630" t="inlineStr">
        <is>
          <t>KRONOBERGS LÄN</t>
        </is>
      </c>
      <c r="E630" t="inlineStr">
        <is>
          <t>TINGSRYD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65937-2020</t>
        </is>
      </c>
      <c r="B631" s="1" t="n">
        <v>44175</v>
      </c>
      <c r="C631" s="1" t="n">
        <v>45957</v>
      </c>
      <c r="D631" t="inlineStr">
        <is>
          <t>KRONOBERGS LÄN</t>
        </is>
      </c>
      <c r="E631" t="inlineStr">
        <is>
          <t>VÄXJÖ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43546-2022</t>
        </is>
      </c>
      <c r="B632" s="1" t="n">
        <v>44837.42782407408</v>
      </c>
      <c r="C632" s="1" t="n">
        <v>45957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45956-2022</t>
        </is>
      </c>
      <c r="B633" s="1" t="n">
        <v>44846.66394675926</v>
      </c>
      <c r="C633" s="1" t="n">
        <v>45957</v>
      </c>
      <c r="D633" t="inlineStr">
        <is>
          <t>KRONOBERGS LÄN</t>
        </is>
      </c>
      <c r="E633" t="inlineStr">
        <is>
          <t>LESSEBO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7465-2021</t>
        </is>
      </c>
      <c r="B634" s="1" t="n">
        <v>44239.5428125</v>
      </c>
      <c r="C634" s="1" t="n">
        <v>45957</v>
      </c>
      <c r="D634" t="inlineStr">
        <is>
          <t>KRONOBERGS LÄN</t>
        </is>
      </c>
      <c r="E634" t="inlineStr">
        <is>
          <t>ALVESTA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4977-2021</t>
        </is>
      </c>
      <c r="B635" s="1" t="n">
        <v>44228</v>
      </c>
      <c r="C635" s="1" t="n">
        <v>45957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4700-2021</t>
        </is>
      </c>
      <c r="B636" s="1" t="n">
        <v>44225</v>
      </c>
      <c r="C636" s="1" t="n">
        <v>45957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49510-2022</t>
        </is>
      </c>
      <c r="B637" s="1" t="n">
        <v>44861</v>
      </c>
      <c r="C637" s="1" t="n">
        <v>45957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72908-2021</t>
        </is>
      </c>
      <c r="B638" s="1" t="n">
        <v>44546</v>
      </c>
      <c r="C638" s="1" t="n">
        <v>45957</v>
      </c>
      <c r="D638" t="inlineStr">
        <is>
          <t>KRONOBERGS LÄN</t>
        </is>
      </c>
      <c r="E638" t="inlineStr">
        <is>
          <t>TINGSRYD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64428-2021</t>
        </is>
      </c>
      <c r="B639" s="1" t="n">
        <v>44511</v>
      </c>
      <c r="C639" s="1" t="n">
        <v>45957</v>
      </c>
      <c r="D639" t="inlineStr">
        <is>
          <t>KRONOBERGS LÄN</t>
        </is>
      </c>
      <c r="E639" t="inlineStr">
        <is>
          <t>ALVESTA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4987-2021</t>
        </is>
      </c>
      <c r="B640" s="1" t="n">
        <v>44228</v>
      </c>
      <c r="C640" s="1" t="n">
        <v>45957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186-2021</t>
        </is>
      </c>
      <c r="B641" s="1" t="n">
        <v>44200.57891203704</v>
      </c>
      <c r="C641" s="1" t="n">
        <v>45957</v>
      </c>
      <c r="D641" t="inlineStr">
        <is>
          <t>KRONOBERGS LÄN</t>
        </is>
      </c>
      <c r="E641" t="inlineStr">
        <is>
          <t>ALVESTA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192-2021</t>
        </is>
      </c>
      <c r="B642" s="1" t="n">
        <v>44200</v>
      </c>
      <c r="C642" s="1" t="n">
        <v>45957</v>
      </c>
      <c r="D642" t="inlineStr">
        <is>
          <t>KRONOBERGS LÄN</t>
        </is>
      </c>
      <c r="E642" t="inlineStr">
        <is>
          <t>MARKARYD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20809-2021</t>
        </is>
      </c>
      <c r="B643" s="1" t="n">
        <v>44317</v>
      </c>
      <c r="C643" s="1" t="n">
        <v>45957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13779-2021</t>
        </is>
      </c>
      <c r="B644" s="1" t="n">
        <v>44274.84170138889</v>
      </c>
      <c r="C644" s="1" t="n">
        <v>45957</v>
      </c>
      <c r="D644" t="inlineStr">
        <is>
          <t>KRONOBERGS LÄN</t>
        </is>
      </c>
      <c r="E644" t="inlineStr">
        <is>
          <t>ÄLMHULT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65206-2021</t>
        </is>
      </c>
      <c r="B645" s="1" t="n">
        <v>44515</v>
      </c>
      <c r="C645" s="1" t="n">
        <v>45957</v>
      </c>
      <c r="D645" t="inlineStr">
        <is>
          <t>KRONOBERGS LÄN</t>
        </is>
      </c>
      <c r="E645" t="inlineStr">
        <is>
          <t>VÄXJÖ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45958-2022</t>
        </is>
      </c>
      <c r="B646" s="1" t="n">
        <v>44846.66921296297</v>
      </c>
      <c r="C646" s="1" t="n">
        <v>45957</v>
      </c>
      <c r="D646" t="inlineStr">
        <is>
          <t>KRONOBERGS LÄN</t>
        </is>
      </c>
      <c r="E646" t="inlineStr">
        <is>
          <t>MARKARYD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8653-2022</t>
        </is>
      </c>
      <c r="B647" s="1" t="n">
        <v>44613</v>
      </c>
      <c r="C647" s="1" t="n">
        <v>45957</v>
      </c>
      <c r="D647" t="inlineStr">
        <is>
          <t>KRONOBERGS LÄN</t>
        </is>
      </c>
      <c r="E647" t="inlineStr">
        <is>
          <t>ALVESTA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4739-2021</t>
        </is>
      </c>
      <c r="B648" s="1" t="n">
        <v>44225</v>
      </c>
      <c r="C648" s="1" t="n">
        <v>45957</v>
      </c>
      <c r="D648" t="inlineStr">
        <is>
          <t>KRONOBERGS LÄN</t>
        </is>
      </c>
      <c r="E648" t="inlineStr">
        <is>
          <t>UPPVIDINGE</t>
        </is>
      </c>
      <c r="F648" t="inlineStr">
        <is>
          <t>Sveaskog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35945-2021</t>
        </is>
      </c>
      <c r="B649" s="1" t="n">
        <v>44388.75799768518</v>
      </c>
      <c r="C649" s="1" t="n">
        <v>45957</v>
      </c>
      <c r="D649" t="inlineStr">
        <is>
          <t>KRONOBERGS LÄN</t>
        </is>
      </c>
      <c r="E649" t="inlineStr">
        <is>
          <t>TINGSRYD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13477-2021</t>
        </is>
      </c>
      <c r="B650" s="1" t="n">
        <v>44273.62519675926</v>
      </c>
      <c r="C650" s="1" t="n">
        <v>45957</v>
      </c>
      <c r="D650" t="inlineStr">
        <is>
          <t>KRONOBERGS LÄN</t>
        </is>
      </c>
      <c r="E650" t="inlineStr">
        <is>
          <t>LJUNGBY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67511-2020</t>
        </is>
      </c>
      <c r="B651" s="1" t="n">
        <v>44181</v>
      </c>
      <c r="C651" s="1" t="n">
        <v>45957</v>
      </c>
      <c r="D651" t="inlineStr">
        <is>
          <t>KRONOBERGS LÄN</t>
        </is>
      </c>
      <c r="E651" t="inlineStr">
        <is>
          <t>MARKARYD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6131-2022</t>
        </is>
      </c>
      <c r="B652" s="1" t="n">
        <v>44599.68471064815</v>
      </c>
      <c r="C652" s="1" t="n">
        <v>45957</v>
      </c>
      <c r="D652" t="inlineStr">
        <is>
          <t>KRONOBERGS LÄN</t>
        </is>
      </c>
      <c r="E652" t="inlineStr">
        <is>
          <t>VÄXJÖ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9146-2022</t>
        </is>
      </c>
      <c r="B653" s="1" t="n">
        <v>44615</v>
      </c>
      <c r="C653" s="1" t="n">
        <v>45957</v>
      </c>
      <c r="D653" t="inlineStr">
        <is>
          <t>KRONOBERGS LÄN</t>
        </is>
      </c>
      <c r="E653" t="inlineStr">
        <is>
          <t>ALVESTA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42911-2021</t>
        </is>
      </c>
      <c r="B654" s="1" t="n">
        <v>44431.36233796296</v>
      </c>
      <c r="C654" s="1" t="n">
        <v>45957</v>
      </c>
      <c r="D654" t="inlineStr">
        <is>
          <t>KRONOBERGS LÄN</t>
        </is>
      </c>
      <c r="E654" t="inlineStr">
        <is>
          <t>ALVESTA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41270-2021</t>
        </is>
      </c>
      <c r="B655" s="1" t="n">
        <v>44424</v>
      </c>
      <c r="C655" s="1" t="n">
        <v>45957</v>
      </c>
      <c r="D655" t="inlineStr">
        <is>
          <t>KRONOBERGS LÄN</t>
        </is>
      </c>
      <c r="E655" t="inlineStr">
        <is>
          <t>TINGSRYD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5003-2022</t>
        </is>
      </c>
      <c r="B656" s="1" t="n">
        <v>44593</v>
      </c>
      <c r="C656" s="1" t="n">
        <v>45957</v>
      </c>
      <c r="D656" t="inlineStr">
        <is>
          <t>KRONOBERGS LÄN</t>
        </is>
      </c>
      <c r="E656" t="inlineStr">
        <is>
          <t>ALVESTA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68255-2020</t>
        </is>
      </c>
      <c r="B657" s="1" t="n">
        <v>44183</v>
      </c>
      <c r="C657" s="1" t="n">
        <v>45957</v>
      </c>
      <c r="D657" t="inlineStr">
        <is>
          <t>KRONOBERGS LÄN</t>
        </is>
      </c>
      <c r="E657" t="inlineStr">
        <is>
          <t>ÄLMHULT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11801-2021</t>
        </is>
      </c>
      <c r="B658" s="1" t="n">
        <v>44265</v>
      </c>
      <c r="C658" s="1" t="n">
        <v>45957</v>
      </c>
      <c r="D658" t="inlineStr">
        <is>
          <t>KRONOBERGS LÄN</t>
        </is>
      </c>
      <c r="E658" t="inlineStr">
        <is>
          <t>TINGSRYD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11803-2021</t>
        </is>
      </c>
      <c r="B659" s="1" t="n">
        <v>44265</v>
      </c>
      <c r="C659" s="1" t="n">
        <v>45957</v>
      </c>
      <c r="D659" t="inlineStr">
        <is>
          <t>KRONOBERGS LÄN</t>
        </is>
      </c>
      <c r="E659" t="inlineStr">
        <is>
          <t>VÄXJÖ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17212-2021</t>
        </is>
      </c>
      <c r="B660" s="1" t="n">
        <v>44298.48719907407</v>
      </c>
      <c r="C660" s="1" t="n">
        <v>45957</v>
      </c>
      <c r="D660" t="inlineStr">
        <is>
          <t>KRONOBERGS LÄN</t>
        </is>
      </c>
      <c r="E660" t="inlineStr">
        <is>
          <t>TINGSRYD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55325-2022</t>
        </is>
      </c>
      <c r="B661" s="1" t="n">
        <v>44887.43138888889</v>
      </c>
      <c r="C661" s="1" t="n">
        <v>45957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38997-2021</t>
        </is>
      </c>
      <c r="B662" s="1" t="n">
        <v>44412</v>
      </c>
      <c r="C662" s="1" t="n">
        <v>45957</v>
      </c>
      <c r="D662" t="inlineStr">
        <is>
          <t>KRONOBERGS LÄN</t>
        </is>
      </c>
      <c r="E662" t="inlineStr">
        <is>
          <t>ALVESTA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42268-2021</t>
        </is>
      </c>
      <c r="B663" s="1" t="n">
        <v>44427</v>
      </c>
      <c r="C663" s="1" t="n">
        <v>45957</v>
      </c>
      <c r="D663" t="inlineStr">
        <is>
          <t>KRONOBERGS LÄN</t>
        </is>
      </c>
      <c r="E663" t="inlineStr">
        <is>
          <t>ÄLMHULT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42274-2021</t>
        </is>
      </c>
      <c r="B664" s="1" t="n">
        <v>44427.31769675926</v>
      </c>
      <c r="C664" s="1" t="n">
        <v>45957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41175-2021</t>
        </is>
      </c>
      <c r="B665" s="1" t="n">
        <v>44424</v>
      </c>
      <c r="C665" s="1" t="n">
        <v>45957</v>
      </c>
      <c r="D665" t="inlineStr">
        <is>
          <t>KRONOBERGS LÄN</t>
        </is>
      </c>
      <c r="E665" t="inlineStr">
        <is>
          <t>ALVESTA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21239-2021</t>
        </is>
      </c>
      <c r="B666" s="1" t="n">
        <v>44320</v>
      </c>
      <c r="C666" s="1" t="n">
        <v>45957</v>
      </c>
      <c r="D666" t="inlineStr">
        <is>
          <t>KRONOBERGS LÄN</t>
        </is>
      </c>
      <c r="E666" t="inlineStr">
        <is>
          <t>VÄXJÖ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13075-2021</t>
        </is>
      </c>
      <c r="B667" s="1" t="n">
        <v>44272</v>
      </c>
      <c r="C667" s="1" t="n">
        <v>45957</v>
      </c>
      <c r="D667" t="inlineStr">
        <is>
          <t>KRONOBERGS LÄN</t>
        </is>
      </c>
      <c r="E667" t="inlineStr">
        <is>
          <t>TINGSRYD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13672-2021</t>
        </is>
      </c>
      <c r="B668" s="1" t="n">
        <v>44274.49215277778</v>
      </c>
      <c r="C668" s="1" t="n">
        <v>45957</v>
      </c>
      <c r="D668" t="inlineStr">
        <is>
          <t>KRONOBERGS LÄN</t>
        </is>
      </c>
      <c r="E668" t="inlineStr">
        <is>
          <t>VÄXJÖ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24680-2022</t>
        </is>
      </c>
      <c r="B669" s="1" t="n">
        <v>44727.67484953703</v>
      </c>
      <c r="C669" s="1" t="n">
        <v>45957</v>
      </c>
      <c r="D669" t="inlineStr">
        <is>
          <t>KRONOBERGS LÄN</t>
        </is>
      </c>
      <c r="E669" t="inlineStr">
        <is>
          <t>LESSEBO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10927-2021</t>
        </is>
      </c>
      <c r="B670" s="1" t="n">
        <v>44259</v>
      </c>
      <c r="C670" s="1" t="n">
        <v>45957</v>
      </c>
      <c r="D670" t="inlineStr">
        <is>
          <t>KRONOBERGS LÄN</t>
        </is>
      </c>
      <c r="E670" t="inlineStr">
        <is>
          <t>TINGSRYD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18969-2022</t>
        </is>
      </c>
      <c r="B671" s="1" t="n">
        <v>44690.88424768519</v>
      </c>
      <c r="C671" s="1" t="n">
        <v>45957</v>
      </c>
      <c r="D671" t="inlineStr">
        <is>
          <t>KRONOBERGS LÄN</t>
        </is>
      </c>
      <c r="E671" t="inlineStr">
        <is>
          <t>ÄLMHULT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19072-2022</t>
        </is>
      </c>
      <c r="B672" s="1" t="n">
        <v>44691</v>
      </c>
      <c r="C672" s="1" t="n">
        <v>45957</v>
      </c>
      <c r="D672" t="inlineStr">
        <is>
          <t>KRONOBERGS LÄN</t>
        </is>
      </c>
      <c r="E672" t="inlineStr">
        <is>
          <t>VÄXJÖ</t>
        </is>
      </c>
      <c r="G672" t="n">
        <v>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3741-2022</t>
        </is>
      </c>
      <c r="B673" s="1" t="n">
        <v>44586</v>
      </c>
      <c r="C673" s="1" t="n">
        <v>45957</v>
      </c>
      <c r="D673" t="inlineStr">
        <is>
          <t>KRONOBERGS LÄN</t>
        </is>
      </c>
      <c r="E673" t="inlineStr">
        <is>
          <t>LESSEBO</t>
        </is>
      </c>
      <c r="F673" t="inlineStr">
        <is>
          <t>Kommuner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61620-2020</t>
        </is>
      </c>
      <c r="B674" s="1" t="n">
        <v>44158</v>
      </c>
      <c r="C674" s="1" t="n">
        <v>45957</v>
      </c>
      <c r="D674" t="inlineStr">
        <is>
          <t>KRONOBERGS LÄN</t>
        </is>
      </c>
      <c r="E674" t="inlineStr">
        <is>
          <t>VÄXJÖ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57597-2020</t>
        </is>
      </c>
      <c r="B675" s="1" t="n">
        <v>44140</v>
      </c>
      <c r="C675" s="1" t="n">
        <v>45957</v>
      </c>
      <c r="D675" t="inlineStr">
        <is>
          <t>KRONOBERGS LÄN</t>
        </is>
      </c>
      <c r="E675" t="inlineStr">
        <is>
          <t>LJUNGBY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5348-2021</t>
        </is>
      </c>
      <c r="B676" s="1" t="n">
        <v>44229</v>
      </c>
      <c r="C676" s="1" t="n">
        <v>45957</v>
      </c>
      <c r="D676" t="inlineStr">
        <is>
          <t>KRONOBERGS LÄN</t>
        </is>
      </c>
      <c r="E676" t="inlineStr">
        <is>
          <t>MARKARYD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18228-2021</t>
        </is>
      </c>
      <c r="B677" s="1" t="n">
        <v>44303</v>
      </c>
      <c r="C677" s="1" t="n">
        <v>45957</v>
      </c>
      <c r="D677" t="inlineStr">
        <is>
          <t>KRONOBERGS LÄN</t>
        </is>
      </c>
      <c r="E677" t="inlineStr">
        <is>
          <t>MARKARYD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22570-2021</t>
        </is>
      </c>
      <c r="B678" s="1" t="n">
        <v>44327.36415509259</v>
      </c>
      <c r="C678" s="1" t="n">
        <v>45957</v>
      </c>
      <c r="D678" t="inlineStr">
        <is>
          <t>KRONOBERGS LÄN</t>
        </is>
      </c>
      <c r="E678" t="inlineStr">
        <is>
          <t>TINGSRYD</t>
        </is>
      </c>
      <c r="F678" t="inlineStr">
        <is>
          <t>Kommuner</t>
        </is>
      </c>
      <c r="G678" t="n">
        <v>5.1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18236-2021</t>
        </is>
      </c>
      <c r="B679" s="1" t="n">
        <v>44304</v>
      </c>
      <c r="C679" s="1" t="n">
        <v>45957</v>
      </c>
      <c r="D679" t="inlineStr">
        <is>
          <t>KRONOBERGS LÄN</t>
        </is>
      </c>
      <c r="E679" t="inlineStr">
        <is>
          <t>LJUNGBY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21777-2021</t>
        </is>
      </c>
      <c r="B680" s="1" t="n">
        <v>44322.58246527778</v>
      </c>
      <c r="C680" s="1" t="n">
        <v>45957</v>
      </c>
      <c r="D680" t="inlineStr">
        <is>
          <t>KRONOBERGS LÄN</t>
        </is>
      </c>
      <c r="E680" t="inlineStr">
        <is>
          <t>VÄXJÖ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67192-2021</t>
        </is>
      </c>
      <c r="B681" s="1" t="n">
        <v>44523</v>
      </c>
      <c r="C681" s="1" t="n">
        <v>45957</v>
      </c>
      <c r="D681" t="inlineStr">
        <is>
          <t>KRONOBERGS LÄN</t>
        </is>
      </c>
      <c r="E681" t="inlineStr">
        <is>
          <t>ALVESTA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30214-2021</t>
        </is>
      </c>
      <c r="B682" s="1" t="n">
        <v>44363</v>
      </c>
      <c r="C682" s="1" t="n">
        <v>45957</v>
      </c>
      <c r="D682" t="inlineStr">
        <is>
          <t>KRONOBERGS LÄN</t>
        </is>
      </c>
      <c r="E682" t="inlineStr">
        <is>
          <t>ALVESTA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63060-2021</t>
        </is>
      </c>
      <c r="B683" s="1" t="n">
        <v>44505</v>
      </c>
      <c r="C683" s="1" t="n">
        <v>45957</v>
      </c>
      <c r="D683" t="inlineStr">
        <is>
          <t>KRONOBERGS LÄN</t>
        </is>
      </c>
      <c r="E683" t="inlineStr">
        <is>
          <t>UPPVIDINGE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23806-2022</t>
        </is>
      </c>
      <c r="B684" s="1" t="n">
        <v>44722</v>
      </c>
      <c r="C684" s="1" t="n">
        <v>45957</v>
      </c>
      <c r="D684" t="inlineStr">
        <is>
          <t>KRONOBERGS LÄN</t>
        </is>
      </c>
      <c r="E684" t="inlineStr">
        <is>
          <t>TINGSRYD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23812-2022</t>
        </is>
      </c>
      <c r="B685" s="1" t="n">
        <v>44722.47052083333</v>
      </c>
      <c r="C685" s="1" t="n">
        <v>45957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4234-2022</t>
        </is>
      </c>
      <c r="B686" s="1" t="n">
        <v>44588.6396875</v>
      </c>
      <c r="C686" s="1" t="n">
        <v>45957</v>
      </c>
      <c r="D686" t="inlineStr">
        <is>
          <t>KRONOBERGS LÄN</t>
        </is>
      </c>
      <c r="E686" t="inlineStr">
        <is>
          <t>UPPVIDINGE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29922-2022</t>
        </is>
      </c>
      <c r="B687" s="1" t="n">
        <v>44756</v>
      </c>
      <c r="C687" s="1" t="n">
        <v>45957</v>
      </c>
      <c r="D687" t="inlineStr">
        <is>
          <t>KRONOBERGS LÄN</t>
        </is>
      </c>
      <c r="E687" t="inlineStr">
        <is>
          <t>TINGSRYD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57105-2021</t>
        </is>
      </c>
      <c r="B688" s="1" t="n">
        <v>44482</v>
      </c>
      <c r="C688" s="1" t="n">
        <v>45957</v>
      </c>
      <c r="D688" t="inlineStr">
        <is>
          <t>KRONOBERGS LÄN</t>
        </is>
      </c>
      <c r="E688" t="inlineStr">
        <is>
          <t>LJUNGBY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50819-2022</t>
        </is>
      </c>
      <c r="B689" s="1" t="n">
        <v>44867.48452546296</v>
      </c>
      <c r="C689" s="1" t="n">
        <v>45957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55680-2021</t>
        </is>
      </c>
      <c r="B690" s="1" t="n">
        <v>44476</v>
      </c>
      <c r="C690" s="1" t="n">
        <v>45957</v>
      </c>
      <c r="D690" t="inlineStr">
        <is>
          <t>KRONOBERGS LÄN</t>
        </is>
      </c>
      <c r="E690" t="inlineStr">
        <is>
          <t>LJUNGBY</t>
        </is>
      </c>
      <c r="G690" t="n">
        <v>0.4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55806-2021</t>
        </is>
      </c>
      <c r="B691" s="1" t="n">
        <v>44476.58800925926</v>
      </c>
      <c r="C691" s="1" t="n">
        <v>45957</v>
      </c>
      <c r="D691" t="inlineStr">
        <is>
          <t>KRONOBERGS LÄN</t>
        </is>
      </c>
      <c r="E691" t="inlineStr">
        <is>
          <t>LJUNGBY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20538-2021</t>
        </is>
      </c>
      <c r="B692" s="1" t="n">
        <v>44315</v>
      </c>
      <c r="C692" s="1" t="n">
        <v>45957</v>
      </c>
      <c r="D692" t="inlineStr">
        <is>
          <t>KRONOBERGS LÄN</t>
        </is>
      </c>
      <c r="E692" t="inlineStr">
        <is>
          <t>LJUNGBY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30552-2021</t>
        </is>
      </c>
      <c r="B693" s="1" t="n">
        <v>44364.7040162037</v>
      </c>
      <c r="C693" s="1" t="n">
        <v>45957</v>
      </c>
      <c r="D693" t="inlineStr">
        <is>
          <t>KRONOBERGS LÄN</t>
        </is>
      </c>
      <c r="E693" t="inlineStr">
        <is>
          <t>ALVESTA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37212-2022</t>
        </is>
      </c>
      <c r="B694" s="1" t="n">
        <v>44806.68451388889</v>
      </c>
      <c r="C694" s="1" t="n">
        <v>45957</v>
      </c>
      <c r="D694" t="inlineStr">
        <is>
          <t>KRONOBERGS LÄN</t>
        </is>
      </c>
      <c r="E694" t="inlineStr">
        <is>
          <t>LJUNGBY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  <c r="U694">
        <f>HYPERLINK("https://klasma.github.io/Logging_0781/knärot/A 37212-2022 karta knärot.png", "A 37212-2022")</f>
        <v/>
      </c>
      <c r="V694">
        <f>HYPERLINK("https://klasma.github.io/Logging_0781/klagomål/A 37212-2022 FSC-klagomål.docx", "A 37212-2022")</f>
        <v/>
      </c>
      <c r="W694">
        <f>HYPERLINK("https://klasma.github.io/Logging_0781/klagomålsmail/A 37212-2022 FSC-klagomål mail.docx", "A 37212-2022")</f>
        <v/>
      </c>
      <c r="X694">
        <f>HYPERLINK("https://klasma.github.io/Logging_0781/tillsyn/A 37212-2022 tillsynsbegäran.docx", "A 37212-2022")</f>
        <v/>
      </c>
      <c r="Y694">
        <f>HYPERLINK("https://klasma.github.io/Logging_0781/tillsynsmail/A 37212-2022 tillsynsbegäran mail.docx", "A 37212-2022")</f>
        <v/>
      </c>
    </row>
    <row r="695" ht="15" customHeight="1">
      <c r="A695" t="inlineStr">
        <is>
          <t>A 64462-2021</t>
        </is>
      </c>
      <c r="B695" s="1" t="n">
        <v>44511</v>
      </c>
      <c r="C695" s="1" t="n">
        <v>45957</v>
      </c>
      <c r="D695" t="inlineStr">
        <is>
          <t>KRONOBERGS LÄN</t>
        </is>
      </c>
      <c r="E695" t="inlineStr">
        <is>
          <t>TINGSRYD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36065-2022</t>
        </is>
      </c>
      <c r="B696" s="1" t="n">
        <v>44802.9119212963</v>
      </c>
      <c r="C696" s="1" t="n">
        <v>45957</v>
      </c>
      <c r="D696" t="inlineStr">
        <is>
          <t>KRONOBERGS LÄN</t>
        </is>
      </c>
      <c r="E696" t="inlineStr">
        <is>
          <t>MARKARYD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36067-2022</t>
        </is>
      </c>
      <c r="B697" s="1" t="n">
        <v>44802.91436342592</v>
      </c>
      <c r="C697" s="1" t="n">
        <v>45957</v>
      </c>
      <c r="D697" t="inlineStr">
        <is>
          <t>KRONOBERGS LÄN</t>
        </is>
      </c>
      <c r="E697" t="inlineStr">
        <is>
          <t>MARKARYD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36069-2022</t>
        </is>
      </c>
      <c r="B698" s="1" t="n">
        <v>44802</v>
      </c>
      <c r="C698" s="1" t="n">
        <v>45957</v>
      </c>
      <c r="D698" t="inlineStr">
        <is>
          <t>KRONOBERGS LÄN</t>
        </is>
      </c>
      <c r="E698" t="inlineStr">
        <is>
          <t>MARKARYD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38570-2021</t>
        </is>
      </c>
      <c r="B699" s="1" t="n">
        <v>44407</v>
      </c>
      <c r="C699" s="1" t="n">
        <v>45957</v>
      </c>
      <c r="D699" t="inlineStr">
        <is>
          <t>KRONOBERGS LÄN</t>
        </is>
      </c>
      <c r="E699" t="inlineStr">
        <is>
          <t>TINGSRYD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26052-2021</t>
        </is>
      </c>
      <c r="B700" s="1" t="n">
        <v>44344</v>
      </c>
      <c r="C700" s="1" t="n">
        <v>45957</v>
      </c>
      <c r="D700" t="inlineStr">
        <is>
          <t>KRONOBERGS LÄN</t>
        </is>
      </c>
      <c r="E700" t="inlineStr">
        <is>
          <t>ÄLMHULT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50141-2021</t>
        </is>
      </c>
      <c r="B701" s="1" t="n">
        <v>44456</v>
      </c>
      <c r="C701" s="1" t="n">
        <v>45957</v>
      </c>
      <c r="D701" t="inlineStr">
        <is>
          <t>KRONOBERGS LÄN</t>
        </is>
      </c>
      <c r="E701" t="inlineStr">
        <is>
          <t>UPPVIDINGE</t>
        </is>
      </c>
      <c r="F701" t="inlineStr">
        <is>
          <t>Sveaskog</t>
        </is>
      </c>
      <c r="G701" t="n">
        <v>0.2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23128-2021</t>
        </is>
      </c>
      <c r="B702" s="1" t="n">
        <v>44330.85519675926</v>
      </c>
      <c r="C702" s="1" t="n">
        <v>45957</v>
      </c>
      <c r="D702" t="inlineStr">
        <is>
          <t>KRONOBERGS LÄN</t>
        </is>
      </c>
      <c r="E702" t="inlineStr">
        <is>
          <t>MARKARYD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23129-2021</t>
        </is>
      </c>
      <c r="B703" s="1" t="n">
        <v>44330.85600694444</v>
      </c>
      <c r="C703" s="1" t="n">
        <v>45957</v>
      </c>
      <c r="D703" t="inlineStr">
        <is>
          <t>KRONOBERGS LÄN</t>
        </is>
      </c>
      <c r="E703" t="inlineStr">
        <is>
          <t>TINGSRYD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50994-2021</t>
        </is>
      </c>
      <c r="B704" s="1" t="n">
        <v>44460</v>
      </c>
      <c r="C704" s="1" t="n">
        <v>45957</v>
      </c>
      <c r="D704" t="inlineStr">
        <is>
          <t>KRONOBERGS LÄN</t>
        </is>
      </c>
      <c r="E704" t="inlineStr">
        <is>
          <t>TINGSRYD</t>
        </is>
      </c>
      <c r="G704" t="n">
        <v>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58446-2020</t>
        </is>
      </c>
      <c r="B705" s="1" t="n">
        <v>44145</v>
      </c>
      <c r="C705" s="1" t="n">
        <v>45957</v>
      </c>
      <c r="D705" t="inlineStr">
        <is>
          <t>KRONOBERGS LÄN</t>
        </is>
      </c>
      <c r="E705" t="inlineStr">
        <is>
          <t>LJUNGBY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38352-2022</t>
        </is>
      </c>
      <c r="B706" s="1" t="n">
        <v>44812</v>
      </c>
      <c r="C706" s="1" t="n">
        <v>45957</v>
      </c>
      <c r="D706" t="inlineStr">
        <is>
          <t>KRONOBERGS LÄN</t>
        </is>
      </c>
      <c r="E706" t="inlineStr">
        <is>
          <t>ÄLMHULT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44803-2022</t>
        </is>
      </c>
      <c r="B707" s="1" t="n">
        <v>44839</v>
      </c>
      <c r="C707" s="1" t="n">
        <v>45957</v>
      </c>
      <c r="D707" t="inlineStr">
        <is>
          <t>KRONOBERGS LÄN</t>
        </is>
      </c>
      <c r="E707" t="inlineStr">
        <is>
          <t>TINGSRYD</t>
        </is>
      </c>
      <c r="F707" t="inlineStr">
        <is>
          <t>Kyrkan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40791-2022</t>
        </is>
      </c>
      <c r="B708" s="1" t="n">
        <v>44824</v>
      </c>
      <c r="C708" s="1" t="n">
        <v>45957</v>
      </c>
      <c r="D708" t="inlineStr">
        <is>
          <t>KRONOBERGS LÄN</t>
        </is>
      </c>
      <c r="E708" t="inlineStr">
        <is>
          <t>ALVESTA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27342-2021</t>
        </is>
      </c>
      <c r="B709" s="1" t="n">
        <v>44351</v>
      </c>
      <c r="C709" s="1" t="n">
        <v>45957</v>
      </c>
      <c r="D709" t="inlineStr">
        <is>
          <t>KRONOBERGS LÄN</t>
        </is>
      </c>
      <c r="E709" t="inlineStr">
        <is>
          <t>ALVESTA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33142-2021</t>
        </is>
      </c>
      <c r="B710" s="1" t="n">
        <v>44376.66452546296</v>
      </c>
      <c r="C710" s="1" t="n">
        <v>45957</v>
      </c>
      <c r="D710" t="inlineStr">
        <is>
          <t>KRONOBERGS LÄN</t>
        </is>
      </c>
      <c r="E710" t="inlineStr">
        <is>
          <t>VÄXJÖ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53405-2022</t>
        </is>
      </c>
      <c r="B711" s="1" t="n">
        <v>44879</v>
      </c>
      <c r="C711" s="1" t="n">
        <v>45957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39254-2021</t>
        </is>
      </c>
      <c r="B712" s="1" t="n">
        <v>44413</v>
      </c>
      <c r="C712" s="1" t="n">
        <v>45957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64161-2021</t>
        </is>
      </c>
      <c r="B713" s="1" t="n">
        <v>44510</v>
      </c>
      <c r="C713" s="1" t="n">
        <v>45957</v>
      </c>
      <c r="D713" t="inlineStr">
        <is>
          <t>KRONOBERGS LÄN</t>
        </is>
      </c>
      <c r="E713" t="inlineStr">
        <is>
          <t>LESSEBO</t>
        </is>
      </c>
      <c r="G713" t="n">
        <v>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17336-2021</t>
        </is>
      </c>
      <c r="B714" s="1" t="n">
        <v>44298</v>
      </c>
      <c r="C714" s="1" t="n">
        <v>45957</v>
      </c>
      <c r="D714" t="inlineStr">
        <is>
          <t>KRONOBERGS LÄN</t>
        </is>
      </c>
      <c r="E714" t="inlineStr">
        <is>
          <t>TINGSRYD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26184-2021</t>
        </is>
      </c>
      <c r="B715" s="1" t="n">
        <v>44347.37032407407</v>
      </c>
      <c r="C715" s="1" t="n">
        <v>45957</v>
      </c>
      <c r="D715" t="inlineStr">
        <is>
          <t>KRONOBERGS LÄN</t>
        </is>
      </c>
      <c r="E715" t="inlineStr">
        <is>
          <t>TINGSRYD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30451-2021</t>
        </is>
      </c>
      <c r="B716" s="1" t="n">
        <v>44364.57402777778</v>
      </c>
      <c r="C716" s="1" t="n">
        <v>45957</v>
      </c>
      <c r="D716" t="inlineStr">
        <is>
          <t>KRONOBERGS LÄN</t>
        </is>
      </c>
      <c r="E716" t="inlineStr">
        <is>
          <t>TINGSRYD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37788-2021</t>
        </is>
      </c>
      <c r="B717" s="1" t="n">
        <v>44401.56947916667</v>
      </c>
      <c r="C717" s="1" t="n">
        <v>45957</v>
      </c>
      <c r="D717" t="inlineStr">
        <is>
          <t>KRONOBERGS LÄN</t>
        </is>
      </c>
      <c r="E717" t="inlineStr">
        <is>
          <t>ALVESTA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2898-2021</t>
        </is>
      </c>
      <c r="B718" s="1" t="n">
        <v>44216</v>
      </c>
      <c r="C718" s="1" t="n">
        <v>45957</v>
      </c>
      <c r="D718" t="inlineStr">
        <is>
          <t>KRONOBERGS LÄN</t>
        </is>
      </c>
      <c r="E718" t="inlineStr">
        <is>
          <t>VÄXJÖ</t>
        </is>
      </c>
      <c r="F718" t="inlineStr">
        <is>
          <t>Sveaskog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34124-2022</t>
        </is>
      </c>
      <c r="B719" s="1" t="n">
        <v>44791.50940972222</v>
      </c>
      <c r="C719" s="1" t="n">
        <v>45957</v>
      </c>
      <c r="D719" t="inlineStr">
        <is>
          <t>KRONOBERGS LÄN</t>
        </is>
      </c>
      <c r="E719" t="inlineStr">
        <is>
          <t>TINGSRYD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43932-2021</t>
        </is>
      </c>
      <c r="B720" s="1" t="n">
        <v>44434.40148148148</v>
      </c>
      <c r="C720" s="1" t="n">
        <v>45957</v>
      </c>
      <c r="D720" t="inlineStr">
        <is>
          <t>KRONOBERGS LÄN</t>
        </is>
      </c>
      <c r="E720" t="inlineStr">
        <is>
          <t>ALVESTA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44105-2021</t>
        </is>
      </c>
      <c r="B721" s="1" t="n">
        <v>44434</v>
      </c>
      <c r="C721" s="1" t="n">
        <v>45957</v>
      </c>
      <c r="D721" t="inlineStr">
        <is>
          <t>KRONOBERGS LÄN</t>
        </is>
      </c>
      <c r="E721" t="inlineStr">
        <is>
          <t>ALVESTA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44121-2021</t>
        </is>
      </c>
      <c r="B722" s="1" t="n">
        <v>44434</v>
      </c>
      <c r="C722" s="1" t="n">
        <v>45957</v>
      </c>
      <c r="D722" t="inlineStr">
        <is>
          <t>KRONOBERGS LÄN</t>
        </is>
      </c>
      <c r="E722" t="inlineStr">
        <is>
          <t>UPPVIDINGE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39474-2021</t>
        </is>
      </c>
      <c r="B723" s="1" t="n">
        <v>44414.61907407407</v>
      </c>
      <c r="C723" s="1" t="n">
        <v>45957</v>
      </c>
      <c r="D723" t="inlineStr">
        <is>
          <t>KRONOBERGS LÄN</t>
        </is>
      </c>
      <c r="E723" t="inlineStr">
        <is>
          <t>ALVESTA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39550-2021</t>
        </is>
      </c>
      <c r="B724" s="1" t="n">
        <v>44416.46971064815</v>
      </c>
      <c r="C724" s="1" t="n">
        <v>45957</v>
      </c>
      <c r="D724" t="inlineStr">
        <is>
          <t>KRONOBERGS LÄN</t>
        </is>
      </c>
      <c r="E724" t="inlineStr">
        <is>
          <t>VÄXJÖ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2257-2021</t>
        </is>
      </c>
      <c r="B725" s="1" t="n">
        <v>44211</v>
      </c>
      <c r="C725" s="1" t="n">
        <v>45957</v>
      </c>
      <c r="D725" t="inlineStr">
        <is>
          <t>KRONOBERGS LÄN</t>
        </is>
      </c>
      <c r="E725" t="inlineStr">
        <is>
          <t>LJUNGBY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32291-2021</t>
        </is>
      </c>
      <c r="B726" s="1" t="n">
        <v>44371.50600694444</v>
      </c>
      <c r="C726" s="1" t="n">
        <v>45957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32701-2021</t>
        </is>
      </c>
      <c r="B727" s="1" t="n">
        <v>44375</v>
      </c>
      <c r="C727" s="1" t="n">
        <v>45957</v>
      </c>
      <c r="D727" t="inlineStr">
        <is>
          <t>KRONOBERGS LÄN</t>
        </is>
      </c>
      <c r="E727" t="inlineStr">
        <is>
          <t>UPPVIDINGE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46173-2022</t>
        </is>
      </c>
      <c r="B728" s="1" t="n">
        <v>44845</v>
      </c>
      <c r="C728" s="1" t="n">
        <v>45957</v>
      </c>
      <c r="D728" t="inlineStr">
        <is>
          <t>KRONOBERGS LÄN</t>
        </is>
      </c>
      <c r="E728" t="inlineStr">
        <is>
          <t>UPPVIDINGE</t>
        </is>
      </c>
      <c r="F728" t="inlineStr">
        <is>
          <t>Kyrkan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52859-2022</t>
        </is>
      </c>
      <c r="B729" s="1" t="n">
        <v>44875.48474537037</v>
      </c>
      <c r="C729" s="1" t="n">
        <v>45957</v>
      </c>
      <c r="D729" t="inlineStr">
        <is>
          <t>KRONOBERGS LÄN</t>
        </is>
      </c>
      <c r="E729" t="inlineStr">
        <is>
          <t>TINGSRYD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47817-2021</t>
        </is>
      </c>
      <c r="B730" s="1" t="n">
        <v>44448.62939814815</v>
      </c>
      <c r="C730" s="1" t="n">
        <v>45957</v>
      </c>
      <c r="D730" t="inlineStr">
        <is>
          <t>KRONOBERGS LÄN</t>
        </is>
      </c>
      <c r="E730" t="inlineStr">
        <is>
          <t>ÄLMHULT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69521-2020</t>
        </is>
      </c>
      <c r="B731" s="1" t="n">
        <v>44194</v>
      </c>
      <c r="C731" s="1" t="n">
        <v>45957</v>
      </c>
      <c r="D731" t="inlineStr">
        <is>
          <t>KRONOBERGS LÄN</t>
        </is>
      </c>
      <c r="E731" t="inlineStr">
        <is>
          <t>VÄXJÖ</t>
        </is>
      </c>
      <c r="G731" t="n">
        <v>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37773-2021</t>
        </is>
      </c>
      <c r="B732" s="1" t="n">
        <v>44400.7940162037</v>
      </c>
      <c r="C732" s="1" t="n">
        <v>45957</v>
      </c>
      <c r="D732" t="inlineStr">
        <is>
          <t>KRONOBERGS LÄN</t>
        </is>
      </c>
      <c r="E732" t="inlineStr">
        <is>
          <t>ÄLMHULT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4402-2021</t>
        </is>
      </c>
      <c r="B733" s="1" t="n">
        <v>44223</v>
      </c>
      <c r="C733" s="1" t="n">
        <v>45957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34829-2021</t>
        </is>
      </c>
      <c r="B734" s="1" t="n">
        <v>44383.37193287037</v>
      </c>
      <c r="C734" s="1" t="n">
        <v>45957</v>
      </c>
      <c r="D734" t="inlineStr">
        <is>
          <t>KRONOBERGS LÄN</t>
        </is>
      </c>
      <c r="E734" t="inlineStr">
        <is>
          <t>ÄLMHULT</t>
        </is>
      </c>
      <c r="G734" t="n">
        <v>3.5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33462-2021</t>
        </is>
      </c>
      <c r="B735" s="1" t="n">
        <v>44377.64809027778</v>
      </c>
      <c r="C735" s="1" t="n">
        <v>45957</v>
      </c>
      <c r="D735" t="inlineStr">
        <is>
          <t>KRONOBERGS LÄN</t>
        </is>
      </c>
      <c r="E735" t="inlineStr">
        <is>
          <t>ÄLMHULT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47383-2021</t>
        </is>
      </c>
      <c r="B736" s="1" t="n">
        <v>44447</v>
      </c>
      <c r="C736" s="1" t="n">
        <v>45957</v>
      </c>
      <c r="D736" t="inlineStr">
        <is>
          <t>KRONOBERGS LÄN</t>
        </is>
      </c>
      <c r="E736" t="inlineStr">
        <is>
          <t>ALVESTA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47399-2021</t>
        </is>
      </c>
      <c r="B737" s="1" t="n">
        <v>44447</v>
      </c>
      <c r="C737" s="1" t="n">
        <v>45957</v>
      </c>
      <c r="D737" t="inlineStr">
        <is>
          <t>KRONOBERGS LÄN</t>
        </is>
      </c>
      <c r="E737" t="inlineStr">
        <is>
          <t>TINGSRYD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47414-2021</t>
        </is>
      </c>
      <c r="B738" s="1" t="n">
        <v>44447</v>
      </c>
      <c r="C738" s="1" t="n">
        <v>45957</v>
      </c>
      <c r="D738" t="inlineStr">
        <is>
          <t>KRONOBERGS LÄN</t>
        </is>
      </c>
      <c r="E738" t="inlineStr">
        <is>
          <t>ÄLMHULT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55622-2021</t>
        </is>
      </c>
      <c r="B739" s="1" t="n">
        <v>44476</v>
      </c>
      <c r="C739" s="1" t="n">
        <v>45957</v>
      </c>
      <c r="D739" t="inlineStr">
        <is>
          <t>KRONOBERGS LÄN</t>
        </is>
      </c>
      <c r="E739" t="inlineStr">
        <is>
          <t>VÄXJÖ</t>
        </is>
      </c>
      <c r="G739" t="n">
        <v>0.2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69768-2021</t>
        </is>
      </c>
      <c r="B740" s="1" t="n">
        <v>44532</v>
      </c>
      <c r="C740" s="1" t="n">
        <v>45957</v>
      </c>
      <c r="D740" t="inlineStr">
        <is>
          <t>KRONOBERGS LÄN</t>
        </is>
      </c>
      <c r="E740" t="inlineStr">
        <is>
          <t>TINGSRYD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60165-2021</t>
        </is>
      </c>
      <c r="B741" s="1" t="n">
        <v>44495</v>
      </c>
      <c r="C741" s="1" t="n">
        <v>45957</v>
      </c>
      <c r="D741" t="inlineStr">
        <is>
          <t>KRONOBERGS LÄN</t>
        </is>
      </c>
      <c r="E741" t="inlineStr">
        <is>
          <t>VÄXJÖ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1805-2021</t>
        </is>
      </c>
      <c r="B742" s="1" t="n">
        <v>44210.3690625</v>
      </c>
      <c r="C742" s="1" t="n">
        <v>45957</v>
      </c>
      <c r="D742" t="inlineStr">
        <is>
          <t>KRONOBERGS LÄN</t>
        </is>
      </c>
      <c r="E742" t="inlineStr">
        <is>
          <t>LESSEBO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63129-2020</t>
        </is>
      </c>
      <c r="B743" s="1" t="n">
        <v>44162</v>
      </c>
      <c r="C743" s="1" t="n">
        <v>45957</v>
      </c>
      <c r="D743" t="inlineStr">
        <is>
          <t>KRONOBERGS LÄN</t>
        </is>
      </c>
      <c r="E743" t="inlineStr">
        <is>
          <t>ÄLMHULT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38993-2021</t>
        </is>
      </c>
      <c r="B744" s="1" t="n">
        <v>44412</v>
      </c>
      <c r="C744" s="1" t="n">
        <v>45957</v>
      </c>
      <c r="D744" t="inlineStr">
        <is>
          <t>KRONOBERGS LÄN</t>
        </is>
      </c>
      <c r="E744" t="inlineStr">
        <is>
          <t>ALVESTA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1784-2021</t>
        </is>
      </c>
      <c r="B745" s="1" t="n">
        <v>44210</v>
      </c>
      <c r="C745" s="1" t="n">
        <v>45957</v>
      </c>
      <c r="D745" t="inlineStr">
        <is>
          <t>KRONOBERGS LÄN</t>
        </is>
      </c>
      <c r="E745" t="inlineStr">
        <is>
          <t>LESSEBO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62684-2021</t>
        </is>
      </c>
      <c r="B746" s="1" t="n">
        <v>44504</v>
      </c>
      <c r="C746" s="1" t="n">
        <v>45957</v>
      </c>
      <c r="D746" t="inlineStr">
        <is>
          <t>KRONOBERGS LÄN</t>
        </is>
      </c>
      <c r="E746" t="inlineStr">
        <is>
          <t>ÄLMHULT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62695-2021</t>
        </is>
      </c>
      <c r="B747" s="1" t="n">
        <v>44504</v>
      </c>
      <c r="C747" s="1" t="n">
        <v>45957</v>
      </c>
      <c r="D747" t="inlineStr">
        <is>
          <t>KRONOBERGS LÄN</t>
        </is>
      </c>
      <c r="E747" t="inlineStr">
        <is>
          <t>ALVESTA</t>
        </is>
      </c>
      <c r="G747" t="n">
        <v>5.5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48845-2022</t>
        </is>
      </c>
      <c r="B748" s="1" t="n">
        <v>44859.67766203704</v>
      </c>
      <c r="C748" s="1" t="n">
        <v>45957</v>
      </c>
      <c r="D748" t="inlineStr">
        <is>
          <t>KRONOBERGS LÄN</t>
        </is>
      </c>
      <c r="E748" t="inlineStr">
        <is>
          <t>MARKARYD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8355-2021</t>
        </is>
      </c>
      <c r="B749" s="1" t="n">
        <v>44244</v>
      </c>
      <c r="C749" s="1" t="n">
        <v>45957</v>
      </c>
      <c r="D749" t="inlineStr">
        <is>
          <t>KRONOBERGS LÄN</t>
        </is>
      </c>
      <c r="E749" t="inlineStr">
        <is>
          <t>VÄXJÖ</t>
        </is>
      </c>
      <c r="G749" t="n">
        <v>15.8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8367-2021</t>
        </is>
      </c>
      <c r="B750" s="1" t="n">
        <v>44244</v>
      </c>
      <c r="C750" s="1" t="n">
        <v>45957</v>
      </c>
      <c r="D750" t="inlineStr">
        <is>
          <t>KRONOBERGS LÄN</t>
        </is>
      </c>
      <c r="E750" t="inlineStr">
        <is>
          <t>VÄXJÖ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6058-2022</t>
        </is>
      </c>
      <c r="B751" s="1" t="n">
        <v>44599.55104166667</v>
      </c>
      <c r="C751" s="1" t="n">
        <v>45957</v>
      </c>
      <c r="D751" t="inlineStr">
        <is>
          <t>KRONOBERGS LÄN</t>
        </is>
      </c>
      <c r="E751" t="inlineStr">
        <is>
          <t>VÄXJÖ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49084-2021</t>
        </is>
      </c>
      <c r="B752" s="1" t="n">
        <v>44453.64589120371</v>
      </c>
      <c r="C752" s="1" t="n">
        <v>45957</v>
      </c>
      <c r="D752" t="inlineStr">
        <is>
          <t>KRONOBERGS LÄN</t>
        </is>
      </c>
      <c r="E752" t="inlineStr">
        <is>
          <t>ÄLMHULT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32764-2021</t>
        </is>
      </c>
      <c r="B753" s="1" t="n">
        <v>44375</v>
      </c>
      <c r="C753" s="1" t="n">
        <v>45957</v>
      </c>
      <c r="D753" t="inlineStr">
        <is>
          <t>KRONOBERGS LÄN</t>
        </is>
      </c>
      <c r="E753" t="inlineStr">
        <is>
          <t>UPPVIDINGE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36089-2021</t>
        </is>
      </c>
      <c r="B754" s="1" t="n">
        <v>44389.50287037037</v>
      </c>
      <c r="C754" s="1" t="n">
        <v>45957</v>
      </c>
      <c r="D754" t="inlineStr">
        <is>
          <t>KRONOBERGS LÄN</t>
        </is>
      </c>
      <c r="E754" t="inlineStr">
        <is>
          <t>VÄXJÖ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12689-2021</t>
        </is>
      </c>
      <c r="B755" s="1" t="n">
        <v>44270.5584375</v>
      </c>
      <c r="C755" s="1" t="n">
        <v>45957</v>
      </c>
      <c r="D755" t="inlineStr">
        <is>
          <t>KRONOBERGS LÄN</t>
        </is>
      </c>
      <c r="E755" t="inlineStr">
        <is>
          <t>UPPVIDINGE</t>
        </is>
      </c>
      <c r="F755" t="inlineStr">
        <is>
          <t>Sveaskog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8140-2022</t>
        </is>
      </c>
      <c r="B756" s="1" t="n">
        <v>44609.61655092592</v>
      </c>
      <c r="C756" s="1" t="n">
        <v>45957</v>
      </c>
      <c r="D756" t="inlineStr">
        <is>
          <t>KRONOBERGS LÄN</t>
        </is>
      </c>
      <c r="E756" t="inlineStr">
        <is>
          <t>ALVESTA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61906-2021</t>
        </is>
      </c>
      <c r="B757" s="1" t="n">
        <v>44502.34869212963</v>
      </c>
      <c r="C757" s="1" t="n">
        <v>45957</v>
      </c>
      <c r="D757" t="inlineStr">
        <is>
          <t>KRONOBERGS LÄN</t>
        </is>
      </c>
      <c r="E757" t="inlineStr">
        <is>
          <t>LJUNGBY</t>
        </is>
      </c>
      <c r="G757" t="n">
        <v>5.6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6823-2022</t>
        </is>
      </c>
      <c r="B758" s="1" t="n">
        <v>44602.59478009259</v>
      </c>
      <c r="C758" s="1" t="n">
        <v>45957</v>
      </c>
      <c r="D758" t="inlineStr">
        <is>
          <t>KRONOBERGS LÄN</t>
        </is>
      </c>
      <c r="E758" t="inlineStr">
        <is>
          <t>ÄLMHULT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51387-2021</t>
        </is>
      </c>
      <c r="B759" s="1" t="n">
        <v>44461.69494212963</v>
      </c>
      <c r="C759" s="1" t="n">
        <v>45957</v>
      </c>
      <c r="D759" t="inlineStr">
        <is>
          <t>KRONOBERGS LÄN</t>
        </is>
      </c>
      <c r="E759" t="inlineStr">
        <is>
          <t>LJUNGBY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49683-2021</t>
        </is>
      </c>
      <c r="B760" s="1" t="n">
        <v>44455</v>
      </c>
      <c r="C760" s="1" t="n">
        <v>45957</v>
      </c>
      <c r="D760" t="inlineStr">
        <is>
          <t>KRONOBERGS LÄN</t>
        </is>
      </c>
      <c r="E760" t="inlineStr">
        <is>
          <t>TINGSRYD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50335-2021</t>
        </is>
      </c>
      <c r="B761" s="1" t="n">
        <v>44459.41479166667</v>
      </c>
      <c r="C761" s="1" t="n">
        <v>45957</v>
      </c>
      <c r="D761" t="inlineStr">
        <is>
          <t>KRONOBERGS LÄN</t>
        </is>
      </c>
      <c r="E761" t="inlineStr">
        <is>
          <t>TINGSRYD</t>
        </is>
      </c>
      <c r="G761" t="n">
        <v>3.2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14247-2022</t>
        </is>
      </c>
      <c r="B762" s="1" t="n">
        <v>44651</v>
      </c>
      <c r="C762" s="1" t="n">
        <v>45957</v>
      </c>
      <c r="D762" t="inlineStr">
        <is>
          <t>KRONOBERGS LÄN</t>
        </is>
      </c>
      <c r="E762" t="inlineStr">
        <is>
          <t>VÄXJÖ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53251-2022</t>
        </is>
      </c>
      <c r="B763" s="1" t="n">
        <v>44876.69045138889</v>
      </c>
      <c r="C763" s="1" t="n">
        <v>45957</v>
      </c>
      <c r="D763" t="inlineStr">
        <is>
          <t>KRONOBERGS LÄN</t>
        </is>
      </c>
      <c r="E763" t="inlineStr">
        <is>
          <t>VÄXJÖ</t>
        </is>
      </c>
      <c r="F763" t="inlineStr">
        <is>
          <t>Sveaskog</t>
        </is>
      </c>
      <c r="G763" t="n">
        <v>3.6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30611-2021</t>
        </is>
      </c>
      <c r="B764" s="1" t="n">
        <v>44364</v>
      </c>
      <c r="C764" s="1" t="n">
        <v>45957</v>
      </c>
      <c r="D764" t="inlineStr">
        <is>
          <t>KRONOBERGS LÄN</t>
        </is>
      </c>
      <c r="E764" t="inlineStr">
        <is>
          <t>UPPVIDINGE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12449-2021</t>
        </is>
      </c>
      <c r="B765" s="1" t="n">
        <v>44267</v>
      </c>
      <c r="C765" s="1" t="n">
        <v>45957</v>
      </c>
      <c r="D765" t="inlineStr">
        <is>
          <t>KRONOBERGS LÄN</t>
        </is>
      </c>
      <c r="E765" t="inlineStr">
        <is>
          <t>LJUNGBY</t>
        </is>
      </c>
      <c r="G765" t="n">
        <v>0.3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53352-2022</t>
        </is>
      </c>
      <c r="B766" s="1" t="n">
        <v>44879.36677083333</v>
      </c>
      <c r="C766" s="1" t="n">
        <v>45957</v>
      </c>
      <c r="D766" t="inlineStr">
        <is>
          <t>KRONOBERGS LÄN</t>
        </is>
      </c>
      <c r="E766" t="inlineStr">
        <is>
          <t>TINGSRYD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37337-2021</t>
        </is>
      </c>
      <c r="B767" s="1" t="n">
        <v>44397</v>
      </c>
      <c r="C767" s="1" t="n">
        <v>45957</v>
      </c>
      <c r="D767" t="inlineStr">
        <is>
          <t>KRONOBERGS LÄN</t>
        </is>
      </c>
      <c r="E767" t="inlineStr">
        <is>
          <t>ÄLMHULT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57654-2020</t>
        </is>
      </c>
      <c r="B768" s="1" t="n">
        <v>44140</v>
      </c>
      <c r="C768" s="1" t="n">
        <v>45957</v>
      </c>
      <c r="D768" t="inlineStr">
        <is>
          <t>KRONOBERGS LÄN</t>
        </is>
      </c>
      <c r="E768" t="inlineStr">
        <is>
          <t>LESSEBO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15272-2021</t>
        </is>
      </c>
      <c r="B769" s="1" t="n">
        <v>44284.57021990741</v>
      </c>
      <c r="C769" s="1" t="n">
        <v>45957</v>
      </c>
      <c r="D769" t="inlineStr">
        <is>
          <t>KRONOBERGS LÄN</t>
        </is>
      </c>
      <c r="E769" t="inlineStr">
        <is>
          <t>VÄXJÖ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67169-2020</t>
        </is>
      </c>
      <c r="B770" s="1" t="n">
        <v>44180</v>
      </c>
      <c r="C770" s="1" t="n">
        <v>45957</v>
      </c>
      <c r="D770" t="inlineStr">
        <is>
          <t>KRONOBERGS LÄN</t>
        </is>
      </c>
      <c r="E770" t="inlineStr">
        <is>
          <t>VÄXJÖ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63586-2020</t>
        </is>
      </c>
      <c r="B771" s="1" t="n">
        <v>44165</v>
      </c>
      <c r="C771" s="1" t="n">
        <v>45957</v>
      </c>
      <c r="D771" t="inlineStr">
        <is>
          <t>KRONOBERGS LÄN</t>
        </is>
      </c>
      <c r="E771" t="inlineStr">
        <is>
          <t>LJUNGBY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50270-2021</t>
        </is>
      </c>
      <c r="B772" s="1" t="n">
        <v>44459</v>
      </c>
      <c r="C772" s="1" t="n">
        <v>45957</v>
      </c>
      <c r="D772" t="inlineStr">
        <is>
          <t>KRONOBERGS LÄN</t>
        </is>
      </c>
      <c r="E772" t="inlineStr">
        <is>
          <t>LJUNGBY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8530-2021</t>
        </is>
      </c>
      <c r="B773" s="1" t="n">
        <v>44245.62716435185</v>
      </c>
      <c r="C773" s="1" t="n">
        <v>45957</v>
      </c>
      <c r="D773" t="inlineStr">
        <is>
          <t>KRONOBERGS LÄN</t>
        </is>
      </c>
      <c r="E773" t="inlineStr">
        <is>
          <t>ÄLMHULT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5494-2022</t>
        </is>
      </c>
      <c r="B774" s="1" t="n">
        <v>44595.53346064815</v>
      </c>
      <c r="C774" s="1" t="n">
        <v>45957</v>
      </c>
      <c r="D774" t="inlineStr">
        <is>
          <t>KRONOBERGS LÄN</t>
        </is>
      </c>
      <c r="E774" t="inlineStr">
        <is>
          <t>TINGSRYD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12386-2021</t>
        </is>
      </c>
      <c r="B775" s="1" t="n">
        <v>44267.52525462963</v>
      </c>
      <c r="C775" s="1" t="n">
        <v>45957</v>
      </c>
      <c r="D775" t="inlineStr">
        <is>
          <t>KRONOBERGS LÄN</t>
        </is>
      </c>
      <c r="E775" t="inlineStr">
        <is>
          <t>TINGSRYD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56708-2020</t>
        </is>
      </c>
      <c r="B776" s="1" t="n">
        <v>44137.73322916667</v>
      </c>
      <c r="C776" s="1" t="n">
        <v>45957</v>
      </c>
      <c r="D776" t="inlineStr">
        <is>
          <t>KRONOBERGS LÄN</t>
        </is>
      </c>
      <c r="E776" t="inlineStr">
        <is>
          <t>LJUNGBY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16462-2022</t>
        </is>
      </c>
      <c r="B777" s="1" t="n">
        <v>44671</v>
      </c>
      <c r="C777" s="1" t="n">
        <v>45957</v>
      </c>
      <c r="D777" t="inlineStr">
        <is>
          <t>KRONOBERGS LÄN</t>
        </is>
      </c>
      <c r="E777" t="inlineStr">
        <is>
          <t>VÄXJÖ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7784-2021</t>
        </is>
      </c>
      <c r="B778" s="1" t="n">
        <v>44242</v>
      </c>
      <c r="C778" s="1" t="n">
        <v>45957</v>
      </c>
      <c r="D778" t="inlineStr">
        <is>
          <t>KRONOBERGS LÄN</t>
        </is>
      </c>
      <c r="E778" t="inlineStr">
        <is>
          <t>VÄXJÖ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45672-2021</t>
        </is>
      </c>
      <c r="B779" s="1" t="n">
        <v>44441</v>
      </c>
      <c r="C779" s="1" t="n">
        <v>45957</v>
      </c>
      <c r="D779" t="inlineStr">
        <is>
          <t>KRONOBERGS LÄN</t>
        </is>
      </c>
      <c r="E779" t="inlineStr">
        <is>
          <t>LJUNGBY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57989-2021</t>
        </is>
      </c>
      <c r="B780" s="1" t="n">
        <v>44487.40401620371</v>
      </c>
      <c r="C780" s="1" t="n">
        <v>45957</v>
      </c>
      <c r="D780" t="inlineStr">
        <is>
          <t>KRONOBERGS LÄN</t>
        </is>
      </c>
      <c r="E780" t="inlineStr">
        <is>
          <t>ALVESTA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55064-2021</t>
        </is>
      </c>
      <c r="B781" s="1" t="n">
        <v>44474</v>
      </c>
      <c r="C781" s="1" t="n">
        <v>45957</v>
      </c>
      <c r="D781" t="inlineStr">
        <is>
          <t>KRONOBERGS LÄN</t>
        </is>
      </c>
      <c r="E781" t="inlineStr">
        <is>
          <t>MARKARYD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59721-2021</t>
        </is>
      </c>
      <c r="B782" s="1" t="n">
        <v>44494.42767361111</v>
      </c>
      <c r="C782" s="1" t="n">
        <v>45957</v>
      </c>
      <c r="D782" t="inlineStr">
        <is>
          <t>KRONOBERGS LÄN</t>
        </is>
      </c>
      <c r="E782" t="inlineStr">
        <is>
          <t>TINGSRYD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11649-2021</t>
        </is>
      </c>
      <c r="B783" s="1" t="n">
        <v>44264</v>
      </c>
      <c r="C783" s="1" t="n">
        <v>45957</v>
      </c>
      <c r="D783" t="inlineStr">
        <is>
          <t>KRONOBERGS LÄN</t>
        </is>
      </c>
      <c r="E783" t="inlineStr">
        <is>
          <t>VÄXJÖ</t>
        </is>
      </c>
      <c r="F783" t="inlineStr">
        <is>
          <t>Sveaskog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11651-2021</t>
        </is>
      </c>
      <c r="B784" s="1" t="n">
        <v>44264</v>
      </c>
      <c r="C784" s="1" t="n">
        <v>45957</v>
      </c>
      <c r="D784" t="inlineStr">
        <is>
          <t>KRONOBERGS LÄN</t>
        </is>
      </c>
      <c r="E784" t="inlineStr">
        <is>
          <t>VÄXJÖ</t>
        </is>
      </c>
      <c r="F784" t="inlineStr">
        <is>
          <t>Sveaskog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52870-2022</t>
        </is>
      </c>
      <c r="B785" s="1" t="n">
        <v>44875.49847222222</v>
      </c>
      <c r="C785" s="1" t="n">
        <v>45957</v>
      </c>
      <c r="D785" t="inlineStr">
        <is>
          <t>KRONOBERGS LÄN</t>
        </is>
      </c>
      <c r="E785" t="inlineStr">
        <is>
          <t>MARKARYD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52610-2021</t>
        </is>
      </c>
      <c r="B786" s="1" t="n">
        <v>44466.60013888889</v>
      </c>
      <c r="C786" s="1" t="n">
        <v>45957</v>
      </c>
      <c r="D786" t="inlineStr">
        <is>
          <t>KRONOBERGS LÄN</t>
        </is>
      </c>
      <c r="E786" t="inlineStr">
        <is>
          <t>VÄXJÖ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52611-2021</t>
        </is>
      </c>
      <c r="B787" s="1" t="n">
        <v>44466.60142361111</v>
      </c>
      <c r="C787" s="1" t="n">
        <v>45957</v>
      </c>
      <c r="D787" t="inlineStr">
        <is>
          <t>KRONOBERGS LÄN</t>
        </is>
      </c>
      <c r="E787" t="inlineStr">
        <is>
          <t>TINGSRYD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57490-2020</t>
        </is>
      </c>
      <c r="B788" s="1" t="n">
        <v>44140</v>
      </c>
      <c r="C788" s="1" t="n">
        <v>45957</v>
      </c>
      <c r="D788" t="inlineStr">
        <is>
          <t>KRONOBERGS LÄN</t>
        </is>
      </c>
      <c r="E788" t="inlineStr">
        <is>
          <t>VÄXJÖ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60273-2021</t>
        </is>
      </c>
      <c r="B789" s="1" t="n">
        <v>44495.68931712963</v>
      </c>
      <c r="C789" s="1" t="n">
        <v>45957</v>
      </c>
      <c r="D789" t="inlineStr">
        <is>
          <t>KRONOBERGS LÄN</t>
        </is>
      </c>
      <c r="E789" t="inlineStr">
        <is>
          <t>LJUNGBY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60349-2021</t>
        </is>
      </c>
      <c r="B790" s="1" t="n">
        <v>44496</v>
      </c>
      <c r="C790" s="1" t="n">
        <v>45957</v>
      </c>
      <c r="D790" t="inlineStr">
        <is>
          <t>KRONOBERGS LÄN</t>
        </is>
      </c>
      <c r="E790" t="inlineStr">
        <is>
          <t>VÄXJÖ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476-2021</t>
        </is>
      </c>
      <c r="B791" s="1" t="n">
        <v>44201</v>
      </c>
      <c r="C791" s="1" t="n">
        <v>45957</v>
      </c>
      <c r="D791" t="inlineStr">
        <is>
          <t>KRONOBERGS LÄN</t>
        </is>
      </c>
      <c r="E791" t="inlineStr">
        <is>
          <t>UPPVIDINGE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67889-2021</t>
        </is>
      </c>
      <c r="B792" s="1" t="n">
        <v>44525.55510416667</v>
      </c>
      <c r="C792" s="1" t="n">
        <v>45957</v>
      </c>
      <c r="D792" t="inlineStr">
        <is>
          <t>KRONOBERGS LÄN</t>
        </is>
      </c>
      <c r="E792" t="inlineStr">
        <is>
          <t>ALVESTA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37311-2021</t>
        </is>
      </c>
      <c r="B793" s="1" t="n">
        <v>44397</v>
      </c>
      <c r="C793" s="1" t="n">
        <v>45957</v>
      </c>
      <c r="D793" t="inlineStr">
        <is>
          <t>KRONOBERGS LÄN</t>
        </is>
      </c>
      <c r="E793" t="inlineStr">
        <is>
          <t>VÄXJÖ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37324-2021</t>
        </is>
      </c>
      <c r="B794" s="1" t="n">
        <v>44396</v>
      </c>
      <c r="C794" s="1" t="n">
        <v>45957</v>
      </c>
      <c r="D794" t="inlineStr">
        <is>
          <t>KRONOBERGS LÄN</t>
        </is>
      </c>
      <c r="E794" t="inlineStr">
        <is>
          <t>VÄXJÖ</t>
        </is>
      </c>
      <c r="F794" t="inlineStr">
        <is>
          <t>Kommuner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50006-2021</t>
        </is>
      </c>
      <c r="B795" s="1" t="n">
        <v>44456.47127314815</v>
      </c>
      <c r="C795" s="1" t="n">
        <v>45957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73661-2021</t>
        </is>
      </c>
      <c r="B796" s="1" t="n">
        <v>44552.45563657407</v>
      </c>
      <c r="C796" s="1" t="n">
        <v>45957</v>
      </c>
      <c r="D796" t="inlineStr">
        <is>
          <t>KRONOBERGS LÄN</t>
        </is>
      </c>
      <c r="E796" t="inlineStr">
        <is>
          <t>UPPVIDINGE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31628-2021</t>
        </is>
      </c>
      <c r="B797" s="1" t="n">
        <v>44369.60105324074</v>
      </c>
      <c r="C797" s="1" t="n">
        <v>45957</v>
      </c>
      <c r="D797" t="inlineStr">
        <is>
          <t>KRONOBERGS LÄN</t>
        </is>
      </c>
      <c r="E797" t="inlineStr">
        <is>
          <t>TINGSRYD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57470-2021</t>
        </is>
      </c>
      <c r="B798" s="1" t="n">
        <v>44483.66988425926</v>
      </c>
      <c r="C798" s="1" t="n">
        <v>45957</v>
      </c>
      <c r="D798" t="inlineStr">
        <is>
          <t>KRONOBERGS LÄN</t>
        </is>
      </c>
      <c r="E798" t="inlineStr">
        <is>
          <t>UPPVIDINGE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57471-2021</t>
        </is>
      </c>
      <c r="B799" s="1" t="n">
        <v>44483.67144675926</v>
      </c>
      <c r="C799" s="1" t="n">
        <v>45957</v>
      </c>
      <c r="D799" t="inlineStr">
        <is>
          <t>KRONOBERGS LÄN</t>
        </is>
      </c>
      <c r="E799" t="inlineStr">
        <is>
          <t>UPPVIDINGE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32736-2021</t>
        </is>
      </c>
      <c r="B800" s="1" t="n">
        <v>44375</v>
      </c>
      <c r="C800" s="1" t="n">
        <v>45957</v>
      </c>
      <c r="D800" t="inlineStr">
        <is>
          <t>KRONOBERGS LÄN</t>
        </is>
      </c>
      <c r="E800" t="inlineStr">
        <is>
          <t>UPPVIDINGE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58781-2021</t>
        </is>
      </c>
      <c r="B801" s="1" t="n">
        <v>44489</v>
      </c>
      <c r="C801" s="1" t="n">
        <v>45957</v>
      </c>
      <c r="D801" t="inlineStr">
        <is>
          <t>KRONOBERGS LÄN</t>
        </is>
      </c>
      <c r="E801" t="inlineStr">
        <is>
          <t>TINGSRYD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55353-2021</t>
        </is>
      </c>
      <c r="B802" s="1" t="n">
        <v>44475</v>
      </c>
      <c r="C802" s="1" t="n">
        <v>45957</v>
      </c>
      <c r="D802" t="inlineStr">
        <is>
          <t>KRONOBERGS LÄN</t>
        </is>
      </c>
      <c r="E802" t="inlineStr">
        <is>
          <t>UPPVIDINGE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26564-2021</t>
        </is>
      </c>
      <c r="B803" s="1" t="n">
        <v>44348.55476851852</v>
      </c>
      <c r="C803" s="1" t="n">
        <v>45957</v>
      </c>
      <c r="D803" t="inlineStr">
        <is>
          <t>KRONOBERGS LÄN</t>
        </is>
      </c>
      <c r="E803" t="inlineStr">
        <is>
          <t>LESSEBO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64656-2020</t>
        </is>
      </c>
      <c r="B804" s="1" t="n">
        <v>44169</v>
      </c>
      <c r="C804" s="1" t="n">
        <v>45957</v>
      </c>
      <c r="D804" t="inlineStr">
        <is>
          <t>KRONOBERGS LÄN</t>
        </is>
      </c>
      <c r="E804" t="inlineStr">
        <is>
          <t>LJUNGBY</t>
        </is>
      </c>
      <c r="G804" t="n">
        <v>0.1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29183-2021</t>
        </is>
      </c>
      <c r="B805" s="1" t="n">
        <v>44358</v>
      </c>
      <c r="C805" s="1" t="n">
        <v>45957</v>
      </c>
      <c r="D805" t="inlineStr">
        <is>
          <t>KRONOBERGS LÄN</t>
        </is>
      </c>
      <c r="E805" t="inlineStr">
        <is>
          <t>VÄXJÖ</t>
        </is>
      </c>
      <c r="F805" t="inlineStr">
        <is>
          <t>Kyrkan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29160-2022</t>
        </is>
      </c>
      <c r="B806" s="1" t="n">
        <v>44750</v>
      </c>
      <c r="C806" s="1" t="n">
        <v>45957</v>
      </c>
      <c r="D806" t="inlineStr">
        <is>
          <t>KRONOBERGS LÄN</t>
        </is>
      </c>
      <c r="E806" t="inlineStr">
        <is>
          <t>VÄXJÖ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33135-2021</t>
        </is>
      </c>
      <c r="B807" s="1" t="n">
        <v>44376</v>
      </c>
      <c r="C807" s="1" t="n">
        <v>45957</v>
      </c>
      <c r="D807" t="inlineStr">
        <is>
          <t>KRONOBERGS LÄN</t>
        </is>
      </c>
      <c r="E807" t="inlineStr">
        <is>
          <t>TINGSRYD</t>
        </is>
      </c>
      <c r="G807" t="n">
        <v>3.9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62479-2021</t>
        </is>
      </c>
      <c r="B808" s="1" t="n">
        <v>44503</v>
      </c>
      <c r="C808" s="1" t="n">
        <v>45957</v>
      </c>
      <c r="D808" t="inlineStr">
        <is>
          <t>KRONOBERGS LÄN</t>
        </is>
      </c>
      <c r="E808" t="inlineStr">
        <is>
          <t>UPPVIDINGE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68683-2021</t>
        </is>
      </c>
      <c r="B809" s="1" t="n">
        <v>44529.64541666667</v>
      </c>
      <c r="C809" s="1" t="n">
        <v>45957</v>
      </c>
      <c r="D809" t="inlineStr">
        <is>
          <t>KRONOBERGS LÄN</t>
        </is>
      </c>
      <c r="E809" t="inlineStr">
        <is>
          <t>TINGSRYD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11580-2022</t>
        </is>
      </c>
      <c r="B810" s="1" t="n">
        <v>44631.51841435185</v>
      </c>
      <c r="C810" s="1" t="n">
        <v>45957</v>
      </c>
      <c r="D810" t="inlineStr">
        <is>
          <t>KRONOBERGS LÄN</t>
        </is>
      </c>
      <c r="E810" t="inlineStr">
        <is>
          <t>TINGSRYD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13589-2022</t>
        </is>
      </c>
      <c r="B811" s="1" t="n">
        <v>44648</v>
      </c>
      <c r="C811" s="1" t="n">
        <v>45957</v>
      </c>
      <c r="D811" t="inlineStr">
        <is>
          <t>KRONOBERGS LÄN</t>
        </is>
      </c>
      <c r="E811" t="inlineStr">
        <is>
          <t>TINGSRYD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35334-2022</t>
        </is>
      </c>
      <c r="B812" s="1" t="n">
        <v>44798</v>
      </c>
      <c r="C812" s="1" t="n">
        <v>45957</v>
      </c>
      <c r="D812" t="inlineStr">
        <is>
          <t>KRONOBERGS LÄN</t>
        </is>
      </c>
      <c r="E812" t="inlineStr">
        <is>
          <t>TINGSRYD</t>
        </is>
      </c>
      <c r="G812" t="n">
        <v>0.1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707-2022</t>
        </is>
      </c>
      <c r="B813" s="1" t="n">
        <v>44568.5809837963</v>
      </c>
      <c r="C813" s="1" t="n">
        <v>45957</v>
      </c>
      <c r="D813" t="inlineStr">
        <is>
          <t>KRONOBERGS LÄN</t>
        </is>
      </c>
      <c r="E813" t="inlineStr">
        <is>
          <t>VÄXJÖ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34663-2021</t>
        </is>
      </c>
      <c r="B814" s="1" t="n">
        <v>44381</v>
      </c>
      <c r="C814" s="1" t="n">
        <v>45957</v>
      </c>
      <c r="D814" t="inlineStr">
        <is>
          <t>KRONOBERGS LÄN</t>
        </is>
      </c>
      <c r="E814" t="inlineStr">
        <is>
          <t>LJUNGBY</t>
        </is>
      </c>
      <c r="G814" t="n">
        <v>6.3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34229-2021</t>
        </is>
      </c>
      <c r="B815" s="1" t="n">
        <v>44379.55038194444</v>
      </c>
      <c r="C815" s="1" t="n">
        <v>45957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35131-2021</t>
        </is>
      </c>
      <c r="B816" s="1" t="n">
        <v>44384.39226851852</v>
      </c>
      <c r="C816" s="1" t="n">
        <v>45957</v>
      </c>
      <c r="D816" t="inlineStr">
        <is>
          <t>KRONOBERGS LÄN</t>
        </is>
      </c>
      <c r="E816" t="inlineStr">
        <is>
          <t>LJUNGBY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64662-2020</t>
        </is>
      </c>
      <c r="B817" s="1" t="n">
        <v>44169</v>
      </c>
      <c r="C817" s="1" t="n">
        <v>45957</v>
      </c>
      <c r="D817" t="inlineStr">
        <is>
          <t>KRONOBERGS LÄN</t>
        </is>
      </c>
      <c r="E817" t="inlineStr">
        <is>
          <t>LJUNGBY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55282-2020</t>
        </is>
      </c>
      <c r="B818" s="1" t="n">
        <v>44130</v>
      </c>
      <c r="C818" s="1" t="n">
        <v>45957</v>
      </c>
      <c r="D818" t="inlineStr">
        <is>
          <t>KRONOBERGS LÄN</t>
        </is>
      </c>
      <c r="E818" t="inlineStr">
        <is>
          <t>LJUNGBY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55916-2021</t>
        </is>
      </c>
      <c r="B819" s="1" t="n">
        <v>44476</v>
      </c>
      <c r="C819" s="1" t="n">
        <v>45957</v>
      </c>
      <c r="D819" t="inlineStr">
        <is>
          <t>KRONOBERGS LÄN</t>
        </is>
      </c>
      <c r="E819" t="inlineStr">
        <is>
          <t>LJUNGBY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40496-2021</t>
        </is>
      </c>
      <c r="B820" s="1" t="n">
        <v>44420.32788194445</v>
      </c>
      <c r="C820" s="1" t="n">
        <v>45957</v>
      </c>
      <c r="D820" t="inlineStr">
        <is>
          <t>KRONOBERGS LÄN</t>
        </is>
      </c>
      <c r="E820" t="inlineStr">
        <is>
          <t>VÄXJÖ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67638-2020</t>
        </is>
      </c>
      <c r="B821" s="1" t="n">
        <v>44182</v>
      </c>
      <c r="C821" s="1" t="n">
        <v>45957</v>
      </c>
      <c r="D821" t="inlineStr">
        <is>
          <t>KRONOBERGS LÄN</t>
        </is>
      </c>
      <c r="E821" t="inlineStr">
        <is>
          <t>TINGSRYD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67927-2020</t>
        </is>
      </c>
      <c r="B822" s="1" t="n">
        <v>44182</v>
      </c>
      <c r="C822" s="1" t="n">
        <v>45957</v>
      </c>
      <c r="D822" t="inlineStr">
        <is>
          <t>KRONOBERGS LÄN</t>
        </is>
      </c>
      <c r="E822" t="inlineStr">
        <is>
          <t>ALVESTA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67984-2020</t>
        </is>
      </c>
      <c r="B823" s="1" t="n">
        <v>44182</v>
      </c>
      <c r="C823" s="1" t="n">
        <v>45957</v>
      </c>
      <c r="D823" t="inlineStr">
        <is>
          <t>KRONOBERGS LÄN</t>
        </is>
      </c>
      <c r="E823" t="inlineStr">
        <is>
          <t>ÄLMHULT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64679-2021</t>
        </is>
      </c>
      <c r="B824" s="1" t="n">
        <v>44510</v>
      </c>
      <c r="C824" s="1" t="n">
        <v>45957</v>
      </c>
      <c r="D824" t="inlineStr">
        <is>
          <t>KRONOBERGS LÄN</t>
        </is>
      </c>
      <c r="E824" t="inlineStr">
        <is>
          <t>UPPVIDINGE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64686-2021</t>
        </is>
      </c>
      <c r="B825" s="1" t="n">
        <v>44512.3278587963</v>
      </c>
      <c r="C825" s="1" t="n">
        <v>45957</v>
      </c>
      <c r="D825" t="inlineStr">
        <is>
          <t>KRONOBERGS LÄN</t>
        </is>
      </c>
      <c r="E825" t="inlineStr">
        <is>
          <t>ÄLMHULT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59178-2020</t>
        </is>
      </c>
      <c r="B826" s="1" t="n">
        <v>44147</v>
      </c>
      <c r="C826" s="1" t="n">
        <v>45957</v>
      </c>
      <c r="D826" t="inlineStr">
        <is>
          <t>KRONOBERGS LÄN</t>
        </is>
      </c>
      <c r="E826" t="inlineStr">
        <is>
          <t>ALVESTA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2082-2022</t>
        </is>
      </c>
      <c r="B827" s="1" t="n">
        <v>44576</v>
      </c>
      <c r="C827" s="1" t="n">
        <v>45957</v>
      </c>
      <c r="D827" t="inlineStr">
        <is>
          <t>KRONOBERGS LÄN</t>
        </is>
      </c>
      <c r="E827" t="inlineStr">
        <is>
          <t>LJUNGBY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42318-2021</t>
        </is>
      </c>
      <c r="B828" s="1" t="n">
        <v>44427.38479166666</v>
      </c>
      <c r="C828" s="1" t="n">
        <v>45957</v>
      </c>
      <c r="D828" t="inlineStr">
        <is>
          <t>KRONOBERGS LÄN</t>
        </is>
      </c>
      <c r="E828" t="inlineStr">
        <is>
          <t>TINGSRYD</t>
        </is>
      </c>
      <c r="G828" t="n">
        <v>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42483-2021</t>
        </is>
      </c>
      <c r="B829" s="1" t="n">
        <v>44427.65782407407</v>
      </c>
      <c r="C829" s="1" t="n">
        <v>45957</v>
      </c>
      <c r="D829" t="inlineStr">
        <is>
          <t>KRONOBERGS LÄN</t>
        </is>
      </c>
      <c r="E829" t="inlineStr">
        <is>
          <t>VÄXJÖ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12200-2021</t>
        </is>
      </c>
      <c r="B830" s="1" t="n">
        <v>44266.64517361111</v>
      </c>
      <c r="C830" s="1" t="n">
        <v>45957</v>
      </c>
      <c r="D830" t="inlineStr">
        <is>
          <t>KRONOBERGS LÄN</t>
        </is>
      </c>
      <c r="E830" t="inlineStr">
        <is>
          <t>TINGSRYD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9910-2021</t>
        </is>
      </c>
      <c r="B831" s="1" t="n">
        <v>44253</v>
      </c>
      <c r="C831" s="1" t="n">
        <v>45957</v>
      </c>
      <c r="D831" t="inlineStr">
        <is>
          <t>KRONOBERGS LÄN</t>
        </is>
      </c>
      <c r="E831" t="inlineStr">
        <is>
          <t>ÄLMHULT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49424-2021</t>
        </is>
      </c>
      <c r="B832" s="1" t="n">
        <v>44454.6562962963</v>
      </c>
      <c r="C832" s="1" t="n">
        <v>45957</v>
      </c>
      <c r="D832" t="inlineStr">
        <is>
          <t>KRONOBERGS LÄN</t>
        </is>
      </c>
      <c r="E832" t="inlineStr">
        <is>
          <t>ALVESTA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59169-2020</t>
        </is>
      </c>
      <c r="B833" s="1" t="n">
        <v>44147</v>
      </c>
      <c r="C833" s="1" t="n">
        <v>45957</v>
      </c>
      <c r="D833" t="inlineStr">
        <is>
          <t>KRONOBERGS LÄN</t>
        </is>
      </c>
      <c r="E833" t="inlineStr">
        <is>
          <t>MARKARYD</t>
        </is>
      </c>
      <c r="G833" t="n">
        <v>5.9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46246-2021</t>
        </is>
      </c>
      <c r="B834" s="1" t="n">
        <v>44442.54784722222</v>
      </c>
      <c r="C834" s="1" t="n">
        <v>45957</v>
      </c>
      <c r="D834" t="inlineStr">
        <is>
          <t>KRONOBERGS LÄN</t>
        </is>
      </c>
      <c r="E834" t="inlineStr">
        <is>
          <t>VÄXJÖ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7755-2022</t>
        </is>
      </c>
      <c r="B835" s="1" t="n">
        <v>44608</v>
      </c>
      <c r="C835" s="1" t="n">
        <v>45957</v>
      </c>
      <c r="D835" t="inlineStr">
        <is>
          <t>KRONOBERGS LÄN</t>
        </is>
      </c>
      <c r="E835" t="inlineStr">
        <is>
          <t>TINGSRYD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47812-2021</t>
        </is>
      </c>
      <c r="B836" s="1" t="n">
        <v>44448.62255787037</v>
      </c>
      <c r="C836" s="1" t="n">
        <v>45957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47815-2021</t>
        </is>
      </c>
      <c r="B837" s="1" t="n">
        <v>44448.62701388889</v>
      </c>
      <c r="C837" s="1" t="n">
        <v>45957</v>
      </c>
      <c r="D837" t="inlineStr">
        <is>
          <t>KRONOBERGS LÄN</t>
        </is>
      </c>
      <c r="E837" t="inlineStr">
        <is>
          <t>TINGSRYD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47861-2021</t>
        </is>
      </c>
      <c r="B838" s="1" t="n">
        <v>44448</v>
      </c>
      <c r="C838" s="1" t="n">
        <v>45957</v>
      </c>
      <c r="D838" t="inlineStr">
        <is>
          <t>KRONOBERGS LÄN</t>
        </is>
      </c>
      <c r="E838" t="inlineStr">
        <is>
          <t>ÄLMHULT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39686-2021</t>
        </is>
      </c>
      <c r="B839" s="1" t="n">
        <v>44417</v>
      </c>
      <c r="C839" s="1" t="n">
        <v>45957</v>
      </c>
      <c r="D839" t="inlineStr">
        <is>
          <t>KRONOBERGS LÄN</t>
        </is>
      </c>
      <c r="E839" t="inlineStr">
        <is>
          <t>TINGSRYD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9967-2022</t>
        </is>
      </c>
      <c r="B840" s="1" t="n">
        <v>44621.38096064814</v>
      </c>
      <c r="C840" s="1" t="n">
        <v>45957</v>
      </c>
      <c r="D840" t="inlineStr">
        <is>
          <t>KRONOBERGS LÄN</t>
        </is>
      </c>
      <c r="E840" t="inlineStr">
        <is>
          <t>ÄLMHULT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5474-2021</t>
        </is>
      </c>
      <c r="B841" s="1" t="n">
        <v>44229</v>
      </c>
      <c r="C841" s="1" t="n">
        <v>45957</v>
      </c>
      <c r="D841" t="inlineStr">
        <is>
          <t>KRONOBERGS LÄN</t>
        </is>
      </c>
      <c r="E841" t="inlineStr">
        <is>
          <t>LJUNGBY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71874-2021</t>
        </is>
      </c>
      <c r="B842" s="1" t="n">
        <v>44543.68087962963</v>
      </c>
      <c r="C842" s="1" t="n">
        <v>45957</v>
      </c>
      <c r="D842" t="inlineStr">
        <is>
          <t>KRONOBERGS LÄN</t>
        </is>
      </c>
      <c r="E842" t="inlineStr">
        <is>
          <t>VÄXJÖ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8239-2021</t>
        </is>
      </c>
      <c r="B843" s="1" t="n">
        <v>44244</v>
      </c>
      <c r="C843" s="1" t="n">
        <v>45957</v>
      </c>
      <c r="D843" t="inlineStr">
        <is>
          <t>KRONOBERGS LÄN</t>
        </is>
      </c>
      <c r="E843" t="inlineStr">
        <is>
          <t>VÄXJÖ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7388-2022</t>
        </is>
      </c>
      <c r="B844" s="1" t="n">
        <v>44606</v>
      </c>
      <c r="C844" s="1" t="n">
        <v>45957</v>
      </c>
      <c r="D844" t="inlineStr">
        <is>
          <t>KRONOBERGS LÄN</t>
        </is>
      </c>
      <c r="E844" t="inlineStr">
        <is>
          <t>ALVESTA</t>
        </is>
      </c>
      <c r="F844" t="inlineStr">
        <is>
          <t>Kommuner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41893-2021</t>
        </is>
      </c>
      <c r="B845" s="1" t="n">
        <v>44426.34618055556</v>
      </c>
      <c r="C845" s="1" t="n">
        <v>45957</v>
      </c>
      <c r="D845" t="inlineStr">
        <is>
          <t>KRONOBERGS LÄN</t>
        </is>
      </c>
      <c r="E845" t="inlineStr">
        <is>
          <t>LJUNGBY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42005-2021</t>
        </is>
      </c>
      <c r="B846" s="1" t="n">
        <v>44426</v>
      </c>
      <c r="C846" s="1" t="n">
        <v>45957</v>
      </c>
      <c r="D846" t="inlineStr">
        <is>
          <t>KRONOBERGS LÄN</t>
        </is>
      </c>
      <c r="E846" t="inlineStr">
        <is>
          <t>VÄXJÖ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56859-2021</t>
        </is>
      </c>
      <c r="B847" s="1" t="n">
        <v>44481</v>
      </c>
      <c r="C847" s="1" t="n">
        <v>45957</v>
      </c>
      <c r="D847" t="inlineStr">
        <is>
          <t>KRONOBERGS LÄN</t>
        </is>
      </c>
      <c r="E847" t="inlineStr">
        <is>
          <t>TINGSRYD</t>
        </is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2475-2021</t>
        </is>
      </c>
      <c r="B848" s="1" t="n">
        <v>44214</v>
      </c>
      <c r="C848" s="1" t="n">
        <v>45957</v>
      </c>
      <c r="D848" t="inlineStr">
        <is>
          <t>KRONOBERGS LÄN</t>
        </is>
      </c>
      <c r="E848" t="inlineStr">
        <is>
          <t>UPPVIDINGE</t>
        </is>
      </c>
      <c r="G848" t="n">
        <v>1.5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49430-2021</t>
        </is>
      </c>
      <c r="B849" s="1" t="n">
        <v>44454.65834490741</v>
      </c>
      <c r="C849" s="1" t="n">
        <v>45957</v>
      </c>
      <c r="D849" t="inlineStr">
        <is>
          <t>KRONOBERGS LÄN</t>
        </is>
      </c>
      <c r="E849" t="inlineStr">
        <is>
          <t>ALVESTA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9841-2022</t>
        </is>
      </c>
      <c r="B850" s="1" t="n">
        <v>44620.48642361111</v>
      </c>
      <c r="C850" s="1" t="n">
        <v>45957</v>
      </c>
      <c r="D850" t="inlineStr">
        <is>
          <t>KRONOBERGS LÄN</t>
        </is>
      </c>
      <c r="E850" t="inlineStr">
        <is>
          <t>TINGSRYD</t>
        </is>
      </c>
      <c r="F850" t="inlineStr">
        <is>
          <t>Kommuner</t>
        </is>
      </c>
      <c r="G850" t="n">
        <v>0.4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9870-2022</t>
        </is>
      </c>
      <c r="B851" s="1" t="n">
        <v>44620.56289351852</v>
      </c>
      <c r="C851" s="1" t="n">
        <v>45957</v>
      </c>
      <c r="D851" t="inlineStr">
        <is>
          <t>KRONOBERGS LÄN</t>
        </is>
      </c>
      <c r="E851" t="inlineStr">
        <is>
          <t>TINGSRYD</t>
        </is>
      </c>
      <c r="F851" t="inlineStr">
        <is>
          <t>Kommuner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8216-2022</t>
        </is>
      </c>
      <c r="B852" s="1" t="n">
        <v>44609.87715277778</v>
      </c>
      <c r="C852" s="1" t="n">
        <v>45957</v>
      </c>
      <c r="D852" t="inlineStr">
        <is>
          <t>KRONOBERGS LÄN</t>
        </is>
      </c>
      <c r="E852" t="inlineStr">
        <is>
          <t>ÄLMHULT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54210-2021</t>
        </is>
      </c>
      <c r="B853" s="1" t="n">
        <v>44470.61033564815</v>
      </c>
      <c r="C853" s="1" t="n">
        <v>45957</v>
      </c>
      <c r="D853" t="inlineStr">
        <is>
          <t>KRONOBERGS LÄN</t>
        </is>
      </c>
      <c r="E853" t="inlineStr">
        <is>
          <t>VÄXJÖ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33108-2021</t>
        </is>
      </c>
      <c r="B854" s="1" t="n">
        <v>44376</v>
      </c>
      <c r="C854" s="1" t="n">
        <v>45957</v>
      </c>
      <c r="D854" t="inlineStr">
        <is>
          <t>KRONOBERGS LÄN</t>
        </is>
      </c>
      <c r="E854" t="inlineStr">
        <is>
          <t>UPPVIDINGE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53135-2021</t>
        </is>
      </c>
      <c r="B855" s="1" t="n">
        <v>44468.3096875</v>
      </c>
      <c r="C855" s="1" t="n">
        <v>45957</v>
      </c>
      <c r="D855" t="inlineStr">
        <is>
          <t>KRONOBERGS LÄN</t>
        </is>
      </c>
      <c r="E855" t="inlineStr">
        <is>
          <t>VÄXJÖ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7245-2022</t>
        </is>
      </c>
      <c r="B856" s="1" t="n">
        <v>44606</v>
      </c>
      <c r="C856" s="1" t="n">
        <v>45957</v>
      </c>
      <c r="D856" t="inlineStr">
        <is>
          <t>KRONOBERGS LÄN</t>
        </is>
      </c>
      <c r="E856" t="inlineStr">
        <is>
          <t>VÄXJÖ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48722-2021</t>
        </is>
      </c>
      <c r="B857" s="1" t="n">
        <v>44452.59166666667</v>
      </c>
      <c r="C857" s="1" t="n">
        <v>45957</v>
      </c>
      <c r="D857" t="inlineStr">
        <is>
          <t>KRONOBERGS LÄN</t>
        </is>
      </c>
      <c r="E857" t="inlineStr">
        <is>
          <t>TINGSRYD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55838-2022</t>
        </is>
      </c>
      <c r="B858" s="1" t="n">
        <v>44888.69445601852</v>
      </c>
      <c r="C858" s="1" t="n">
        <v>45957</v>
      </c>
      <c r="D858" t="inlineStr">
        <is>
          <t>KRONOBERGS LÄN</t>
        </is>
      </c>
      <c r="E858" t="inlineStr">
        <is>
          <t>LJUNGBY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12187-2022</t>
        </is>
      </c>
      <c r="B859" s="1" t="n">
        <v>44636.91965277777</v>
      </c>
      <c r="C859" s="1" t="n">
        <v>45957</v>
      </c>
      <c r="D859" t="inlineStr">
        <is>
          <t>KRONOBERGS LÄN</t>
        </is>
      </c>
      <c r="E859" t="inlineStr">
        <is>
          <t>TINGSRYD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50908-2022</t>
        </is>
      </c>
      <c r="B860" s="1" t="n">
        <v>44867.62162037037</v>
      </c>
      <c r="C860" s="1" t="n">
        <v>45957</v>
      </c>
      <c r="D860" t="inlineStr">
        <is>
          <t>KRONOBERGS LÄN</t>
        </is>
      </c>
      <c r="E860" t="inlineStr">
        <is>
          <t>ALVESTA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18055-2021</t>
        </is>
      </c>
      <c r="B861" s="1" t="n">
        <v>44302.41256944444</v>
      </c>
      <c r="C861" s="1" t="n">
        <v>45957</v>
      </c>
      <c r="D861" t="inlineStr">
        <is>
          <t>KRONOBERGS LÄN</t>
        </is>
      </c>
      <c r="E861" t="inlineStr">
        <is>
          <t>TINGSRYD</t>
        </is>
      </c>
      <c r="G861" t="n">
        <v>6.3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21892-2021</t>
        </is>
      </c>
      <c r="B862" s="1" t="n">
        <v>44322.68579861111</v>
      </c>
      <c r="C862" s="1" t="n">
        <v>45957</v>
      </c>
      <c r="D862" t="inlineStr">
        <is>
          <t>KRONOBERGS LÄN</t>
        </is>
      </c>
      <c r="E862" t="inlineStr">
        <is>
          <t>LJUNGBY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66548-2021</t>
        </is>
      </c>
      <c r="B863" s="1" t="n">
        <v>44519.39663194444</v>
      </c>
      <c r="C863" s="1" t="n">
        <v>45957</v>
      </c>
      <c r="D863" t="inlineStr">
        <is>
          <t>KRONOBERGS LÄN</t>
        </is>
      </c>
      <c r="E863" t="inlineStr">
        <is>
          <t>TINGSRYD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21856-2021</t>
        </is>
      </c>
      <c r="B864" s="1" t="n">
        <v>44322</v>
      </c>
      <c r="C864" s="1" t="n">
        <v>45957</v>
      </c>
      <c r="D864" t="inlineStr">
        <is>
          <t>KRONOBERGS LÄN</t>
        </is>
      </c>
      <c r="E864" t="inlineStr">
        <is>
          <t>VÄXJÖ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28080-2022</t>
        </is>
      </c>
      <c r="B865" s="1" t="n">
        <v>44746.44984953704</v>
      </c>
      <c r="C865" s="1" t="n">
        <v>45957</v>
      </c>
      <c r="D865" t="inlineStr">
        <is>
          <t>KRONOBERGS LÄN</t>
        </is>
      </c>
      <c r="E865" t="inlineStr">
        <is>
          <t>VÄXJÖ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16328-2021</t>
        </is>
      </c>
      <c r="B866" s="1" t="n">
        <v>44292</v>
      </c>
      <c r="C866" s="1" t="n">
        <v>45957</v>
      </c>
      <c r="D866" t="inlineStr">
        <is>
          <t>KRONOBERGS LÄN</t>
        </is>
      </c>
      <c r="E866" t="inlineStr">
        <is>
          <t>ÄLMHULT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16399-2021</t>
        </is>
      </c>
      <c r="B867" s="1" t="n">
        <v>44293</v>
      </c>
      <c r="C867" s="1" t="n">
        <v>45957</v>
      </c>
      <c r="D867" t="inlineStr">
        <is>
          <t>KRONOBERGS LÄN</t>
        </is>
      </c>
      <c r="E867" t="inlineStr">
        <is>
          <t>ALVESTA</t>
        </is>
      </c>
      <c r="G867" t="n">
        <v>0.3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40892-2022</t>
        </is>
      </c>
      <c r="B868" s="1" t="n">
        <v>44825.35965277778</v>
      </c>
      <c r="C868" s="1" t="n">
        <v>45957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50931-2021</t>
        </is>
      </c>
      <c r="B869" s="1" t="n">
        <v>44460.62309027778</v>
      </c>
      <c r="C869" s="1" t="n">
        <v>45957</v>
      </c>
      <c r="D869" t="inlineStr">
        <is>
          <t>KRONOBERGS LÄN</t>
        </is>
      </c>
      <c r="E869" t="inlineStr">
        <is>
          <t>LJUNGBY</t>
        </is>
      </c>
      <c r="G869" t="n">
        <v>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36141-2022</t>
        </is>
      </c>
      <c r="B870" s="1" t="n">
        <v>44803.35861111111</v>
      </c>
      <c r="C870" s="1" t="n">
        <v>45957</v>
      </c>
      <c r="D870" t="inlineStr">
        <is>
          <t>KRONOBERGS LÄN</t>
        </is>
      </c>
      <c r="E870" t="inlineStr">
        <is>
          <t>UPPVIDINGE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55317-2022</t>
        </is>
      </c>
      <c r="B871" s="1" t="n">
        <v>44887.42521990741</v>
      </c>
      <c r="C871" s="1" t="n">
        <v>45957</v>
      </c>
      <c r="D871" t="inlineStr">
        <is>
          <t>KRONOBERGS LÄN</t>
        </is>
      </c>
      <c r="E871" t="inlineStr">
        <is>
          <t>UPPVIDINGE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19266-2022</t>
        </is>
      </c>
      <c r="B872" s="1" t="n">
        <v>44692</v>
      </c>
      <c r="C872" s="1" t="n">
        <v>45957</v>
      </c>
      <c r="D872" t="inlineStr">
        <is>
          <t>KRONOBERGS LÄN</t>
        </is>
      </c>
      <c r="E872" t="inlineStr">
        <is>
          <t>ALVESTA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26092-2022</t>
        </is>
      </c>
      <c r="B873" s="1" t="n">
        <v>44734.80560185185</v>
      </c>
      <c r="C873" s="1" t="n">
        <v>45957</v>
      </c>
      <c r="D873" t="inlineStr">
        <is>
          <t>KRONOBERGS LÄN</t>
        </is>
      </c>
      <c r="E873" t="inlineStr">
        <is>
          <t>ALVESTA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68683-2020</t>
        </is>
      </c>
      <c r="B874" s="1" t="n">
        <v>44187</v>
      </c>
      <c r="C874" s="1" t="n">
        <v>45957</v>
      </c>
      <c r="D874" t="inlineStr">
        <is>
          <t>KRONOBERGS LÄN</t>
        </is>
      </c>
      <c r="E874" t="inlineStr">
        <is>
          <t>TINGSRYD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8480-2022</t>
        </is>
      </c>
      <c r="B875" s="1" t="n">
        <v>44613.36252314815</v>
      </c>
      <c r="C875" s="1" t="n">
        <v>45957</v>
      </c>
      <c r="D875" t="inlineStr">
        <is>
          <t>KRONOBERGS LÄN</t>
        </is>
      </c>
      <c r="E875" t="inlineStr">
        <is>
          <t>VÄXJÖ</t>
        </is>
      </c>
      <c r="G875" t="n">
        <v>10.7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25799-2021</t>
        </is>
      </c>
      <c r="B876" s="1" t="n">
        <v>44343.88627314815</v>
      </c>
      <c r="C876" s="1" t="n">
        <v>45957</v>
      </c>
      <c r="D876" t="inlineStr">
        <is>
          <t>KRONOBERGS LÄN</t>
        </is>
      </c>
      <c r="E876" t="inlineStr">
        <is>
          <t>UPPVIDINGE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34134-2022</t>
        </is>
      </c>
      <c r="B877" s="1" t="n">
        <v>44791</v>
      </c>
      <c r="C877" s="1" t="n">
        <v>45957</v>
      </c>
      <c r="D877" t="inlineStr">
        <is>
          <t>KRONOBERGS LÄN</t>
        </is>
      </c>
      <c r="E877" t="inlineStr">
        <is>
          <t>TINGSRYD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59279-2020</t>
        </is>
      </c>
      <c r="B878" s="1" t="n">
        <v>44147.70520833333</v>
      </c>
      <c r="C878" s="1" t="n">
        <v>45957</v>
      </c>
      <c r="D878" t="inlineStr">
        <is>
          <t>KRONOBERGS LÄN</t>
        </is>
      </c>
      <c r="E878" t="inlineStr">
        <is>
          <t>LJUNGBY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28509-2022</t>
        </is>
      </c>
      <c r="B879" s="1" t="n">
        <v>44748.33731481482</v>
      </c>
      <c r="C879" s="1" t="n">
        <v>45957</v>
      </c>
      <c r="D879" t="inlineStr">
        <is>
          <t>KRONOBERGS LÄN</t>
        </is>
      </c>
      <c r="E879" t="inlineStr">
        <is>
          <t>TINGSRYD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54874-2021</t>
        </is>
      </c>
      <c r="B880" s="1" t="n">
        <v>44474.35017361111</v>
      </c>
      <c r="C880" s="1" t="n">
        <v>45957</v>
      </c>
      <c r="D880" t="inlineStr">
        <is>
          <t>KRONOBERGS LÄN</t>
        </is>
      </c>
      <c r="E880" t="inlineStr">
        <is>
          <t>VÄXJÖ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41626-2021</t>
        </is>
      </c>
      <c r="B881" s="1" t="n">
        <v>44425.45453703704</v>
      </c>
      <c r="C881" s="1" t="n">
        <v>45957</v>
      </c>
      <c r="D881" t="inlineStr">
        <is>
          <t>KRONOBERGS LÄN</t>
        </is>
      </c>
      <c r="E881" t="inlineStr">
        <is>
          <t>LESSEBO</t>
        </is>
      </c>
      <c r="F881" t="inlineStr">
        <is>
          <t>Sveaskog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39080-2021</t>
        </is>
      </c>
      <c r="B882" s="1" t="n">
        <v>44412</v>
      </c>
      <c r="C882" s="1" t="n">
        <v>45957</v>
      </c>
      <c r="D882" t="inlineStr">
        <is>
          <t>KRONOBERGS LÄN</t>
        </is>
      </c>
      <c r="E882" t="inlineStr">
        <is>
          <t>VÄXJÖ</t>
        </is>
      </c>
      <c r="G882" t="n">
        <v>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25905-2021</t>
        </is>
      </c>
      <c r="B883" s="1" t="n">
        <v>44344.42061342593</v>
      </c>
      <c r="C883" s="1" t="n">
        <v>45957</v>
      </c>
      <c r="D883" t="inlineStr">
        <is>
          <t>KRONOBERGS LÄN</t>
        </is>
      </c>
      <c r="E883" t="inlineStr">
        <is>
          <t>ÄLMHULT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40494-2021</t>
        </is>
      </c>
      <c r="B884" s="1" t="n">
        <v>44420.32596064815</v>
      </c>
      <c r="C884" s="1" t="n">
        <v>45957</v>
      </c>
      <c r="D884" t="inlineStr">
        <is>
          <t>KRONOBERGS LÄN</t>
        </is>
      </c>
      <c r="E884" t="inlineStr">
        <is>
          <t>VÄXJÖ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63594-2020</t>
        </is>
      </c>
      <c r="B885" s="1" t="n">
        <v>44165</v>
      </c>
      <c r="C885" s="1" t="n">
        <v>45957</v>
      </c>
      <c r="D885" t="inlineStr">
        <is>
          <t>KRONOBERGS LÄN</t>
        </is>
      </c>
      <c r="E885" t="inlineStr">
        <is>
          <t>LJUNGBY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8299-2022</t>
        </is>
      </c>
      <c r="B886" s="1" t="n">
        <v>44610</v>
      </c>
      <c r="C886" s="1" t="n">
        <v>45957</v>
      </c>
      <c r="D886" t="inlineStr">
        <is>
          <t>KRONOBERGS LÄN</t>
        </is>
      </c>
      <c r="E886" t="inlineStr">
        <is>
          <t>UPPVIDINGE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8324-2022</t>
        </is>
      </c>
      <c r="B887" s="1" t="n">
        <v>44610.50777777778</v>
      </c>
      <c r="C887" s="1" t="n">
        <v>45957</v>
      </c>
      <c r="D887" t="inlineStr">
        <is>
          <t>KRONOBERGS LÄN</t>
        </is>
      </c>
      <c r="E887" t="inlineStr">
        <is>
          <t>VÄXJÖ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8092-2022</t>
        </is>
      </c>
      <c r="B888" s="1" t="n">
        <v>44609</v>
      </c>
      <c r="C888" s="1" t="n">
        <v>45957</v>
      </c>
      <c r="D888" t="inlineStr">
        <is>
          <t>KRONOBERGS LÄN</t>
        </is>
      </c>
      <c r="E888" t="inlineStr">
        <is>
          <t>UPPVIDINGE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347-2022</t>
        </is>
      </c>
      <c r="B889" s="1" t="n">
        <v>44565.61417824074</v>
      </c>
      <c r="C889" s="1" t="n">
        <v>45957</v>
      </c>
      <c r="D889" t="inlineStr">
        <is>
          <t>KRONOBERGS LÄN</t>
        </is>
      </c>
      <c r="E889" t="inlineStr">
        <is>
          <t>LJUNGBY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23535-2021</t>
        </is>
      </c>
      <c r="B890" s="1" t="n">
        <v>44334</v>
      </c>
      <c r="C890" s="1" t="n">
        <v>45957</v>
      </c>
      <c r="D890" t="inlineStr">
        <is>
          <t>KRONOBERGS LÄN</t>
        </is>
      </c>
      <c r="E890" t="inlineStr">
        <is>
          <t>VÄXJÖ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58098-2021</t>
        </is>
      </c>
      <c r="B891" s="1" t="n">
        <v>44487</v>
      </c>
      <c r="C891" s="1" t="n">
        <v>45957</v>
      </c>
      <c r="D891" t="inlineStr">
        <is>
          <t>KRONOBERGS LÄN</t>
        </is>
      </c>
      <c r="E891" t="inlineStr">
        <is>
          <t>ÄLMHULT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23565-2022</t>
        </is>
      </c>
      <c r="B892" s="1" t="n">
        <v>44721.47574074074</v>
      </c>
      <c r="C892" s="1" t="n">
        <v>45957</v>
      </c>
      <c r="D892" t="inlineStr">
        <is>
          <t>KRONOBERGS LÄN</t>
        </is>
      </c>
      <c r="E892" t="inlineStr">
        <is>
          <t>ÄLMHULT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32375-2021</t>
        </is>
      </c>
      <c r="B893" s="1" t="n">
        <v>44371</v>
      </c>
      <c r="C893" s="1" t="n">
        <v>45957</v>
      </c>
      <c r="D893" t="inlineStr">
        <is>
          <t>KRONOBERGS LÄN</t>
        </is>
      </c>
      <c r="E893" t="inlineStr">
        <is>
          <t>TINGSRYD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68337-2020</t>
        </is>
      </c>
      <c r="B894" s="1" t="n">
        <v>44186</v>
      </c>
      <c r="C894" s="1" t="n">
        <v>45957</v>
      </c>
      <c r="D894" t="inlineStr">
        <is>
          <t>KRONOBERGS LÄN</t>
        </is>
      </c>
      <c r="E894" t="inlineStr">
        <is>
          <t>LJUNGBY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32692-2021</t>
        </is>
      </c>
      <c r="B895" s="1" t="n">
        <v>44375</v>
      </c>
      <c r="C895" s="1" t="n">
        <v>45957</v>
      </c>
      <c r="D895" t="inlineStr">
        <is>
          <t>KRONOBERGS LÄN</t>
        </is>
      </c>
      <c r="E895" t="inlineStr">
        <is>
          <t>UPPVIDINGE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9000-2022</t>
        </is>
      </c>
      <c r="B896" s="1" t="n">
        <v>44615.3480324074</v>
      </c>
      <c r="C896" s="1" t="n">
        <v>45957</v>
      </c>
      <c r="D896" t="inlineStr">
        <is>
          <t>KRONOBERGS LÄN</t>
        </is>
      </c>
      <c r="E896" t="inlineStr">
        <is>
          <t>ALVESTA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10428-2021</t>
        </is>
      </c>
      <c r="B897" s="1" t="n">
        <v>44257</v>
      </c>
      <c r="C897" s="1" t="n">
        <v>45957</v>
      </c>
      <c r="D897" t="inlineStr">
        <is>
          <t>KRONOBERGS LÄN</t>
        </is>
      </c>
      <c r="E897" t="inlineStr">
        <is>
          <t>ALVESTA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11914-2021</t>
        </is>
      </c>
      <c r="B898" s="1" t="n">
        <v>44265</v>
      </c>
      <c r="C898" s="1" t="n">
        <v>45957</v>
      </c>
      <c r="D898" t="inlineStr">
        <is>
          <t>KRONOBERGS LÄN</t>
        </is>
      </c>
      <c r="E898" t="inlineStr">
        <is>
          <t>LJUNGBY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35838-2021</t>
        </is>
      </c>
      <c r="B899" s="1" t="n">
        <v>44386.74578703703</v>
      </c>
      <c r="C899" s="1" t="n">
        <v>45957</v>
      </c>
      <c r="D899" t="inlineStr">
        <is>
          <t>KRONOBERGS LÄN</t>
        </is>
      </c>
      <c r="E899" t="inlineStr">
        <is>
          <t>ÄLMHULT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3918-2022</t>
        </is>
      </c>
      <c r="B900" s="1" t="n">
        <v>44587</v>
      </c>
      <c r="C900" s="1" t="n">
        <v>45957</v>
      </c>
      <c r="D900" t="inlineStr">
        <is>
          <t>KRONOBERGS LÄN</t>
        </is>
      </c>
      <c r="E900" t="inlineStr">
        <is>
          <t>ÄLMHULT</t>
        </is>
      </c>
      <c r="F900" t="inlineStr">
        <is>
          <t>Sveaskog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47676-2021</t>
        </is>
      </c>
      <c r="B901" s="1" t="n">
        <v>44448.45023148148</v>
      </c>
      <c r="C901" s="1" t="n">
        <v>45957</v>
      </c>
      <c r="D901" t="inlineStr">
        <is>
          <t>KRONOBERGS LÄN</t>
        </is>
      </c>
      <c r="E901" t="inlineStr">
        <is>
          <t>LJUNGBY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47686-2021</t>
        </is>
      </c>
      <c r="B902" s="1" t="n">
        <v>44448</v>
      </c>
      <c r="C902" s="1" t="n">
        <v>45957</v>
      </c>
      <c r="D902" t="inlineStr">
        <is>
          <t>KRONOBERGS LÄN</t>
        </is>
      </c>
      <c r="E902" t="inlineStr">
        <is>
          <t>LJUNGBY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32488-2021</t>
        </is>
      </c>
      <c r="B903" s="1" t="n">
        <v>44371</v>
      </c>
      <c r="C903" s="1" t="n">
        <v>45957</v>
      </c>
      <c r="D903" t="inlineStr">
        <is>
          <t>KRONOBERGS LÄN</t>
        </is>
      </c>
      <c r="E903" t="inlineStr">
        <is>
          <t>UPPVIDINGE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28832-2021</t>
        </is>
      </c>
      <c r="B904" s="1" t="n">
        <v>44357</v>
      </c>
      <c r="C904" s="1" t="n">
        <v>45957</v>
      </c>
      <c r="D904" t="inlineStr">
        <is>
          <t>KRONOBERGS LÄN</t>
        </is>
      </c>
      <c r="E904" t="inlineStr">
        <is>
          <t>VÄXJÖ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4200-2022</t>
        </is>
      </c>
      <c r="B905" s="1" t="n">
        <v>44588.60006944444</v>
      </c>
      <c r="C905" s="1" t="n">
        <v>45957</v>
      </c>
      <c r="D905" t="inlineStr">
        <is>
          <t>KRONOBERGS LÄN</t>
        </is>
      </c>
      <c r="E905" t="inlineStr">
        <is>
          <t>LESSEBO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55646-2022</t>
        </is>
      </c>
      <c r="B906" s="1" t="n">
        <v>44888.46783564815</v>
      </c>
      <c r="C906" s="1" t="n">
        <v>45957</v>
      </c>
      <c r="D906" t="inlineStr">
        <is>
          <t>KRONOBERGS LÄN</t>
        </is>
      </c>
      <c r="E906" t="inlineStr">
        <is>
          <t>TINGSRYD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8312-2022</t>
        </is>
      </c>
      <c r="B907" s="1" t="n">
        <v>44610</v>
      </c>
      <c r="C907" s="1" t="n">
        <v>45957</v>
      </c>
      <c r="D907" t="inlineStr">
        <is>
          <t>KRONOBERGS LÄN</t>
        </is>
      </c>
      <c r="E907" t="inlineStr">
        <is>
          <t>VÄXJÖ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34734-2022</t>
        </is>
      </c>
      <c r="B908" s="1" t="n">
        <v>44795.60174768518</v>
      </c>
      <c r="C908" s="1" t="n">
        <v>45957</v>
      </c>
      <c r="D908" t="inlineStr">
        <is>
          <t>KRONOBERGS LÄN</t>
        </is>
      </c>
      <c r="E908" t="inlineStr">
        <is>
          <t>UPPVIDINGE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34735-2022</t>
        </is>
      </c>
      <c r="B909" s="1" t="n">
        <v>44795.60293981482</v>
      </c>
      <c r="C909" s="1" t="n">
        <v>45957</v>
      </c>
      <c r="D909" t="inlineStr">
        <is>
          <t>KRONOBERGS LÄN</t>
        </is>
      </c>
      <c r="E909" t="inlineStr">
        <is>
          <t>UPPVIDINGE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22845-2021</t>
        </is>
      </c>
      <c r="B910" s="1" t="n">
        <v>44328.41473379629</v>
      </c>
      <c r="C910" s="1" t="n">
        <v>45957</v>
      </c>
      <c r="D910" t="inlineStr">
        <is>
          <t>KRONOBERGS LÄN</t>
        </is>
      </c>
      <c r="E910" t="inlineStr">
        <is>
          <t>UPPVIDINGE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7623-2021</t>
        </is>
      </c>
      <c r="B911" s="1" t="n">
        <v>44242</v>
      </c>
      <c r="C911" s="1" t="n">
        <v>45957</v>
      </c>
      <c r="D911" t="inlineStr">
        <is>
          <t>KRONOBERGS LÄN</t>
        </is>
      </c>
      <c r="E911" t="inlineStr">
        <is>
          <t>UPPVIDINGE</t>
        </is>
      </c>
      <c r="F911" t="inlineStr">
        <is>
          <t>Sveaskog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36019-2022</t>
        </is>
      </c>
      <c r="B912" s="1" t="n">
        <v>44802</v>
      </c>
      <c r="C912" s="1" t="n">
        <v>45957</v>
      </c>
      <c r="D912" t="inlineStr">
        <is>
          <t>KRONOBERGS LÄN</t>
        </is>
      </c>
      <c r="E912" t="inlineStr">
        <is>
          <t>ÄLMHULT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30388-2022</t>
        </is>
      </c>
      <c r="B913" s="1" t="n">
        <v>44760.74060185185</v>
      </c>
      <c r="C913" s="1" t="n">
        <v>45957</v>
      </c>
      <c r="D913" t="inlineStr">
        <is>
          <t>KRONOBERGS LÄN</t>
        </is>
      </c>
      <c r="E913" t="inlineStr">
        <is>
          <t>LJUNGBY</t>
        </is>
      </c>
      <c r="G913" t="n">
        <v>4.3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40180-2022</t>
        </is>
      </c>
      <c r="B914" s="1" t="n">
        <v>44820</v>
      </c>
      <c r="C914" s="1" t="n">
        <v>45957</v>
      </c>
      <c r="D914" t="inlineStr">
        <is>
          <t>KRONOBERGS LÄN</t>
        </is>
      </c>
      <c r="E914" t="inlineStr">
        <is>
          <t>TINGSRYD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65037-2021</t>
        </is>
      </c>
      <c r="B915" s="1" t="n">
        <v>44515</v>
      </c>
      <c r="C915" s="1" t="n">
        <v>45957</v>
      </c>
      <c r="D915" t="inlineStr">
        <is>
          <t>KRONOBERGS LÄN</t>
        </is>
      </c>
      <c r="E915" t="inlineStr">
        <is>
          <t>LJUNGBY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12447-2022</t>
        </is>
      </c>
      <c r="B916" s="1" t="n">
        <v>44638</v>
      </c>
      <c r="C916" s="1" t="n">
        <v>45957</v>
      </c>
      <c r="D916" t="inlineStr">
        <is>
          <t>KRONOBERGS LÄN</t>
        </is>
      </c>
      <c r="E916" t="inlineStr">
        <is>
          <t>MARKARYD</t>
        </is>
      </c>
      <c r="G916" t="n">
        <v>4.4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5297-2021</t>
        </is>
      </c>
      <c r="B917" s="1" t="n">
        <v>44229</v>
      </c>
      <c r="C917" s="1" t="n">
        <v>45957</v>
      </c>
      <c r="D917" t="inlineStr">
        <is>
          <t>KRONOBERGS LÄN</t>
        </is>
      </c>
      <c r="E917" t="inlineStr">
        <is>
          <t>ÄLMHULT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6926-2022</t>
        </is>
      </c>
      <c r="B918" s="1" t="n">
        <v>44602</v>
      </c>
      <c r="C918" s="1" t="n">
        <v>45957</v>
      </c>
      <c r="D918" t="inlineStr">
        <is>
          <t>KRONOBERGS LÄN</t>
        </is>
      </c>
      <c r="E918" t="inlineStr">
        <is>
          <t>UPPVIDINGE</t>
        </is>
      </c>
      <c r="G918" t="n">
        <v>2.5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59529-2021</t>
        </is>
      </c>
      <c r="B919" s="1" t="n">
        <v>44491.5821875</v>
      </c>
      <c r="C919" s="1" t="n">
        <v>45957</v>
      </c>
      <c r="D919" t="inlineStr">
        <is>
          <t>KRONOBERGS LÄN</t>
        </is>
      </c>
      <c r="E919" t="inlineStr">
        <is>
          <t>VÄXJÖ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42335-2022</t>
        </is>
      </c>
      <c r="B920" s="1" t="n">
        <v>44831</v>
      </c>
      <c r="C920" s="1" t="n">
        <v>45957</v>
      </c>
      <c r="D920" t="inlineStr">
        <is>
          <t>KRONOBERGS LÄN</t>
        </is>
      </c>
      <c r="E920" t="inlineStr">
        <is>
          <t>ÄLMHULT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42337-2022</t>
        </is>
      </c>
      <c r="B921" s="1" t="n">
        <v>44831</v>
      </c>
      <c r="C921" s="1" t="n">
        <v>45957</v>
      </c>
      <c r="D921" t="inlineStr">
        <is>
          <t>KRONOBERGS LÄN</t>
        </is>
      </c>
      <c r="E921" t="inlineStr">
        <is>
          <t>ÄLMHULT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5813-2022</t>
        </is>
      </c>
      <c r="B922" s="1" t="n">
        <v>44596</v>
      </c>
      <c r="C922" s="1" t="n">
        <v>45957</v>
      </c>
      <c r="D922" t="inlineStr">
        <is>
          <t>KRONOBERGS LÄN</t>
        </is>
      </c>
      <c r="E922" t="inlineStr">
        <is>
          <t>ÄLMHULT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63278-2021</t>
        </is>
      </c>
      <c r="B923" s="1" t="n">
        <v>44508.40770833333</v>
      </c>
      <c r="C923" s="1" t="n">
        <v>45957</v>
      </c>
      <c r="D923" t="inlineStr">
        <is>
          <t>KRONOBERGS LÄN</t>
        </is>
      </c>
      <c r="E923" t="inlineStr">
        <is>
          <t>VÄXJÖ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63330-2021</t>
        </is>
      </c>
      <c r="B924" s="1" t="n">
        <v>44508.46548611111</v>
      </c>
      <c r="C924" s="1" t="n">
        <v>45957</v>
      </c>
      <c r="D924" t="inlineStr">
        <is>
          <t>KRONOBERGS LÄN</t>
        </is>
      </c>
      <c r="E924" t="inlineStr">
        <is>
          <t>LESSEBO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3153-2022</t>
        </is>
      </c>
      <c r="B925" s="1" t="n">
        <v>44582</v>
      </c>
      <c r="C925" s="1" t="n">
        <v>45957</v>
      </c>
      <c r="D925" t="inlineStr">
        <is>
          <t>KRONOBERGS LÄN</t>
        </is>
      </c>
      <c r="E925" t="inlineStr">
        <is>
          <t>UPPVIDINGE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38609-2021</t>
        </is>
      </c>
      <c r="B926" s="1" t="n">
        <v>44409</v>
      </c>
      <c r="C926" s="1" t="n">
        <v>45957</v>
      </c>
      <c r="D926" t="inlineStr">
        <is>
          <t>KRONOBERGS LÄN</t>
        </is>
      </c>
      <c r="E926" t="inlineStr">
        <is>
          <t>MARKARYD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60890-2021</t>
        </is>
      </c>
      <c r="B927" s="1" t="n">
        <v>44497.430625</v>
      </c>
      <c r="C927" s="1" t="n">
        <v>45957</v>
      </c>
      <c r="D927" t="inlineStr">
        <is>
          <t>KRONOBERGS LÄN</t>
        </is>
      </c>
      <c r="E927" t="inlineStr">
        <is>
          <t>LJUNGBY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6931-2021</t>
        </is>
      </c>
      <c r="B928" s="1" t="n">
        <v>44237</v>
      </c>
      <c r="C928" s="1" t="n">
        <v>45957</v>
      </c>
      <c r="D928" t="inlineStr">
        <is>
          <t>KRONOBERGS LÄN</t>
        </is>
      </c>
      <c r="E928" t="inlineStr">
        <is>
          <t>LJUNGBY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54852-2021</t>
        </is>
      </c>
      <c r="B929" s="1" t="n">
        <v>44474</v>
      </c>
      <c r="C929" s="1" t="n">
        <v>45957</v>
      </c>
      <c r="D929" t="inlineStr">
        <is>
          <t>KRONOBERGS LÄN</t>
        </is>
      </c>
      <c r="E929" t="inlineStr">
        <is>
          <t>VÄXJÖ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41617-2021</t>
        </is>
      </c>
      <c r="B930" s="1" t="n">
        <v>44425.44458333333</v>
      </c>
      <c r="C930" s="1" t="n">
        <v>45957</v>
      </c>
      <c r="D930" t="inlineStr">
        <is>
          <t>KRONOBERGS LÄN</t>
        </is>
      </c>
      <c r="E930" t="inlineStr">
        <is>
          <t>LESSEBO</t>
        </is>
      </c>
      <c r="F930" t="inlineStr">
        <is>
          <t>Sveaskog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9816-2022</t>
        </is>
      </c>
      <c r="B931" s="1" t="n">
        <v>44620</v>
      </c>
      <c r="C931" s="1" t="n">
        <v>45957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9988-2021</t>
        </is>
      </c>
      <c r="B932" s="1" t="n">
        <v>44254</v>
      </c>
      <c r="C932" s="1" t="n">
        <v>45957</v>
      </c>
      <c r="D932" t="inlineStr">
        <is>
          <t>KRONOBERGS LÄN</t>
        </is>
      </c>
      <c r="E932" t="inlineStr">
        <is>
          <t>VÄXJÖ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9992-2021</t>
        </is>
      </c>
      <c r="B933" s="1" t="n">
        <v>44254.83627314815</v>
      </c>
      <c r="C933" s="1" t="n">
        <v>45957</v>
      </c>
      <c r="D933" t="inlineStr">
        <is>
          <t>KRONOBERGS LÄN</t>
        </is>
      </c>
      <c r="E933" t="inlineStr">
        <is>
          <t>VÄXJÖ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66216-2020</t>
        </is>
      </c>
      <c r="B934" s="1" t="n">
        <v>44175</v>
      </c>
      <c r="C934" s="1" t="n">
        <v>45957</v>
      </c>
      <c r="D934" t="inlineStr">
        <is>
          <t>KRONOBERGS LÄN</t>
        </is>
      </c>
      <c r="E934" t="inlineStr">
        <is>
          <t>ÄLMHULT</t>
        </is>
      </c>
      <c r="G934" t="n">
        <v>7.4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22242-2022</t>
        </is>
      </c>
      <c r="B935" s="1" t="n">
        <v>44712.58903935185</v>
      </c>
      <c r="C935" s="1" t="n">
        <v>45957</v>
      </c>
      <c r="D935" t="inlineStr">
        <is>
          <t>KRONOBERGS LÄN</t>
        </is>
      </c>
      <c r="E935" t="inlineStr">
        <is>
          <t>TINGSRYD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2132-2022</t>
        </is>
      </c>
      <c r="B936" s="1" t="n">
        <v>44578</v>
      </c>
      <c r="C936" s="1" t="n">
        <v>45957</v>
      </c>
      <c r="D936" t="inlineStr">
        <is>
          <t>KRONOBERGS LÄN</t>
        </is>
      </c>
      <c r="E936" t="inlineStr">
        <is>
          <t>TINGSRYD</t>
        </is>
      </c>
      <c r="F936" t="inlineStr">
        <is>
          <t>Övriga Aktiebolag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20659-2022</t>
        </is>
      </c>
      <c r="B937" s="1" t="n">
        <v>44700</v>
      </c>
      <c r="C937" s="1" t="n">
        <v>45957</v>
      </c>
      <c r="D937" t="inlineStr">
        <is>
          <t>KRONOBERGS LÄN</t>
        </is>
      </c>
      <c r="E937" t="inlineStr">
        <is>
          <t>MARKARYD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20661-2022</t>
        </is>
      </c>
      <c r="B938" s="1" t="n">
        <v>44700</v>
      </c>
      <c r="C938" s="1" t="n">
        <v>45957</v>
      </c>
      <c r="D938" t="inlineStr">
        <is>
          <t>KRONOBERGS LÄN</t>
        </is>
      </c>
      <c r="E938" t="inlineStr">
        <is>
          <t>MARKARYD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36854-2021</t>
        </is>
      </c>
      <c r="B939" s="1" t="n">
        <v>44393</v>
      </c>
      <c r="C939" s="1" t="n">
        <v>45957</v>
      </c>
      <c r="D939" t="inlineStr">
        <is>
          <t>KRONOBERGS LÄN</t>
        </is>
      </c>
      <c r="E939" t="inlineStr">
        <is>
          <t>UPPVIDINGE</t>
        </is>
      </c>
      <c r="F939" t="inlineStr">
        <is>
          <t>Sveaskog</t>
        </is>
      </c>
      <c r="G939" t="n">
        <v>1.8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15176-2021</t>
        </is>
      </c>
      <c r="B940" s="1" t="n">
        <v>44284</v>
      </c>
      <c r="C940" s="1" t="n">
        <v>45957</v>
      </c>
      <c r="D940" t="inlineStr">
        <is>
          <t>KRONOBERGS LÄN</t>
        </is>
      </c>
      <c r="E940" t="inlineStr">
        <is>
          <t>UPPVIDINGE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28016-2021</t>
        </is>
      </c>
      <c r="B941" s="1" t="n">
        <v>44355</v>
      </c>
      <c r="C941" s="1" t="n">
        <v>45957</v>
      </c>
      <c r="D941" t="inlineStr">
        <is>
          <t>KRONOBERGS LÄN</t>
        </is>
      </c>
      <c r="E941" t="inlineStr">
        <is>
          <t>VÄXJÖ</t>
        </is>
      </c>
      <c r="G941" t="n">
        <v>6.8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54873-2021</t>
        </is>
      </c>
      <c r="B942" s="1" t="n">
        <v>44474.34982638889</v>
      </c>
      <c r="C942" s="1" t="n">
        <v>45957</v>
      </c>
      <c r="D942" t="inlineStr">
        <is>
          <t>KRONOBERGS LÄN</t>
        </is>
      </c>
      <c r="E942" t="inlineStr">
        <is>
          <t>ÄLMHULT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23678-2021</t>
        </is>
      </c>
      <c r="B943" s="1" t="n">
        <v>44334.62680555556</v>
      </c>
      <c r="C943" s="1" t="n">
        <v>45957</v>
      </c>
      <c r="D943" t="inlineStr">
        <is>
          <t>KRONOBERGS LÄN</t>
        </is>
      </c>
      <c r="E943" t="inlineStr">
        <is>
          <t>TINGSRYD</t>
        </is>
      </c>
      <c r="G943" t="n">
        <v>4.5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42995-2021</t>
        </is>
      </c>
      <c r="B944" s="1" t="n">
        <v>44431</v>
      </c>
      <c r="C944" s="1" t="n">
        <v>45957</v>
      </c>
      <c r="D944" t="inlineStr">
        <is>
          <t>KRONOBERGS LÄN</t>
        </is>
      </c>
      <c r="E944" t="inlineStr">
        <is>
          <t>ÄLMHULT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40015-2022</t>
        </is>
      </c>
      <c r="B945" s="1" t="n">
        <v>44820.40097222223</v>
      </c>
      <c r="C945" s="1" t="n">
        <v>45957</v>
      </c>
      <c r="D945" t="inlineStr">
        <is>
          <t>KRONOBERGS LÄN</t>
        </is>
      </c>
      <c r="E945" t="inlineStr">
        <is>
          <t>VÄXJÖ</t>
        </is>
      </c>
      <c r="F945" t="inlineStr">
        <is>
          <t>Sveaskog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40017-2022</t>
        </is>
      </c>
      <c r="B946" s="1" t="n">
        <v>44820.40373842593</v>
      </c>
      <c r="C946" s="1" t="n">
        <v>45957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9975-2021</t>
        </is>
      </c>
      <c r="B947" s="1" t="n">
        <v>44253</v>
      </c>
      <c r="C947" s="1" t="n">
        <v>45957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63746-2021</t>
        </is>
      </c>
      <c r="B948" s="1" t="n">
        <v>44509.46288194445</v>
      </c>
      <c r="C948" s="1" t="n">
        <v>45957</v>
      </c>
      <c r="D948" t="inlineStr">
        <is>
          <t>KRONOBERGS LÄN</t>
        </is>
      </c>
      <c r="E948" t="inlineStr">
        <is>
          <t>ÄLMHULT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14695-2021</t>
        </is>
      </c>
      <c r="B949" s="1" t="n">
        <v>44280</v>
      </c>
      <c r="C949" s="1" t="n">
        <v>45957</v>
      </c>
      <c r="D949" t="inlineStr">
        <is>
          <t>KRONOBERGS LÄN</t>
        </is>
      </c>
      <c r="E949" t="inlineStr">
        <is>
          <t>LJUNGBY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17388-2021</t>
        </is>
      </c>
      <c r="B950" s="1" t="n">
        <v>44298</v>
      </c>
      <c r="C950" s="1" t="n">
        <v>45957</v>
      </c>
      <c r="D950" t="inlineStr">
        <is>
          <t>KRONOBERGS LÄN</t>
        </is>
      </c>
      <c r="E950" t="inlineStr">
        <is>
          <t>VÄXJÖ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26965-2022</t>
        </is>
      </c>
      <c r="B951" s="1" t="n">
        <v>44740.66774305556</v>
      </c>
      <c r="C951" s="1" t="n">
        <v>45957</v>
      </c>
      <c r="D951" t="inlineStr">
        <is>
          <t>KRONOBERGS LÄN</t>
        </is>
      </c>
      <c r="E951" t="inlineStr">
        <is>
          <t>VÄXJÖ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4804-2022</t>
        </is>
      </c>
      <c r="B952" s="1" t="n">
        <v>44592.65989583333</v>
      </c>
      <c r="C952" s="1" t="n">
        <v>45957</v>
      </c>
      <c r="D952" t="inlineStr">
        <is>
          <t>KRONOBERGS LÄN</t>
        </is>
      </c>
      <c r="E952" t="inlineStr">
        <is>
          <t>LJUNGBY</t>
        </is>
      </c>
      <c r="F952" t="inlineStr">
        <is>
          <t>Kommuner</t>
        </is>
      </c>
      <c r="G952" t="n">
        <v>3.3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57272-2021</t>
        </is>
      </c>
      <c r="B953" s="1" t="n">
        <v>44483</v>
      </c>
      <c r="C953" s="1" t="n">
        <v>45957</v>
      </c>
      <c r="D953" t="inlineStr">
        <is>
          <t>KRONOBERGS LÄN</t>
        </is>
      </c>
      <c r="E953" t="inlineStr">
        <is>
          <t>VÄXJÖ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17039-2021</t>
        </is>
      </c>
      <c r="B954" s="1" t="n">
        <v>44295.77248842592</v>
      </c>
      <c r="C954" s="1" t="n">
        <v>45957</v>
      </c>
      <c r="D954" t="inlineStr">
        <is>
          <t>KRONOBERGS LÄN</t>
        </is>
      </c>
      <c r="E954" t="inlineStr">
        <is>
          <t>LJUNGBY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71176-2021</t>
        </is>
      </c>
      <c r="B955" s="1" t="n">
        <v>44539.47350694444</v>
      </c>
      <c r="C955" s="1" t="n">
        <v>45957</v>
      </c>
      <c r="D955" t="inlineStr">
        <is>
          <t>KRONOBERGS LÄN</t>
        </is>
      </c>
      <c r="E955" t="inlineStr">
        <is>
          <t>MARKARYD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17689-2022</t>
        </is>
      </c>
      <c r="B956" s="1" t="n">
        <v>44680.58664351852</v>
      </c>
      <c r="C956" s="1" t="n">
        <v>45957</v>
      </c>
      <c r="D956" t="inlineStr">
        <is>
          <t>KRONOBERGS LÄN</t>
        </is>
      </c>
      <c r="E956" t="inlineStr">
        <is>
          <t>TINGSRYD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58333-2021</t>
        </is>
      </c>
      <c r="B957" s="1" t="n">
        <v>44488.38900462963</v>
      </c>
      <c r="C957" s="1" t="n">
        <v>45957</v>
      </c>
      <c r="D957" t="inlineStr">
        <is>
          <t>KRONOBERGS LÄN</t>
        </is>
      </c>
      <c r="E957" t="inlineStr">
        <is>
          <t>ALVESTA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2785-2021</t>
        </is>
      </c>
      <c r="B958" s="1" t="n">
        <v>44215</v>
      </c>
      <c r="C958" s="1" t="n">
        <v>45957</v>
      </c>
      <c r="D958" t="inlineStr">
        <is>
          <t>KRONOBERGS LÄN</t>
        </is>
      </c>
      <c r="E958" t="inlineStr">
        <is>
          <t>MARKARYD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66032-2020</t>
        </is>
      </c>
      <c r="B959" s="1" t="n">
        <v>44175</v>
      </c>
      <c r="C959" s="1" t="n">
        <v>45957</v>
      </c>
      <c r="D959" t="inlineStr">
        <is>
          <t>KRONOBERGS LÄN</t>
        </is>
      </c>
      <c r="E959" t="inlineStr">
        <is>
          <t>UPPVIDINGE</t>
        </is>
      </c>
      <c r="F959" t="inlineStr">
        <is>
          <t>Sveaskog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4645-2021</t>
        </is>
      </c>
      <c r="B960" s="1" t="n">
        <v>44224</v>
      </c>
      <c r="C960" s="1" t="n">
        <v>45957</v>
      </c>
      <c r="D960" t="inlineStr">
        <is>
          <t>KRONOBERGS LÄN</t>
        </is>
      </c>
      <c r="E960" t="inlineStr">
        <is>
          <t>VÄXJÖ</t>
        </is>
      </c>
      <c r="G960" t="n">
        <v>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4693-2022</t>
        </is>
      </c>
      <c r="B961" s="1" t="n">
        <v>44592.48909722222</v>
      </c>
      <c r="C961" s="1" t="n">
        <v>45957</v>
      </c>
      <c r="D961" t="inlineStr">
        <is>
          <t>KRONOBERGS LÄN</t>
        </is>
      </c>
      <c r="E961" t="inlineStr">
        <is>
          <t>UPPVIDINGE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3636-2021</t>
        </is>
      </c>
      <c r="B962" s="1" t="n">
        <v>44221</v>
      </c>
      <c r="C962" s="1" t="n">
        <v>45957</v>
      </c>
      <c r="D962" t="inlineStr">
        <is>
          <t>KRONOBERGS LÄN</t>
        </is>
      </c>
      <c r="E962" t="inlineStr">
        <is>
          <t>ÄLMHULT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25402-2022</t>
        </is>
      </c>
      <c r="B963" s="1" t="n">
        <v>44732.43689814815</v>
      </c>
      <c r="C963" s="1" t="n">
        <v>45957</v>
      </c>
      <c r="D963" t="inlineStr">
        <is>
          <t>KRONOBERGS LÄN</t>
        </is>
      </c>
      <c r="E963" t="inlineStr">
        <is>
          <t>LJUNGBY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68802-2020</t>
        </is>
      </c>
      <c r="B964" s="1" t="n">
        <v>44187</v>
      </c>
      <c r="C964" s="1" t="n">
        <v>45957</v>
      </c>
      <c r="D964" t="inlineStr">
        <is>
          <t>KRONOBERGS LÄN</t>
        </is>
      </c>
      <c r="E964" t="inlineStr">
        <is>
          <t>LJUNGBY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9581-2021</t>
        </is>
      </c>
      <c r="B965" s="1" t="n">
        <v>44251</v>
      </c>
      <c r="C965" s="1" t="n">
        <v>45957</v>
      </c>
      <c r="D965" t="inlineStr">
        <is>
          <t>KRONOBERGS LÄN</t>
        </is>
      </c>
      <c r="E965" t="inlineStr">
        <is>
          <t>VÄXJÖ</t>
        </is>
      </c>
      <c r="F965" t="inlineStr">
        <is>
          <t>Sveaskog</t>
        </is>
      </c>
      <c r="G965" t="n">
        <v>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42270-2021</t>
        </is>
      </c>
      <c r="B966" s="1" t="n">
        <v>44427</v>
      </c>
      <c r="C966" s="1" t="n">
        <v>45957</v>
      </c>
      <c r="D966" t="inlineStr">
        <is>
          <t>KRONOBERGS LÄN</t>
        </is>
      </c>
      <c r="E966" t="inlineStr">
        <is>
          <t>ÄLMHULT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42273-2021</t>
        </is>
      </c>
      <c r="B967" s="1" t="n">
        <v>44427.31667824074</v>
      </c>
      <c r="C967" s="1" t="n">
        <v>45957</v>
      </c>
      <c r="D967" t="inlineStr">
        <is>
          <t>KRONOBERGS LÄN</t>
        </is>
      </c>
      <c r="E967" t="inlineStr">
        <is>
          <t>ÄLMHULT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50231-2021</t>
        </is>
      </c>
      <c r="B968" s="1" t="n">
        <v>44457.87717592593</v>
      </c>
      <c r="C968" s="1" t="n">
        <v>45957</v>
      </c>
      <c r="D968" t="inlineStr">
        <is>
          <t>KRONOBERGS LÄN</t>
        </is>
      </c>
      <c r="E968" t="inlineStr">
        <is>
          <t>VÄXJÖ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59490-2021</t>
        </is>
      </c>
      <c r="B969" s="1" t="n">
        <v>44491.52920138889</v>
      </c>
      <c r="C969" s="1" t="n">
        <v>45957</v>
      </c>
      <c r="D969" t="inlineStr">
        <is>
          <t>KRONOBERGS LÄN</t>
        </is>
      </c>
      <c r="E969" t="inlineStr">
        <is>
          <t>ÄLMHULT</t>
        </is>
      </c>
      <c r="G969" t="n">
        <v>2.1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53946-2021</t>
        </is>
      </c>
      <c r="B970" s="1" t="n">
        <v>44469</v>
      </c>
      <c r="C970" s="1" t="n">
        <v>45957</v>
      </c>
      <c r="D970" t="inlineStr">
        <is>
          <t>KRONOBERGS LÄN</t>
        </is>
      </c>
      <c r="E970" t="inlineStr">
        <is>
          <t>LJUNGBY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9566-2022</t>
        </is>
      </c>
      <c r="B971" s="1" t="n">
        <v>44617.44428240741</v>
      </c>
      <c r="C971" s="1" t="n">
        <v>45957</v>
      </c>
      <c r="D971" t="inlineStr">
        <is>
          <t>KRONOBERGS LÄN</t>
        </is>
      </c>
      <c r="E971" t="inlineStr">
        <is>
          <t>VÄXJÖ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25946-2021</t>
        </is>
      </c>
      <c r="B972" s="1" t="n">
        <v>44344.48678240741</v>
      </c>
      <c r="C972" s="1" t="n">
        <v>45957</v>
      </c>
      <c r="D972" t="inlineStr">
        <is>
          <t>KRONOBERGS LÄN</t>
        </is>
      </c>
      <c r="E972" t="inlineStr">
        <is>
          <t>UPPVIDINGE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26059-2021</t>
        </is>
      </c>
      <c r="B973" s="1" t="n">
        <v>44344.65765046296</v>
      </c>
      <c r="C973" s="1" t="n">
        <v>45957</v>
      </c>
      <c r="D973" t="inlineStr">
        <is>
          <t>KRONOBERGS LÄN</t>
        </is>
      </c>
      <c r="E973" t="inlineStr">
        <is>
          <t>MARKARYD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42182-2021</t>
        </is>
      </c>
      <c r="B974" s="1" t="n">
        <v>44426.68665509259</v>
      </c>
      <c r="C974" s="1" t="n">
        <v>45957</v>
      </c>
      <c r="D974" t="inlineStr">
        <is>
          <t>KRONOBERGS LÄN</t>
        </is>
      </c>
      <c r="E974" t="inlineStr">
        <is>
          <t>VÄXJÖ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65988-2021</t>
        </is>
      </c>
      <c r="B975" s="1" t="n">
        <v>44517</v>
      </c>
      <c r="C975" s="1" t="n">
        <v>45957</v>
      </c>
      <c r="D975" t="inlineStr">
        <is>
          <t>KRONOBERGS LÄN</t>
        </is>
      </c>
      <c r="E975" t="inlineStr">
        <is>
          <t>LJUNGBY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5563-2022</t>
        </is>
      </c>
      <c r="B976" s="1" t="n">
        <v>44595</v>
      </c>
      <c r="C976" s="1" t="n">
        <v>45957</v>
      </c>
      <c r="D976" t="inlineStr">
        <is>
          <t>KRONOBERGS LÄN</t>
        </is>
      </c>
      <c r="E976" t="inlineStr">
        <is>
          <t>LJUNGBY</t>
        </is>
      </c>
      <c r="F976" t="inlineStr">
        <is>
          <t>Kyrkan</t>
        </is>
      </c>
      <c r="G976" t="n">
        <v>2.5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7237-2022</t>
        </is>
      </c>
      <c r="B977" s="1" t="n">
        <v>44606</v>
      </c>
      <c r="C977" s="1" t="n">
        <v>45957</v>
      </c>
      <c r="D977" t="inlineStr">
        <is>
          <t>KRONOBERGS LÄN</t>
        </is>
      </c>
      <c r="E977" t="inlineStr">
        <is>
          <t>ALVESTA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12248-2021</t>
        </is>
      </c>
      <c r="B978" s="1" t="n">
        <v>44266.76030092593</v>
      </c>
      <c r="C978" s="1" t="n">
        <v>45957</v>
      </c>
      <c r="D978" t="inlineStr">
        <is>
          <t>KRONOBERGS LÄN</t>
        </is>
      </c>
      <c r="E978" t="inlineStr">
        <is>
          <t>ÄLMHULT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12404-2021</t>
        </is>
      </c>
      <c r="B979" s="1" t="n">
        <v>44267.5725</v>
      </c>
      <c r="C979" s="1" t="n">
        <v>45957</v>
      </c>
      <c r="D979" t="inlineStr">
        <is>
          <t>KRONOBERGS LÄN</t>
        </is>
      </c>
      <c r="E979" t="inlineStr">
        <is>
          <t>VÄXJÖ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36509-2022</t>
        </is>
      </c>
      <c r="B980" s="1" t="n">
        <v>44804</v>
      </c>
      <c r="C980" s="1" t="n">
        <v>45957</v>
      </c>
      <c r="D980" t="inlineStr">
        <is>
          <t>KRONOBERGS LÄN</t>
        </is>
      </c>
      <c r="E980" t="inlineStr">
        <is>
          <t>ALVESTA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48034-2022</t>
        </is>
      </c>
      <c r="B981" s="1" t="n">
        <v>44855.73349537037</v>
      </c>
      <c r="C981" s="1" t="n">
        <v>45957</v>
      </c>
      <c r="D981" t="inlineStr">
        <is>
          <t>KRONOBERGS LÄN</t>
        </is>
      </c>
      <c r="E981" t="inlineStr">
        <is>
          <t>ALVESTA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5673-2022</t>
        </is>
      </c>
      <c r="B982" s="1" t="n">
        <v>44596</v>
      </c>
      <c r="C982" s="1" t="n">
        <v>45957</v>
      </c>
      <c r="D982" t="inlineStr">
        <is>
          <t>KRONOBERGS LÄN</t>
        </is>
      </c>
      <c r="E982" t="inlineStr">
        <is>
          <t>VÄXJÖ</t>
        </is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22085-2021</t>
        </is>
      </c>
      <c r="B983" s="1" t="n">
        <v>44323.62754629629</v>
      </c>
      <c r="C983" s="1" t="n">
        <v>45957</v>
      </c>
      <c r="D983" t="inlineStr">
        <is>
          <t>KRONOBERGS LÄN</t>
        </is>
      </c>
      <c r="E983" t="inlineStr">
        <is>
          <t>ALVESTA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40487-2021</t>
        </is>
      </c>
      <c r="B984" s="1" t="n">
        <v>44420.28219907408</v>
      </c>
      <c r="C984" s="1" t="n">
        <v>45957</v>
      </c>
      <c r="D984" t="inlineStr">
        <is>
          <t>KRONOBERGS LÄN</t>
        </is>
      </c>
      <c r="E984" t="inlineStr">
        <is>
          <t>UPPVIDINGE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60276-2021</t>
        </is>
      </c>
      <c r="B985" s="1" t="n">
        <v>44495.69234953704</v>
      </c>
      <c r="C985" s="1" t="n">
        <v>45957</v>
      </c>
      <c r="D985" t="inlineStr">
        <is>
          <t>KRONOBERGS LÄN</t>
        </is>
      </c>
      <c r="E985" t="inlineStr">
        <is>
          <t>LJUNGBY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46519-2021</t>
        </is>
      </c>
      <c r="B986" s="1" t="n">
        <v>44445</v>
      </c>
      <c r="C986" s="1" t="n">
        <v>45957</v>
      </c>
      <c r="D986" t="inlineStr">
        <is>
          <t>KRONOBERGS LÄN</t>
        </is>
      </c>
      <c r="E986" t="inlineStr">
        <is>
          <t>TINGSRYD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43910-2021</t>
        </is>
      </c>
      <c r="B987" s="1" t="n">
        <v>44434.37454861111</v>
      </c>
      <c r="C987" s="1" t="n">
        <v>45957</v>
      </c>
      <c r="D987" t="inlineStr">
        <is>
          <t>KRONOBERGS LÄN</t>
        </is>
      </c>
      <c r="E987" t="inlineStr">
        <is>
          <t>VÄXJÖ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48561-2022</t>
        </is>
      </c>
      <c r="B988" s="1" t="n">
        <v>44859.32788194445</v>
      </c>
      <c r="C988" s="1" t="n">
        <v>45957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52509-2021</t>
        </is>
      </c>
      <c r="B989" s="1" t="n">
        <v>44466</v>
      </c>
      <c r="C989" s="1" t="n">
        <v>45957</v>
      </c>
      <c r="D989" t="inlineStr">
        <is>
          <t>KRONOBERGS LÄN</t>
        </is>
      </c>
      <c r="E989" t="inlineStr">
        <is>
          <t>UPPVIDINGE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10549-2021</t>
        </is>
      </c>
      <c r="B990" s="1" t="n">
        <v>44258</v>
      </c>
      <c r="C990" s="1" t="n">
        <v>45957</v>
      </c>
      <c r="D990" t="inlineStr">
        <is>
          <t>KRONOBERGS LÄN</t>
        </is>
      </c>
      <c r="E990" t="inlineStr">
        <is>
          <t>MARKARYD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5683-2022</t>
        </is>
      </c>
      <c r="B991" s="1" t="n">
        <v>44596</v>
      </c>
      <c r="C991" s="1" t="n">
        <v>45957</v>
      </c>
      <c r="D991" t="inlineStr">
        <is>
          <t>KRONOBERGS LÄN</t>
        </is>
      </c>
      <c r="E991" t="inlineStr">
        <is>
          <t>TINGSRYD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6923-2022</t>
        </is>
      </c>
      <c r="B992" s="1" t="n">
        <v>44603</v>
      </c>
      <c r="C992" s="1" t="n">
        <v>45957</v>
      </c>
      <c r="D992" t="inlineStr">
        <is>
          <t>KRONOBERGS LÄN</t>
        </is>
      </c>
      <c r="E992" t="inlineStr">
        <is>
          <t>UPPVIDINGE</t>
        </is>
      </c>
      <c r="G992" t="n">
        <v>2.1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6924-2022</t>
        </is>
      </c>
      <c r="B993" s="1" t="n">
        <v>44602</v>
      </c>
      <c r="C993" s="1" t="n">
        <v>45957</v>
      </c>
      <c r="D993" t="inlineStr">
        <is>
          <t>KRONOBERGS LÄN</t>
        </is>
      </c>
      <c r="E993" t="inlineStr">
        <is>
          <t>UPPVIDINGE</t>
        </is>
      </c>
      <c r="G993" t="n">
        <v>2.8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11628-2022</t>
        </is>
      </c>
      <c r="B994" s="1" t="n">
        <v>44631.64724537037</v>
      </c>
      <c r="C994" s="1" t="n">
        <v>45957</v>
      </c>
      <c r="D994" t="inlineStr">
        <is>
          <t>KRONOBERGS LÄN</t>
        </is>
      </c>
      <c r="E994" t="inlineStr">
        <is>
          <t>TINGSRYD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66115-2020</t>
        </is>
      </c>
      <c r="B995" s="1" t="n">
        <v>44175</v>
      </c>
      <c r="C995" s="1" t="n">
        <v>45957</v>
      </c>
      <c r="D995" t="inlineStr">
        <is>
          <t>KRONOBERGS LÄN</t>
        </is>
      </c>
      <c r="E995" t="inlineStr">
        <is>
          <t>UPPVIDINGE</t>
        </is>
      </c>
      <c r="F995" t="inlineStr">
        <is>
          <t>Sveaskog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64280-2021</t>
        </is>
      </c>
      <c r="B996" s="1" t="n">
        <v>44510</v>
      </c>
      <c r="C996" s="1" t="n">
        <v>45957</v>
      </c>
      <c r="D996" t="inlineStr">
        <is>
          <t>KRONOBERGS LÄN</t>
        </is>
      </c>
      <c r="E996" t="inlineStr">
        <is>
          <t>ÄLMHULT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71397-2021</t>
        </is>
      </c>
      <c r="B997" s="1" t="n">
        <v>44540.35796296296</v>
      </c>
      <c r="C997" s="1" t="n">
        <v>45957</v>
      </c>
      <c r="D997" t="inlineStr">
        <is>
          <t>KRONOBERGS LÄN</t>
        </is>
      </c>
      <c r="E997" t="inlineStr">
        <is>
          <t>TINGSRYD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1511-2021</t>
        </is>
      </c>
      <c r="B998" s="1" t="n">
        <v>44209</v>
      </c>
      <c r="C998" s="1" t="n">
        <v>45957</v>
      </c>
      <c r="D998" t="inlineStr">
        <is>
          <t>KRONOBERGS LÄN</t>
        </is>
      </c>
      <c r="E998" t="inlineStr">
        <is>
          <t>ÄLMHULT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24448-2022</t>
        </is>
      </c>
      <c r="B999" s="1" t="n">
        <v>44726.59372685185</v>
      </c>
      <c r="C999" s="1" t="n">
        <v>45957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53282-2021</t>
        </is>
      </c>
      <c r="B1000" s="1" t="n">
        <v>44468.50265046296</v>
      </c>
      <c r="C1000" s="1" t="n">
        <v>45957</v>
      </c>
      <c r="D1000" t="inlineStr">
        <is>
          <t>KRONOBERGS LÄN</t>
        </is>
      </c>
      <c r="E1000" t="inlineStr">
        <is>
          <t>VÄXJÖ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53948-2021</t>
        </is>
      </c>
      <c r="B1001" s="1" t="n">
        <v>44469</v>
      </c>
      <c r="C1001" s="1" t="n">
        <v>45957</v>
      </c>
      <c r="D1001" t="inlineStr">
        <is>
          <t>KRONOBERGS LÄN</t>
        </is>
      </c>
      <c r="E1001" t="inlineStr">
        <is>
          <t>LJUNGBY</t>
        </is>
      </c>
      <c r="G1001" t="n">
        <v>3.4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67158-2021</t>
        </is>
      </c>
      <c r="B1002" s="1" t="n">
        <v>44523</v>
      </c>
      <c r="C1002" s="1" t="n">
        <v>45957</v>
      </c>
      <c r="D1002" t="inlineStr">
        <is>
          <t>KRONOBERGS LÄN</t>
        </is>
      </c>
      <c r="E1002" t="inlineStr">
        <is>
          <t>TINGSRYD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64752-2020</t>
        </is>
      </c>
      <c r="B1003" s="1" t="n">
        <v>44169.63652777778</v>
      </c>
      <c r="C1003" s="1" t="n">
        <v>45957</v>
      </c>
      <c r="D1003" t="inlineStr">
        <is>
          <t>KRONOBERGS LÄN</t>
        </is>
      </c>
      <c r="E1003" t="inlineStr">
        <is>
          <t>VÄXJÖ</t>
        </is>
      </c>
      <c r="G1003" t="n">
        <v>0.4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70646-2021</t>
        </is>
      </c>
      <c r="B1004" s="1" t="n">
        <v>44537.49590277778</v>
      </c>
      <c r="C1004" s="1" t="n">
        <v>45957</v>
      </c>
      <c r="D1004" t="inlineStr">
        <is>
          <t>KRONOBERGS LÄN</t>
        </is>
      </c>
      <c r="E1004" t="inlineStr">
        <is>
          <t>VÄXJÖ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60699-2021</t>
        </is>
      </c>
      <c r="B1005" s="1" t="n">
        <v>44496</v>
      </c>
      <c r="C1005" s="1" t="n">
        <v>45957</v>
      </c>
      <c r="D1005" t="inlineStr">
        <is>
          <t>KRONOBERGS LÄN</t>
        </is>
      </c>
      <c r="E1005" t="inlineStr">
        <is>
          <t>ÄLMHULT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924-2021</t>
        </is>
      </c>
      <c r="B1006" s="1" t="n">
        <v>44207</v>
      </c>
      <c r="C1006" s="1" t="n">
        <v>45957</v>
      </c>
      <c r="D1006" t="inlineStr">
        <is>
          <t>KRONOBERGS LÄN</t>
        </is>
      </c>
      <c r="E1006" t="inlineStr">
        <is>
          <t>UPPVIDINGE</t>
        </is>
      </c>
      <c r="F1006" t="inlineStr">
        <is>
          <t>Sveaskog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7448-2021</t>
        </is>
      </c>
      <c r="B1007" s="1" t="n">
        <v>44239</v>
      </c>
      <c r="C1007" s="1" t="n">
        <v>45957</v>
      </c>
      <c r="D1007" t="inlineStr">
        <is>
          <t>KRONOBERGS LÄN</t>
        </is>
      </c>
      <c r="E1007" t="inlineStr">
        <is>
          <t>TINGSRYD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1797-2022</t>
        </is>
      </c>
      <c r="B1008" s="1" t="n">
        <v>44574.59645833333</v>
      </c>
      <c r="C1008" s="1" t="n">
        <v>45957</v>
      </c>
      <c r="D1008" t="inlineStr">
        <is>
          <t>KRONOBERGS LÄN</t>
        </is>
      </c>
      <c r="E1008" t="inlineStr">
        <is>
          <t>VÄXJÖ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5119-2021</t>
        </is>
      </c>
      <c r="B1009" s="1" t="n">
        <v>44228</v>
      </c>
      <c r="C1009" s="1" t="n">
        <v>45957</v>
      </c>
      <c r="D1009" t="inlineStr">
        <is>
          <t>KRONOBERGS LÄN</t>
        </is>
      </c>
      <c r="E1009" t="inlineStr">
        <is>
          <t>LJUNGBY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66897-2021</t>
        </is>
      </c>
      <c r="B1010" s="1" t="n">
        <v>44522</v>
      </c>
      <c r="C1010" s="1" t="n">
        <v>45957</v>
      </c>
      <c r="D1010" t="inlineStr">
        <is>
          <t>KRONOBERGS LÄN</t>
        </is>
      </c>
      <c r="E1010" t="inlineStr">
        <is>
          <t>ÄLMHULT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66902-2021</t>
        </is>
      </c>
      <c r="B1011" s="1" t="n">
        <v>44522</v>
      </c>
      <c r="C1011" s="1" t="n">
        <v>45957</v>
      </c>
      <c r="D1011" t="inlineStr">
        <is>
          <t>KRONOBERGS LÄN</t>
        </is>
      </c>
      <c r="E1011" t="inlineStr">
        <is>
          <t>LESSEBO</t>
        </is>
      </c>
      <c r="G1011" t="n">
        <v>0.3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26368-2022</t>
        </is>
      </c>
      <c r="B1012" s="1" t="n">
        <v>44735.65734953704</v>
      </c>
      <c r="C1012" s="1" t="n">
        <v>45957</v>
      </c>
      <c r="D1012" t="inlineStr">
        <is>
          <t>KRONOBERGS LÄN</t>
        </is>
      </c>
      <c r="E1012" t="inlineStr">
        <is>
          <t>ALVESTA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60335-2020</t>
        </is>
      </c>
      <c r="B1013" s="1" t="n">
        <v>44152</v>
      </c>
      <c r="C1013" s="1" t="n">
        <v>45957</v>
      </c>
      <c r="D1013" t="inlineStr">
        <is>
          <t>KRONOBERGS LÄN</t>
        </is>
      </c>
      <c r="E1013" t="inlineStr">
        <is>
          <t>LJUNGBY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35171-2021</t>
        </is>
      </c>
      <c r="B1014" s="1" t="n">
        <v>44384.46910879629</v>
      </c>
      <c r="C1014" s="1" t="n">
        <v>45957</v>
      </c>
      <c r="D1014" t="inlineStr">
        <is>
          <t>KRONOBERGS LÄN</t>
        </is>
      </c>
      <c r="E1014" t="inlineStr">
        <is>
          <t>LJUNGBY</t>
        </is>
      </c>
      <c r="G1014" t="n">
        <v>0.5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38823-2022</t>
        </is>
      </c>
      <c r="B1015" s="1" t="n">
        <v>44816.48018518519</v>
      </c>
      <c r="C1015" s="1" t="n">
        <v>45957</v>
      </c>
      <c r="D1015" t="inlineStr">
        <is>
          <t>KRONOBERGS LÄN</t>
        </is>
      </c>
      <c r="E1015" t="inlineStr">
        <is>
          <t>ÄLMHULT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23566-2022</t>
        </is>
      </c>
      <c r="B1016" s="1" t="n">
        <v>44721.47675925926</v>
      </c>
      <c r="C1016" s="1" t="n">
        <v>45957</v>
      </c>
      <c r="D1016" t="inlineStr">
        <is>
          <t>KRONOBERGS LÄN</t>
        </is>
      </c>
      <c r="E1016" t="inlineStr">
        <is>
          <t>ÄLMHULT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67941-2021</t>
        </is>
      </c>
      <c r="B1017" s="1" t="n">
        <v>44525</v>
      </c>
      <c r="C1017" s="1" t="n">
        <v>45957</v>
      </c>
      <c r="D1017" t="inlineStr">
        <is>
          <t>KRONOBERGS LÄN</t>
        </is>
      </c>
      <c r="E1017" t="inlineStr">
        <is>
          <t>ÄLMHULT</t>
        </is>
      </c>
      <c r="G1017" t="n">
        <v>0.5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1580-2022</t>
        </is>
      </c>
      <c r="B1018" s="1" t="n">
        <v>44573</v>
      </c>
      <c r="C1018" s="1" t="n">
        <v>45957</v>
      </c>
      <c r="D1018" t="inlineStr">
        <is>
          <t>KRONOBERGS LÄN</t>
        </is>
      </c>
      <c r="E1018" t="inlineStr">
        <is>
          <t>VÄXJÖ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10927-2023</t>
        </is>
      </c>
      <c r="B1019" s="1" t="n">
        <v>44991.51193287037</v>
      </c>
      <c r="C1019" s="1" t="n">
        <v>45957</v>
      </c>
      <c r="D1019" t="inlineStr">
        <is>
          <t>KRONOBERGS LÄN</t>
        </is>
      </c>
      <c r="E1019" t="inlineStr">
        <is>
          <t>LJUNGBY</t>
        </is>
      </c>
      <c r="G1019" t="n">
        <v>2.8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10929-2023</t>
        </is>
      </c>
      <c r="B1020" s="1" t="n">
        <v>44991</v>
      </c>
      <c r="C1020" s="1" t="n">
        <v>45957</v>
      </c>
      <c r="D1020" t="inlineStr">
        <is>
          <t>KRONOBERGS LÄN</t>
        </is>
      </c>
      <c r="E1020" t="inlineStr">
        <is>
          <t>LJUNGBY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10221-2025</t>
        </is>
      </c>
      <c r="B1021" s="1" t="n">
        <v>45720.30268518518</v>
      </c>
      <c r="C1021" s="1" t="n">
        <v>45957</v>
      </c>
      <c r="D1021" t="inlineStr">
        <is>
          <t>KRONOBERGS LÄN</t>
        </is>
      </c>
      <c r="E1021" t="inlineStr">
        <is>
          <t>TINGSRYD</t>
        </is>
      </c>
      <c r="G1021" t="n">
        <v>4.1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37335-2022</t>
        </is>
      </c>
      <c r="B1022" s="1" t="n">
        <v>44809</v>
      </c>
      <c r="C1022" s="1" t="n">
        <v>45957</v>
      </c>
      <c r="D1022" t="inlineStr">
        <is>
          <t>KRONOBERGS LÄN</t>
        </is>
      </c>
      <c r="E1022" t="inlineStr">
        <is>
          <t>LJUNGBY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10272-2025</t>
        </is>
      </c>
      <c r="B1023" s="1" t="n">
        <v>45720.39148148148</v>
      </c>
      <c r="C1023" s="1" t="n">
        <v>45957</v>
      </c>
      <c r="D1023" t="inlineStr">
        <is>
          <t>KRONOBERGS LÄN</t>
        </is>
      </c>
      <c r="E1023" t="inlineStr">
        <is>
          <t>ALVESTA</t>
        </is>
      </c>
      <c r="G1023" t="n">
        <v>2.9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10273-2025</t>
        </is>
      </c>
      <c r="B1024" s="1" t="n">
        <v>45720.39282407407</v>
      </c>
      <c r="C1024" s="1" t="n">
        <v>45957</v>
      </c>
      <c r="D1024" t="inlineStr">
        <is>
          <t>KRONOBERGS LÄN</t>
        </is>
      </c>
      <c r="E1024" t="inlineStr">
        <is>
          <t>ALVESTA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8408-2025</t>
        </is>
      </c>
      <c r="B1025" s="1" t="n">
        <v>45709.38748842593</v>
      </c>
      <c r="C1025" s="1" t="n">
        <v>45957</v>
      </c>
      <c r="D1025" t="inlineStr">
        <is>
          <t>KRONOBERGS LÄN</t>
        </is>
      </c>
      <c r="E1025" t="inlineStr">
        <is>
          <t>UPPVIDINGE</t>
        </is>
      </c>
      <c r="F1025" t="inlineStr">
        <is>
          <t>Sveaskog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8411-2025</t>
        </is>
      </c>
      <c r="B1026" s="1" t="n">
        <v>45709.39251157407</v>
      </c>
      <c r="C1026" s="1" t="n">
        <v>45957</v>
      </c>
      <c r="D1026" t="inlineStr">
        <is>
          <t>KRONOBERGS LÄN</t>
        </is>
      </c>
      <c r="E1026" t="inlineStr">
        <is>
          <t>UPPVIDINGE</t>
        </is>
      </c>
      <c r="F1026" t="inlineStr">
        <is>
          <t>Sveaskog</t>
        </is>
      </c>
      <c r="G1026" t="n">
        <v>2.6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3875-2025</t>
        </is>
      </c>
      <c r="B1027" s="1" t="n">
        <v>45684.34170138889</v>
      </c>
      <c r="C1027" s="1" t="n">
        <v>45957</v>
      </c>
      <c r="D1027" t="inlineStr">
        <is>
          <t>KRONOBERGS LÄN</t>
        </is>
      </c>
      <c r="E1027" t="inlineStr">
        <is>
          <t>LJUNGBY</t>
        </is>
      </c>
      <c r="G1027" t="n">
        <v>1.2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3876-2025</t>
        </is>
      </c>
      <c r="B1028" s="1" t="n">
        <v>45684.34384259259</v>
      </c>
      <c r="C1028" s="1" t="n">
        <v>45957</v>
      </c>
      <c r="D1028" t="inlineStr">
        <is>
          <t>KRONOBERGS LÄN</t>
        </is>
      </c>
      <c r="E1028" t="inlineStr">
        <is>
          <t>LJUNGBY</t>
        </is>
      </c>
      <c r="G1028" t="n">
        <v>0.2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3966-2022</t>
        </is>
      </c>
      <c r="B1029" s="1" t="n">
        <v>44587</v>
      </c>
      <c r="C1029" s="1" t="n">
        <v>45957</v>
      </c>
      <c r="D1029" t="inlineStr">
        <is>
          <t>KRONOBERGS LÄN</t>
        </is>
      </c>
      <c r="E1029" t="inlineStr">
        <is>
          <t>MARKARYD</t>
        </is>
      </c>
      <c r="G1029" t="n">
        <v>0.3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70675-2021</t>
        </is>
      </c>
      <c r="B1030" s="1" t="n">
        <v>44537.56038194444</v>
      </c>
      <c r="C1030" s="1" t="n">
        <v>45957</v>
      </c>
      <c r="D1030" t="inlineStr">
        <is>
          <t>KRONOBERGS LÄN</t>
        </is>
      </c>
      <c r="E1030" t="inlineStr">
        <is>
          <t>VÄXJÖ</t>
        </is>
      </c>
      <c r="G1030" t="n">
        <v>0.3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26196-2023</t>
        </is>
      </c>
      <c r="B1031" s="1" t="n">
        <v>45091</v>
      </c>
      <c r="C1031" s="1" t="n">
        <v>45957</v>
      </c>
      <c r="D1031" t="inlineStr">
        <is>
          <t>KRONOBERGS LÄN</t>
        </is>
      </c>
      <c r="E1031" t="inlineStr">
        <is>
          <t>UPPVIDINGE</t>
        </is>
      </c>
      <c r="F1031" t="inlineStr">
        <is>
          <t>Sveaskog</t>
        </is>
      </c>
      <c r="G1031" t="n">
        <v>8.800000000000001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67493-2021</t>
        </is>
      </c>
      <c r="B1032" s="1" t="n">
        <v>44524.46141203704</v>
      </c>
      <c r="C1032" s="1" t="n">
        <v>45957</v>
      </c>
      <c r="D1032" t="inlineStr">
        <is>
          <t>KRONOBERGS LÄN</t>
        </is>
      </c>
      <c r="E1032" t="inlineStr">
        <is>
          <t>UPPVIDINGE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19120-2023</t>
        </is>
      </c>
      <c r="B1033" s="1" t="n">
        <v>45048</v>
      </c>
      <c r="C1033" s="1" t="n">
        <v>45957</v>
      </c>
      <c r="D1033" t="inlineStr">
        <is>
          <t>KRONOBERGS LÄN</t>
        </is>
      </c>
      <c r="E1033" t="inlineStr">
        <is>
          <t>LJUNGBY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26709-2022</t>
        </is>
      </c>
      <c r="B1034" s="1" t="n">
        <v>44739</v>
      </c>
      <c r="C1034" s="1" t="n">
        <v>45957</v>
      </c>
      <c r="D1034" t="inlineStr">
        <is>
          <t>KRONOBERGS LÄN</t>
        </is>
      </c>
      <c r="E1034" t="inlineStr">
        <is>
          <t>ÄLMHULT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8405-2025</t>
        </is>
      </c>
      <c r="B1035" s="1" t="n">
        <v>45709.38243055555</v>
      </c>
      <c r="C1035" s="1" t="n">
        <v>45957</v>
      </c>
      <c r="D1035" t="inlineStr">
        <is>
          <t>KRONOBERGS LÄN</t>
        </is>
      </c>
      <c r="E1035" t="inlineStr">
        <is>
          <t>UPPVIDINGE</t>
        </is>
      </c>
      <c r="F1035" t="inlineStr">
        <is>
          <t>Sveaskog</t>
        </is>
      </c>
      <c r="G1035" t="n">
        <v>1.7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13951-2023</t>
        </is>
      </c>
      <c r="B1036" s="1" t="n">
        <v>45008.46077546296</v>
      </c>
      <c r="C1036" s="1" t="n">
        <v>45957</v>
      </c>
      <c r="D1036" t="inlineStr">
        <is>
          <t>KRONOBERGS LÄN</t>
        </is>
      </c>
      <c r="E1036" t="inlineStr">
        <is>
          <t>MARKARYD</t>
        </is>
      </c>
      <c r="G1036" t="n">
        <v>1.1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4728-2025</t>
        </is>
      </c>
      <c r="B1037" s="1" t="n">
        <v>45688.43366898148</v>
      </c>
      <c r="C1037" s="1" t="n">
        <v>45957</v>
      </c>
      <c r="D1037" t="inlineStr">
        <is>
          <t>KRONOBERGS LÄN</t>
        </is>
      </c>
      <c r="E1037" t="inlineStr">
        <is>
          <t>VÄXJÖ</t>
        </is>
      </c>
      <c r="G1037" t="n">
        <v>3.5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22296-2022</t>
        </is>
      </c>
      <c r="B1038" s="1" t="n">
        <v>44712</v>
      </c>
      <c r="C1038" s="1" t="n">
        <v>45957</v>
      </c>
      <c r="D1038" t="inlineStr">
        <is>
          <t>KRONOBERGS LÄN</t>
        </is>
      </c>
      <c r="E1038" t="inlineStr">
        <is>
          <t>VÄXJÖ</t>
        </is>
      </c>
      <c r="G1038" t="n">
        <v>1.4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44901-2021</t>
        </is>
      </c>
      <c r="B1039" s="1" t="n">
        <v>44438</v>
      </c>
      <c r="C1039" s="1" t="n">
        <v>45957</v>
      </c>
      <c r="D1039" t="inlineStr">
        <is>
          <t>KRONOBERGS LÄN</t>
        </is>
      </c>
      <c r="E1039" t="inlineStr">
        <is>
          <t>ALVESTA</t>
        </is>
      </c>
      <c r="G1039" t="n">
        <v>1.1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11916-2022</t>
        </is>
      </c>
      <c r="B1040" s="1" t="n">
        <v>44635</v>
      </c>
      <c r="C1040" s="1" t="n">
        <v>45957</v>
      </c>
      <c r="D1040" t="inlineStr">
        <is>
          <t>KRONOBERGS LÄN</t>
        </is>
      </c>
      <c r="E1040" t="inlineStr">
        <is>
          <t>ALVESTA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53535-2022</t>
        </is>
      </c>
      <c r="B1041" s="1" t="n">
        <v>44879.61497685185</v>
      </c>
      <c r="C1041" s="1" t="n">
        <v>45957</v>
      </c>
      <c r="D1041" t="inlineStr">
        <is>
          <t>KRONOBERGS LÄN</t>
        </is>
      </c>
      <c r="E1041" t="inlineStr">
        <is>
          <t>LJUNGBY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43757-2023</t>
        </is>
      </c>
      <c r="B1042" s="1" t="n">
        <v>45187.48282407408</v>
      </c>
      <c r="C1042" s="1" t="n">
        <v>45957</v>
      </c>
      <c r="D1042" t="inlineStr">
        <is>
          <t>KRONOBERGS LÄN</t>
        </is>
      </c>
      <c r="E1042" t="inlineStr">
        <is>
          <t>LJUNGBY</t>
        </is>
      </c>
      <c r="G1042" t="n">
        <v>1.7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54922-2024</t>
        </is>
      </c>
      <c r="B1043" s="1" t="n">
        <v>45618.70251157408</v>
      </c>
      <c r="C1043" s="1" t="n">
        <v>45957</v>
      </c>
      <c r="D1043" t="inlineStr">
        <is>
          <t>KRONOBERGS LÄN</t>
        </is>
      </c>
      <c r="E1043" t="inlineStr">
        <is>
          <t>ALVESTA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43833-2023</t>
        </is>
      </c>
      <c r="B1044" s="1" t="n">
        <v>45187</v>
      </c>
      <c r="C1044" s="1" t="n">
        <v>45957</v>
      </c>
      <c r="D1044" t="inlineStr">
        <is>
          <t>KRONOBERGS LÄN</t>
        </is>
      </c>
      <c r="E1044" t="inlineStr">
        <is>
          <t>LJUNGBY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13817-2021</t>
        </is>
      </c>
      <c r="B1045" s="1" t="n">
        <v>44276</v>
      </c>
      <c r="C1045" s="1" t="n">
        <v>45957</v>
      </c>
      <c r="D1045" t="inlineStr">
        <is>
          <t>KRONOBERGS LÄN</t>
        </is>
      </c>
      <c r="E1045" t="inlineStr">
        <is>
          <t>UPPVIDINGE</t>
        </is>
      </c>
      <c r="G1045" t="n">
        <v>0.2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44746-2023</t>
        </is>
      </c>
      <c r="B1046" s="1" t="n">
        <v>45190.39688657408</v>
      </c>
      <c r="C1046" s="1" t="n">
        <v>45957</v>
      </c>
      <c r="D1046" t="inlineStr">
        <is>
          <t>KRONOBERGS LÄN</t>
        </is>
      </c>
      <c r="E1046" t="inlineStr">
        <is>
          <t>UPPVIDINGE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50062-2023</t>
        </is>
      </c>
      <c r="B1047" s="1" t="n">
        <v>45215.5349074074</v>
      </c>
      <c r="C1047" s="1" t="n">
        <v>45957</v>
      </c>
      <c r="D1047" t="inlineStr">
        <is>
          <t>KRONOBERGS LÄN</t>
        </is>
      </c>
      <c r="E1047" t="inlineStr">
        <is>
          <t>ÄLMHULT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6325-2024</t>
        </is>
      </c>
      <c r="B1048" s="1" t="n">
        <v>45338</v>
      </c>
      <c r="C1048" s="1" t="n">
        <v>45957</v>
      </c>
      <c r="D1048" t="inlineStr">
        <is>
          <t>KRONOBERGS LÄN</t>
        </is>
      </c>
      <c r="E1048" t="inlineStr">
        <is>
          <t>UPPVIDINGE</t>
        </is>
      </c>
      <c r="F1048" t="inlineStr">
        <is>
          <t>Sveaskog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6329-2024</t>
        </is>
      </c>
      <c r="B1049" s="1" t="n">
        <v>45338</v>
      </c>
      <c r="C1049" s="1" t="n">
        <v>45957</v>
      </c>
      <c r="D1049" t="inlineStr">
        <is>
          <t>KRONOBERGS LÄN</t>
        </is>
      </c>
      <c r="E1049" t="inlineStr">
        <is>
          <t>UPPVIDINGE</t>
        </is>
      </c>
      <c r="F1049" t="inlineStr">
        <is>
          <t>Sveaskog</t>
        </is>
      </c>
      <c r="G1049" t="n">
        <v>0.3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6416-2024</t>
        </is>
      </c>
      <c r="B1050" s="1" t="n">
        <v>45338.61513888889</v>
      </c>
      <c r="C1050" s="1" t="n">
        <v>45957</v>
      </c>
      <c r="D1050" t="inlineStr">
        <is>
          <t>KRONOBERGS LÄN</t>
        </is>
      </c>
      <c r="E1050" t="inlineStr">
        <is>
          <t>TINGSRYD</t>
        </is>
      </c>
      <c r="G1050" t="n">
        <v>0.3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16954-2024</t>
        </is>
      </c>
      <c r="B1051" s="1" t="n">
        <v>45411.88930555555</v>
      </c>
      <c r="C1051" s="1" t="n">
        <v>45957</v>
      </c>
      <c r="D1051" t="inlineStr">
        <is>
          <t>KRONOBERGS LÄN</t>
        </is>
      </c>
      <c r="E1051" t="inlineStr">
        <is>
          <t>TINGSRYD</t>
        </is>
      </c>
      <c r="F1051" t="inlineStr">
        <is>
          <t>Sveaskog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16994-2024</t>
        </is>
      </c>
      <c r="B1052" s="1" t="n">
        <v>45412.33927083333</v>
      </c>
      <c r="C1052" s="1" t="n">
        <v>45957</v>
      </c>
      <c r="D1052" t="inlineStr">
        <is>
          <t>KRONOBERGS LÄN</t>
        </is>
      </c>
      <c r="E1052" t="inlineStr">
        <is>
          <t>TINGSRYD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18632-2021</t>
        </is>
      </c>
      <c r="B1053" s="1" t="n">
        <v>44306</v>
      </c>
      <c r="C1053" s="1" t="n">
        <v>45957</v>
      </c>
      <c r="D1053" t="inlineStr">
        <is>
          <t>KRONOBERGS LÄN</t>
        </is>
      </c>
      <c r="E1053" t="inlineStr">
        <is>
          <t>ALVESTA</t>
        </is>
      </c>
      <c r="G1053" t="n">
        <v>2.9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18639-2021</t>
        </is>
      </c>
      <c r="B1054" s="1" t="n">
        <v>44306</v>
      </c>
      <c r="C1054" s="1" t="n">
        <v>45957</v>
      </c>
      <c r="D1054" t="inlineStr">
        <is>
          <t>KRONOBERGS LÄN</t>
        </is>
      </c>
      <c r="E1054" t="inlineStr">
        <is>
          <t>ALVESTA</t>
        </is>
      </c>
      <c r="G1054" t="n">
        <v>1.6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17010-2024</t>
        </is>
      </c>
      <c r="B1055" s="1" t="n">
        <v>45412.37150462963</v>
      </c>
      <c r="C1055" s="1" t="n">
        <v>45957</v>
      </c>
      <c r="D1055" t="inlineStr">
        <is>
          <t>KRONOBERGS LÄN</t>
        </is>
      </c>
      <c r="E1055" t="inlineStr">
        <is>
          <t>VÄXJÖ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18896-2022</t>
        </is>
      </c>
      <c r="B1056" s="1" t="n">
        <v>44690</v>
      </c>
      <c r="C1056" s="1" t="n">
        <v>45957</v>
      </c>
      <c r="D1056" t="inlineStr">
        <is>
          <t>KRONOBERGS LÄN</t>
        </is>
      </c>
      <c r="E1056" t="inlineStr">
        <is>
          <t>UPPVIDINGE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12868-2022</t>
        </is>
      </c>
      <c r="B1057" s="1" t="n">
        <v>44642.53133101852</v>
      </c>
      <c r="C1057" s="1" t="n">
        <v>45957</v>
      </c>
      <c r="D1057" t="inlineStr">
        <is>
          <t>KRONOBERGS LÄN</t>
        </is>
      </c>
      <c r="E1057" t="inlineStr">
        <is>
          <t>MARKARYD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12753-2025</t>
        </is>
      </c>
      <c r="B1058" s="1" t="n">
        <v>45733.56050925926</v>
      </c>
      <c r="C1058" s="1" t="n">
        <v>45957</v>
      </c>
      <c r="D1058" t="inlineStr">
        <is>
          <t>KRONOBERGS LÄN</t>
        </is>
      </c>
      <c r="E1058" t="inlineStr">
        <is>
          <t>ÄLMHULT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27096-2022</t>
        </is>
      </c>
      <c r="B1059" s="1" t="n">
        <v>44741</v>
      </c>
      <c r="C1059" s="1" t="n">
        <v>45957</v>
      </c>
      <c r="D1059" t="inlineStr">
        <is>
          <t>KRONOBERGS LÄN</t>
        </is>
      </c>
      <c r="E1059" t="inlineStr">
        <is>
          <t>VÄXJÖ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27097-2022</t>
        </is>
      </c>
      <c r="B1060" s="1" t="n">
        <v>44741</v>
      </c>
      <c r="C1060" s="1" t="n">
        <v>45957</v>
      </c>
      <c r="D1060" t="inlineStr">
        <is>
          <t>KRONOBERGS LÄN</t>
        </is>
      </c>
      <c r="E1060" t="inlineStr">
        <is>
          <t>VÄXJÖ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10361-2025</t>
        </is>
      </c>
      <c r="B1061" s="1" t="n">
        <v>45720.54211805556</v>
      </c>
      <c r="C1061" s="1" t="n">
        <v>45957</v>
      </c>
      <c r="D1061" t="inlineStr">
        <is>
          <t>KRONOBERGS LÄN</t>
        </is>
      </c>
      <c r="E1061" t="inlineStr">
        <is>
          <t>TINGSRYD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46585-2023</t>
        </is>
      </c>
      <c r="B1062" s="1" t="n">
        <v>45194</v>
      </c>
      <c r="C1062" s="1" t="n">
        <v>45957</v>
      </c>
      <c r="D1062" t="inlineStr">
        <is>
          <t>KRONOBERGS LÄN</t>
        </is>
      </c>
      <c r="E1062" t="inlineStr">
        <is>
          <t>VÄXJÖ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1130-2022</t>
        </is>
      </c>
      <c r="B1063" s="1" t="n">
        <v>44572.37574074074</v>
      </c>
      <c r="C1063" s="1" t="n">
        <v>45957</v>
      </c>
      <c r="D1063" t="inlineStr">
        <is>
          <t>KRONOBERGS LÄN</t>
        </is>
      </c>
      <c r="E1063" t="inlineStr">
        <is>
          <t>MARKARYD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39730-2022</t>
        </is>
      </c>
      <c r="B1064" s="1" t="n">
        <v>44819.34596064815</v>
      </c>
      <c r="C1064" s="1" t="n">
        <v>45957</v>
      </c>
      <c r="D1064" t="inlineStr">
        <is>
          <t>KRONOBERGS LÄN</t>
        </is>
      </c>
      <c r="E1064" t="inlineStr">
        <is>
          <t>LJUNGBY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9224-2021</t>
        </is>
      </c>
      <c r="B1065" s="1" t="n">
        <v>44250</v>
      </c>
      <c r="C1065" s="1" t="n">
        <v>45957</v>
      </c>
      <c r="D1065" t="inlineStr">
        <is>
          <t>KRONOBERGS LÄN</t>
        </is>
      </c>
      <c r="E1065" t="inlineStr">
        <is>
          <t>TINGSRYD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51990-2021</t>
        </is>
      </c>
      <c r="B1066" s="1" t="n">
        <v>44460</v>
      </c>
      <c r="C1066" s="1" t="n">
        <v>45957</v>
      </c>
      <c r="D1066" t="inlineStr">
        <is>
          <t>KRONOBERGS LÄN</t>
        </is>
      </c>
      <c r="E1066" t="inlineStr">
        <is>
          <t>MARKARYD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52024-2021</t>
        </is>
      </c>
      <c r="B1067" s="1" t="n">
        <v>44463.34797453704</v>
      </c>
      <c r="C1067" s="1" t="n">
        <v>45957</v>
      </c>
      <c r="D1067" t="inlineStr">
        <is>
          <t>KRONOBERGS LÄN</t>
        </is>
      </c>
      <c r="E1067" t="inlineStr">
        <is>
          <t>TINGSRYD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73248-2021</t>
        </is>
      </c>
      <c r="B1068" s="1" t="n">
        <v>44550</v>
      </c>
      <c r="C1068" s="1" t="n">
        <v>45957</v>
      </c>
      <c r="D1068" t="inlineStr">
        <is>
          <t>KRONOBERGS LÄN</t>
        </is>
      </c>
      <c r="E1068" t="inlineStr">
        <is>
          <t>LJUNGBY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13223-2025</t>
        </is>
      </c>
      <c r="B1069" s="1" t="n">
        <v>45735.45677083333</v>
      </c>
      <c r="C1069" s="1" t="n">
        <v>45957</v>
      </c>
      <c r="D1069" t="inlineStr">
        <is>
          <t>KRONOBERGS LÄN</t>
        </is>
      </c>
      <c r="E1069" t="inlineStr">
        <is>
          <t>LJUNGBY</t>
        </is>
      </c>
      <c r="G1069" t="n">
        <v>2.4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73366-2021</t>
        </is>
      </c>
      <c r="B1070" s="1" t="n">
        <v>44551</v>
      </c>
      <c r="C1070" s="1" t="n">
        <v>45957</v>
      </c>
      <c r="D1070" t="inlineStr">
        <is>
          <t>KRONOBERGS LÄN</t>
        </is>
      </c>
      <c r="E1070" t="inlineStr">
        <is>
          <t>ÄLMHULT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52297-2021</t>
        </is>
      </c>
      <c r="B1071" s="1" t="n">
        <v>44463.69890046296</v>
      </c>
      <c r="C1071" s="1" t="n">
        <v>45957</v>
      </c>
      <c r="D1071" t="inlineStr">
        <is>
          <t>KRONOBERGS LÄN</t>
        </is>
      </c>
      <c r="E1071" t="inlineStr">
        <is>
          <t>ÄLMHULT</t>
        </is>
      </c>
      <c r="G1071" t="n">
        <v>0.3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63718-2023</t>
        </is>
      </c>
      <c r="B1072" s="1" t="n">
        <v>45275</v>
      </c>
      <c r="C1072" s="1" t="n">
        <v>45957</v>
      </c>
      <c r="D1072" t="inlineStr">
        <is>
          <t>KRONOBERGS LÄN</t>
        </is>
      </c>
      <c r="E1072" t="inlineStr">
        <is>
          <t>MARKARYD</t>
        </is>
      </c>
      <c r="F1072" t="inlineStr">
        <is>
          <t>Kyrkan</t>
        </is>
      </c>
      <c r="G1072" t="n">
        <v>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5853-2024</t>
        </is>
      </c>
      <c r="B1073" s="1" t="n">
        <v>45335.63689814815</v>
      </c>
      <c r="C1073" s="1" t="n">
        <v>45957</v>
      </c>
      <c r="D1073" t="inlineStr">
        <is>
          <t>KRONOBERGS LÄN</t>
        </is>
      </c>
      <c r="E1073" t="inlineStr">
        <is>
          <t>UPPVIDINGE</t>
        </is>
      </c>
      <c r="F1073" t="inlineStr">
        <is>
          <t>Sveaskog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6611-2024</t>
        </is>
      </c>
      <c r="B1074" s="1" t="n">
        <v>45341.58440972222</v>
      </c>
      <c r="C1074" s="1" t="n">
        <v>45957</v>
      </c>
      <c r="D1074" t="inlineStr">
        <is>
          <t>KRONOBERGS LÄN</t>
        </is>
      </c>
      <c r="E1074" t="inlineStr">
        <is>
          <t>UPPVIDINGE</t>
        </is>
      </c>
      <c r="F1074" t="inlineStr">
        <is>
          <t>Sveaskog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924-2022</t>
        </is>
      </c>
      <c r="B1075" s="1" t="n">
        <v>44571</v>
      </c>
      <c r="C1075" s="1" t="n">
        <v>45957</v>
      </c>
      <c r="D1075" t="inlineStr">
        <is>
          <t>KRONOBERGS LÄN</t>
        </is>
      </c>
      <c r="E1075" t="inlineStr">
        <is>
          <t>VÄXJÖ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70869-2021</t>
        </is>
      </c>
      <c r="B1076" s="1" t="n">
        <v>44538</v>
      </c>
      <c r="C1076" s="1" t="n">
        <v>45957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18220-2022</t>
        </is>
      </c>
      <c r="B1077" s="1" t="n">
        <v>44685.3320949074</v>
      </c>
      <c r="C1077" s="1" t="n">
        <v>45957</v>
      </c>
      <c r="D1077" t="inlineStr">
        <is>
          <t>KRONOBERGS LÄN</t>
        </is>
      </c>
      <c r="E1077" t="inlineStr">
        <is>
          <t>ÄLMHULT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10228-2021</t>
        </is>
      </c>
      <c r="B1078" s="1" t="n">
        <v>44256</v>
      </c>
      <c r="C1078" s="1" t="n">
        <v>45957</v>
      </c>
      <c r="D1078" t="inlineStr">
        <is>
          <t>KRONOBERGS LÄN</t>
        </is>
      </c>
      <c r="E1078" t="inlineStr">
        <is>
          <t>VÄXJÖ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51224-2023</t>
        </is>
      </c>
      <c r="B1079" s="1" t="n">
        <v>45219.45643518519</v>
      </c>
      <c r="C1079" s="1" t="n">
        <v>45957</v>
      </c>
      <c r="D1079" t="inlineStr">
        <is>
          <t>KRONOBERGS LÄN</t>
        </is>
      </c>
      <c r="E1079" t="inlineStr">
        <is>
          <t>VÄXJÖ</t>
        </is>
      </c>
      <c r="G1079" t="n">
        <v>0.1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25812-2022</t>
        </is>
      </c>
      <c r="B1080" s="1" t="n">
        <v>44733.53642361111</v>
      </c>
      <c r="C1080" s="1" t="n">
        <v>45957</v>
      </c>
      <c r="D1080" t="inlineStr">
        <is>
          <t>KRONOBERGS LÄN</t>
        </is>
      </c>
      <c r="E1080" t="inlineStr">
        <is>
          <t>ÄLMHULT</t>
        </is>
      </c>
      <c r="G1080" t="n">
        <v>4.6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5642-2024</t>
        </is>
      </c>
      <c r="B1081" s="1" t="n">
        <v>45334</v>
      </c>
      <c r="C1081" s="1" t="n">
        <v>45957</v>
      </c>
      <c r="D1081" t="inlineStr">
        <is>
          <t>KRONOBERGS LÄN</t>
        </is>
      </c>
      <c r="E1081" t="inlineStr">
        <is>
          <t>LJUNGBY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32376-2021</t>
        </is>
      </c>
      <c r="B1082" s="1" t="n">
        <v>44371.61570601852</v>
      </c>
      <c r="C1082" s="1" t="n">
        <v>45957</v>
      </c>
      <c r="D1082" t="inlineStr">
        <is>
          <t>KRONOBERGS LÄN</t>
        </is>
      </c>
      <c r="E1082" t="inlineStr">
        <is>
          <t>TINGSRYD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48214-2021</t>
        </is>
      </c>
      <c r="B1083" s="1" t="n">
        <v>44449</v>
      </c>
      <c r="C1083" s="1" t="n">
        <v>45957</v>
      </c>
      <c r="D1083" t="inlineStr">
        <is>
          <t>KRONOBERGS LÄN</t>
        </is>
      </c>
      <c r="E1083" t="inlineStr">
        <is>
          <t>LJUNGBY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30764-2022</t>
        </is>
      </c>
      <c r="B1084" s="1" t="n">
        <v>44764</v>
      </c>
      <c r="C1084" s="1" t="n">
        <v>45957</v>
      </c>
      <c r="D1084" t="inlineStr">
        <is>
          <t>KRONOBERGS LÄN</t>
        </is>
      </c>
      <c r="E1084" t="inlineStr">
        <is>
          <t>LJUNGBY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38688-2022</t>
        </is>
      </c>
      <c r="B1085" s="1" t="n">
        <v>44814.29394675926</v>
      </c>
      <c r="C1085" s="1" t="n">
        <v>45957</v>
      </c>
      <c r="D1085" t="inlineStr">
        <is>
          <t>KRONOBERGS LÄN</t>
        </is>
      </c>
      <c r="E1085" t="inlineStr">
        <is>
          <t>VÄXJÖ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38689-2022</t>
        </is>
      </c>
      <c r="B1086" s="1" t="n">
        <v>44814.30006944444</v>
      </c>
      <c r="C1086" s="1" t="n">
        <v>45957</v>
      </c>
      <c r="D1086" t="inlineStr">
        <is>
          <t>KRONOBERGS LÄN</t>
        </is>
      </c>
      <c r="E1086" t="inlineStr">
        <is>
          <t>VÄXJÖ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53759-2022</t>
        </is>
      </c>
      <c r="B1087" s="1" t="n">
        <v>44875</v>
      </c>
      <c r="C1087" s="1" t="n">
        <v>45957</v>
      </c>
      <c r="D1087" t="inlineStr">
        <is>
          <t>KRONOBERGS LÄN</t>
        </is>
      </c>
      <c r="E1087" t="inlineStr">
        <is>
          <t>TINGSRYD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54490-2022</t>
        </is>
      </c>
      <c r="B1088" s="1" t="n">
        <v>44882.6740162037</v>
      </c>
      <c r="C1088" s="1" t="n">
        <v>45957</v>
      </c>
      <c r="D1088" t="inlineStr">
        <is>
          <t>KRONOBERGS LÄN</t>
        </is>
      </c>
      <c r="E1088" t="inlineStr">
        <is>
          <t>LJUNGBY</t>
        </is>
      </c>
      <c r="G1088" t="n">
        <v>0.3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5003-2024</t>
        </is>
      </c>
      <c r="B1089" s="1" t="n">
        <v>45329</v>
      </c>
      <c r="C1089" s="1" t="n">
        <v>45957</v>
      </c>
      <c r="D1089" t="inlineStr">
        <is>
          <t>KRONOBERGS LÄN</t>
        </is>
      </c>
      <c r="E1089" t="inlineStr">
        <is>
          <t>VÄXJÖ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73428-2021</t>
        </is>
      </c>
      <c r="B1090" s="1" t="n">
        <v>44551</v>
      </c>
      <c r="C1090" s="1" t="n">
        <v>45957</v>
      </c>
      <c r="D1090" t="inlineStr">
        <is>
          <t>KRONOBERGS LÄN</t>
        </is>
      </c>
      <c r="E1090" t="inlineStr">
        <is>
          <t>VÄXJÖ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27713-2022</t>
        </is>
      </c>
      <c r="B1091" s="1" t="n">
        <v>44743</v>
      </c>
      <c r="C1091" s="1" t="n">
        <v>45957</v>
      </c>
      <c r="D1091" t="inlineStr">
        <is>
          <t>KRONOBERGS LÄN</t>
        </is>
      </c>
      <c r="E1091" t="inlineStr">
        <is>
          <t>LESSEBO</t>
        </is>
      </c>
      <c r="G1091" t="n">
        <v>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42534-2022</t>
        </is>
      </c>
      <c r="B1092" s="1" t="n">
        <v>44831</v>
      </c>
      <c r="C1092" s="1" t="n">
        <v>45957</v>
      </c>
      <c r="D1092" t="inlineStr">
        <is>
          <t>KRONOBERGS LÄN</t>
        </is>
      </c>
      <c r="E1092" t="inlineStr">
        <is>
          <t>LJUNGBY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27736-2022</t>
        </is>
      </c>
      <c r="B1093" s="1" t="n">
        <v>44743</v>
      </c>
      <c r="C1093" s="1" t="n">
        <v>45957</v>
      </c>
      <c r="D1093" t="inlineStr">
        <is>
          <t>KRONOBERGS LÄN</t>
        </is>
      </c>
      <c r="E1093" t="inlineStr">
        <is>
          <t>ALVESTA</t>
        </is>
      </c>
      <c r="G1093" t="n">
        <v>6.6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30117-2022</t>
        </is>
      </c>
      <c r="B1094" s="1" t="n">
        <v>44757</v>
      </c>
      <c r="C1094" s="1" t="n">
        <v>45957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Sveaskog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70400-2021</t>
        </is>
      </c>
      <c r="B1095" s="1" t="n">
        <v>44536</v>
      </c>
      <c r="C1095" s="1" t="n">
        <v>45957</v>
      </c>
      <c r="D1095" t="inlineStr">
        <is>
          <t>KRONOBERGS LÄN</t>
        </is>
      </c>
      <c r="E1095" t="inlineStr">
        <is>
          <t>LJUNGBY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5045-2024</t>
        </is>
      </c>
      <c r="B1096" s="1" t="n">
        <v>45329</v>
      </c>
      <c r="C1096" s="1" t="n">
        <v>45957</v>
      </c>
      <c r="D1096" t="inlineStr">
        <is>
          <t>KRONOBERGS LÄN</t>
        </is>
      </c>
      <c r="E1096" t="inlineStr">
        <is>
          <t>ALVESTA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37649-2022</t>
        </is>
      </c>
      <c r="B1097" s="1" t="n">
        <v>44810.40475694444</v>
      </c>
      <c r="C1097" s="1" t="n">
        <v>45957</v>
      </c>
      <c r="D1097" t="inlineStr">
        <is>
          <t>KRONOBERGS LÄN</t>
        </is>
      </c>
      <c r="E1097" t="inlineStr">
        <is>
          <t>LJUNGBY</t>
        </is>
      </c>
      <c r="G1097" t="n">
        <v>0.3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2403-2022</t>
        </is>
      </c>
      <c r="B1098" s="1" t="n">
        <v>44579</v>
      </c>
      <c r="C1098" s="1" t="n">
        <v>45957</v>
      </c>
      <c r="D1098" t="inlineStr">
        <is>
          <t>KRONOBERGS LÄN</t>
        </is>
      </c>
      <c r="E1098" t="inlineStr">
        <is>
          <t>VÄXJÖ</t>
        </is>
      </c>
      <c r="G1098" t="n">
        <v>0.6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10685-2023</t>
        </is>
      </c>
      <c r="B1099" s="1" t="n">
        <v>44988.55334490741</v>
      </c>
      <c r="C1099" s="1" t="n">
        <v>45957</v>
      </c>
      <c r="D1099" t="inlineStr">
        <is>
          <t>KRONOBERGS LÄN</t>
        </is>
      </c>
      <c r="E1099" t="inlineStr">
        <is>
          <t>MARKARYD</t>
        </is>
      </c>
      <c r="G1099" t="n">
        <v>3.8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29918-2022</t>
        </is>
      </c>
      <c r="B1100" s="1" t="n">
        <v>44756</v>
      </c>
      <c r="C1100" s="1" t="n">
        <v>45957</v>
      </c>
      <c r="D1100" t="inlineStr">
        <is>
          <t>KRONOBERGS LÄN</t>
        </is>
      </c>
      <c r="E1100" t="inlineStr">
        <is>
          <t>TINGSRYD</t>
        </is>
      </c>
      <c r="G1100" t="n">
        <v>1.7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37627-2022</t>
        </is>
      </c>
      <c r="B1101" s="1" t="n">
        <v>44810.35575231481</v>
      </c>
      <c r="C1101" s="1" t="n">
        <v>45957</v>
      </c>
      <c r="D1101" t="inlineStr">
        <is>
          <t>KRONOBERGS LÄN</t>
        </is>
      </c>
      <c r="E1101" t="inlineStr">
        <is>
          <t>LJUNGBY</t>
        </is>
      </c>
      <c r="G1101" t="n">
        <v>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40057-2024</t>
        </is>
      </c>
      <c r="B1102" s="1" t="n">
        <v>45553.89721064815</v>
      </c>
      <c r="C1102" s="1" t="n">
        <v>45957</v>
      </c>
      <c r="D1102" t="inlineStr">
        <is>
          <t>KRONOBERGS LÄN</t>
        </is>
      </c>
      <c r="E1102" t="inlineStr">
        <is>
          <t>TINGSRYD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51759-2023</t>
        </is>
      </c>
      <c r="B1103" s="1" t="n">
        <v>45222.69469907408</v>
      </c>
      <c r="C1103" s="1" t="n">
        <v>45957</v>
      </c>
      <c r="D1103" t="inlineStr">
        <is>
          <t>KRONOBERGS LÄN</t>
        </is>
      </c>
      <c r="E1103" t="inlineStr">
        <is>
          <t>ÄLMHULT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51766-2023</t>
        </is>
      </c>
      <c r="B1104" s="1" t="n">
        <v>45222</v>
      </c>
      <c r="C1104" s="1" t="n">
        <v>45957</v>
      </c>
      <c r="D1104" t="inlineStr">
        <is>
          <t>KRONOBERGS LÄN</t>
        </is>
      </c>
      <c r="E1104" t="inlineStr">
        <is>
          <t>ÄLMHULT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3876-2024</t>
        </is>
      </c>
      <c r="B1105" s="1" t="n">
        <v>45322</v>
      </c>
      <c r="C1105" s="1" t="n">
        <v>45957</v>
      </c>
      <c r="D1105" t="inlineStr">
        <is>
          <t>KRONOBERGS LÄN</t>
        </is>
      </c>
      <c r="E1105" t="inlineStr">
        <is>
          <t>LESSEBO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28968-2022</t>
        </is>
      </c>
      <c r="B1106" s="1" t="n">
        <v>44749.62980324074</v>
      </c>
      <c r="C1106" s="1" t="n">
        <v>45957</v>
      </c>
      <c r="D1106" t="inlineStr">
        <is>
          <t>KRONOBERGS LÄN</t>
        </is>
      </c>
      <c r="E1106" t="inlineStr">
        <is>
          <t>TINGSRYD</t>
        </is>
      </c>
      <c r="G1106" t="n">
        <v>3.5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23463-2022</t>
        </is>
      </c>
      <c r="B1107" s="1" t="n">
        <v>44721.32116898148</v>
      </c>
      <c r="C1107" s="1" t="n">
        <v>45957</v>
      </c>
      <c r="D1107" t="inlineStr">
        <is>
          <t>KRONOBERGS LÄN</t>
        </is>
      </c>
      <c r="E1107" t="inlineStr">
        <is>
          <t>UPPVIDINGE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58264-2020</t>
        </is>
      </c>
      <c r="B1108" s="1" t="n">
        <v>44144</v>
      </c>
      <c r="C1108" s="1" t="n">
        <v>45957</v>
      </c>
      <c r="D1108" t="inlineStr">
        <is>
          <t>KRONOBERGS LÄN</t>
        </is>
      </c>
      <c r="E1108" t="inlineStr">
        <is>
          <t>VÄXJÖ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19902-2025</t>
        </is>
      </c>
      <c r="B1109" s="1" t="n">
        <v>45771.59141203704</v>
      </c>
      <c r="C1109" s="1" t="n">
        <v>45957</v>
      </c>
      <c r="D1109" t="inlineStr">
        <is>
          <t>KRONOBERGS LÄN</t>
        </is>
      </c>
      <c r="E1109" t="inlineStr">
        <is>
          <t>MARKARYD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17702-2021</t>
        </is>
      </c>
      <c r="B1110" s="1" t="n">
        <v>44300</v>
      </c>
      <c r="C1110" s="1" t="n">
        <v>45957</v>
      </c>
      <c r="D1110" t="inlineStr">
        <is>
          <t>KRONOBERGS LÄN</t>
        </is>
      </c>
      <c r="E1110" t="inlineStr">
        <is>
          <t>LESSEBO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62147-2023</t>
        </is>
      </c>
      <c r="B1111" s="1" t="n">
        <v>45267.37840277778</v>
      </c>
      <c r="C1111" s="1" t="n">
        <v>45957</v>
      </c>
      <c r="D1111" t="inlineStr">
        <is>
          <t>KRONOBERGS LÄN</t>
        </is>
      </c>
      <c r="E1111" t="inlineStr">
        <is>
          <t>ALVESTA</t>
        </is>
      </c>
      <c r="G1111" t="n">
        <v>4.6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62152-2023</t>
        </is>
      </c>
      <c r="B1112" s="1" t="n">
        <v>45267</v>
      </c>
      <c r="C1112" s="1" t="n">
        <v>45957</v>
      </c>
      <c r="D1112" t="inlineStr">
        <is>
          <t>KRONOBERGS LÄN</t>
        </is>
      </c>
      <c r="E1112" t="inlineStr">
        <is>
          <t>LESSEBO</t>
        </is>
      </c>
      <c r="F1112" t="inlineStr">
        <is>
          <t>Kommuner</t>
        </is>
      </c>
      <c r="G1112" t="n">
        <v>2.3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15479-2025</t>
        </is>
      </c>
      <c r="B1113" s="1" t="n">
        <v>45747</v>
      </c>
      <c r="C1113" s="1" t="n">
        <v>45957</v>
      </c>
      <c r="D1113" t="inlineStr">
        <is>
          <t>KRONOBERGS LÄN</t>
        </is>
      </c>
      <c r="E1113" t="inlineStr">
        <is>
          <t>ÄLMHULT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41316-2021</t>
        </is>
      </c>
      <c r="B1114" s="1" t="n">
        <v>44424.57810185185</v>
      </c>
      <c r="C1114" s="1" t="n">
        <v>45957</v>
      </c>
      <c r="D1114" t="inlineStr">
        <is>
          <t>KRONOBERGS LÄN</t>
        </is>
      </c>
      <c r="E1114" t="inlineStr">
        <is>
          <t>UPPVIDINGE</t>
        </is>
      </c>
      <c r="G1114" t="n">
        <v>1.9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37112-2021</t>
        </is>
      </c>
      <c r="B1115" s="1" t="n">
        <v>44393</v>
      </c>
      <c r="C1115" s="1" t="n">
        <v>45957</v>
      </c>
      <c r="D1115" t="inlineStr">
        <is>
          <t>KRONOBERGS LÄN</t>
        </is>
      </c>
      <c r="E1115" t="inlineStr">
        <is>
          <t>VÄXJÖ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6132-2022</t>
        </is>
      </c>
      <c r="B1116" s="1" t="n">
        <v>44599</v>
      </c>
      <c r="C1116" s="1" t="n">
        <v>45957</v>
      </c>
      <c r="D1116" t="inlineStr">
        <is>
          <t>KRONOBERGS LÄN</t>
        </is>
      </c>
      <c r="E1116" t="inlineStr">
        <is>
          <t>VÄXJÖ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10216-2021</t>
        </is>
      </c>
      <c r="B1117" s="1" t="n">
        <v>44256</v>
      </c>
      <c r="C1117" s="1" t="n">
        <v>45957</v>
      </c>
      <c r="D1117" t="inlineStr">
        <is>
          <t>KRONOBERGS LÄN</t>
        </is>
      </c>
      <c r="E1117" t="inlineStr">
        <is>
          <t>VÄXJÖ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6106-2025</t>
        </is>
      </c>
      <c r="B1118" s="1" t="n">
        <v>45697.97704861111</v>
      </c>
      <c r="C1118" s="1" t="n">
        <v>45957</v>
      </c>
      <c r="D1118" t="inlineStr">
        <is>
          <t>KRONOBERGS LÄN</t>
        </is>
      </c>
      <c r="E1118" t="inlineStr">
        <is>
          <t>UPPVIDINGE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62429-2023</t>
        </is>
      </c>
      <c r="B1119" s="1" t="n">
        <v>45268.42212962963</v>
      </c>
      <c r="C1119" s="1" t="n">
        <v>45957</v>
      </c>
      <c r="D1119" t="inlineStr">
        <is>
          <t>KRONOBERGS LÄN</t>
        </is>
      </c>
      <c r="E1119" t="inlineStr">
        <is>
          <t>ÄLMHULT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15551-2021</t>
        </is>
      </c>
      <c r="B1120" s="1" t="n">
        <v>44285.5828125</v>
      </c>
      <c r="C1120" s="1" t="n">
        <v>45957</v>
      </c>
      <c r="D1120" t="inlineStr">
        <is>
          <t>KRONOBERGS LÄN</t>
        </is>
      </c>
      <c r="E1120" t="inlineStr">
        <is>
          <t>VÄXJÖ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15566-2021</t>
        </is>
      </c>
      <c r="B1121" s="1" t="n">
        <v>44285.60979166667</v>
      </c>
      <c r="C1121" s="1" t="n">
        <v>45957</v>
      </c>
      <c r="D1121" t="inlineStr">
        <is>
          <t>KRONOBERGS LÄN</t>
        </is>
      </c>
      <c r="E1121" t="inlineStr">
        <is>
          <t>TINGSRYD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9760-2025</t>
        </is>
      </c>
      <c r="B1122" s="1" t="n">
        <v>45716.47709490741</v>
      </c>
      <c r="C1122" s="1" t="n">
        <v>45957</v>
      </c>
      <c r="D1122" t="inlineStr">
        <is>
          <t>KRONOBERGS LÄN</t>
        </is>
      </c>
      <c r="E1122" t="inlineStr">
        <is>
          <t>ÄLMHULT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22277-2021</t>
        </is>
      </c>
      <c r="B1123" s="1" t="n">
        <v>44326.44072916666</v>
      </c>
      <c r="C1123" s="1" t="n">
        <v>45957</v>
      </c>
      <c r="D1123" t="inlineStr">
        <is>
          <t>KRONOBERGS LÄN</t>
        </is>
      </c>
      <c r="E1123" t="inlineStr">
        <is>
          <t>ÄLMHULT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4073-2022</t>
        </is>
      </c>
      <c r="B1124" s="1" t="n">
        <v>44588</v>
      </c>
      <c r="C1124" s="1" t="n">
        <v>45957</v>
      </c>
      <c r="D1124" t="inlineStr">
        <is>
          <t>KRONOBERGS LÄN</t>
        </is>
      </c>
      <c r="E1124" t="inlineStr">
        <is>
          <t>LJUNGBY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46139-2023</t>
        </is>
      </c>
      <c r="B1125" s="1" t="n">
        <v>45196.56533564815</v>
      </c>
      <c r="C1125" s="1" t="n">
        <v>45957</v>
      </c>
      <c r="D1125" t="inlineStr">
        <is>
          <t>KRONOBERGS LÄN</t>
        </is>
      </c>
      <c r="E1125" t="inlineStr">
        <is>
          <t>MARKARYD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27165-2022</t>
        </is>
      </c>
      <c r="B1126" s="1" t="n">
        <v>44741.5471412037</v>
      </c>
      <c r="C1126" s="1" t="n">
        <v>45957</v>
      </c>
      <c r="D1126" t="inlineStr">
        <is>
          <t>KRONOBERGS LÄN</t>
        </is>
      </c>
      <c r="E1126" t="inlineStr">
        <is>
          <t>VÄXJÖ</t>
        </is>
      </c>
      <c r="G1126" t="n">
        <v>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9389-2025</t>
        </is>
      </c>
      <c r="B1127" s="1" t="n">
        <v>45715.3468287037</v>
      </c>
      <c r="C1127" s="1" t="n">
        <v>45957</v>
      </c>
      <c r="D1127" t="inlineStr">
        <is>
          <t>KRONOBERGS LÄN</t>
        </is>
      </c>
      <c r="E1127" t="inlineStr">
        <is>
          <t>VÄXJÖ</t>
        </is>
      </c>
      <c r="G1127" t="n">
        <v>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15631-2021</t>
        </is>
      </c>
      <c r="B1128" s="1" t="n">
        <v>44285.87041666666</v>
      </c>
      <c r="C1128" s="1" t="n">
        <v>45957</v>
      </c>
      <c r="D1128" t="inlineStr">
        <is>
          <t>KRONOBERGS LÄN</t>
        </is>
      </c>
      <c r="E1128" t="inlineStr">
        <is>
          <t>UPPVIDINGE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19999-2023</t>
        </is>
      </c>
      <c r="B1129" s="1" t="n">
        <v>45054.62291666667</v>
      </c>
      <c r="C1129" s="1" t="n">
        <v>45957</v>
      </c>
      <c r="D1129" t="inlineStr">
        <is>
          <t>KRONOBERGS LÄN</t>
        </is>
      </c>
      <c r="E1129" t="inlineStr">
        <is>
          <t>MARKARYD</t>
        </is>
      </c>
      <c r="G1129" t="n">
        <v>1.8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4784-2022</t>
        </is>
      </c>
      <c r="B1130" s="1" t="n">
        <v>44592</v>
      </c>
      <c r="C1130" s="1" t="n">
        <v>45957</v>
      </c>
      <c r="D1130" t="inlineStr">
        <is>
          <t>KRONOBERGS LÄN</t>
        </is>
      </c>
      <c r="E1130" t="inlineStr">
        <is>
          <t>ALVESTA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16803-2021</t>
        </is>
      </c>
      <c r="B1131" s="1" t="n">
        <v>44295</v>
      </c>
      <c r="C1131" s="1" t="n">
        <v>45957</v>
      </c>
      <c r="D1131" t="inlineStr">
        <is>
          <t>KRONOBERGS LÄN</t>
        </is>
      </c>
      <c r="E1131" t="inlineStr">
        <is>
          <t>LJUNGBY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30852-2024</t>
        </is>
      </c>
      <c r="B1132" s="1" t="n">
        <v>45497.63172453704</v>
      </c>
      <c r="C1132" s="1" t="n">
        <v>45957</v>
      </c>
      <c r="D1132" t="inlineStr">
        <is>
          <t>KRONOBERGS LÄN</t>
        </is>
      </c>
      <c r="E1132" t="inlineStr">
        <is>
          <t>ÄLMHULT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18309-2023</t>
        </is>
      </c>
      <c r="B1133" s="1" t="n">
        <v>45041.59671296296</v>
      </c>
      <c r="C1133" s="1" t="n">
        <v>45957</v>
      </c>
      <c r="D1133" t="inlineStr">
        <is>
          <t>KRONOBERGS LÄN</t>
        </is>
      </c>
      <c r="E1133" t="inlineStr">
        <is>
          <t>UPPVIDINGE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18310-2023</t>
        </is>
      </c>
      <c r="B1134" s="1" t="n">
        <v>45041</v>
      </c>
      <c r="C1134" s="1" t="n">
        <v>45957</v>
      </c>
      <c r="D1134" t="inlineStr">
        <is>
          <t>KRONOBERGS LÄN</t>
        </is>
      </c>
      <c r="E1134" t="inlineStr">
        <is>
          <t>UPPVIDINGE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32426-2024</t>
        </is>
      </c>
      <c r="B1135" s="1" t="n">
        <v>45512</v>
      </c>
      <c r="C1135" s="1" t="n">
        <v>45957</v>
      </c>
      <c r="D1135" t="inlineStr">
        <is>
          <t>KRONOBERGS LÄN</t>
        </is>
      </c>
      <c r="E1135" t="inlineStr">
        <is>
          <t>MARKARYD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51521-2021</t>
        </is>
      </c>
      <c r="B1136" s="1" t="n">
        <v>44462.37774305556</v>
      </c>
      <c r="C1136" s="1" t="n">
        <v>45957</v>
      </c>
      <c r="D1136" t="inlineStr">
        <is>
          <t>KRONOBERGS LÄN</t>
        </is>
      </c>
      <c r="E1136" t="inlineStr">
        <is>
          <t>ALVESTA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9740-2024</t>
        </is>
      </c>
      <c r="B1137" s="1" t="n">
        <v>45362</v>
      </c>
      <c r="C1137" s="1" t="n">
        <v>45957</v>
      </c>
      <c r="D1137" t="inlineStr">
        <is>
          <t>KRONOBERGS LÄN</t>
        </is>
      </c>
      <c r="E1137" t="inlineStr">
        <is>
          <t>TINGSRYD</t>
        </is>
      </c>
      <c r="G1137" t="n">
        <v>2.6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37818-2022</t>
        </is>
      </c>
      <c r="B1138" s="1" t="n">
        <v>44810.89967592592</v>
      </c>
      <c r="C1138" s="1" t="n">
        <v>45957</v>
      </c>
      <c r="D1138" t="inlineStr">
        <is>
          <t>KRONOBERGS LÄN</t>
        </is>
      </c>
      <c r="E1138" t="inlineStr">
        <is>
          <t>MARKARYD</t>
        </is>
      </c>
      <c r="G1138" t="n">
        <v>5.2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27080-2022</t>
        </is>
      </c>
      <c r="B1139" s="1" t="n">
        <v>44741.41038194444</v>
      </c>
      <c r="C1139" s="1" t="n">
        <v>45957</v>
      </c>
      <c r="D1139" t="inlineStr">
        <is>
          <t>KRONOBERGS LÄN</t>
        </is>
      </c>
      <c r="E1139" t="inlineStr">
        <is>
          <t>LESSEBO</t>
        </is>
      </c>
      <c r="G1139" t="n">
        <v>2.6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15128-2021</t>
        </is>
      </c>
      <c r="B1140" s="1" t="n">
        <v>44283</v>
      </c>
      <c r="C1140" s="1" t="n">
        <v>45957</v>
      </c>
      <c r="D1140" t="inlineStr">
        <is>
          <t>KRONOBERGS LÄN</t>
        </is>
      </c>
      <c r="E1140" t="inlineStr">
        <is>
          <t>MARKARYD</t>
        </is>
      </c>
      <c r="G1140" t="n">
        <v>1.3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19913-2025</t>
        </is>
      </c>
      <c r="B1141" s="1" t="n">
        <v>45771.61038194445</v>
      </c>
      <c r="C1141" s="1" t="n">
        <v>45957</v>
      </c>
      <c r="D1141" t="inlineStr">
        <is>
          <t>KRONOBERGS LÄN</t>
        </is>
      </c>
      <c r="E1141" t="inlineStr">
        <is>
          <t>VÄXJÖ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58916-2021</t>
        </is>
      </c>
      <c r="B1142" s="1" t="n">
        <v>44489.71826388889</v>
      </c>
      <c r="C1142" s="1" t="n">
        <v>45957</v>
      </c>
      <c r="D1142" t="inlineStr">
        <is>
          <t>KRONOBERGS LÄN</t>
        </is>
      </c>
      <c r="E1142" t="inlineStr">
        <is>
          <t>VÄXJÖ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36066-2022</t>
        </is>
      </c>
      <c r="B1143" s="1" t="n">
        <v>44802.91337962963</v>
      </c>
      <c r="C1143" s="1" t="n">
        <v>45957</v>
      </c>
      <c r="D1143" t="inlineStr">
        <is>
          <t>KRONOBERGS LÄN</t>
        </is>
      </c>
      <c r="E1143" t="inlineStr">
        <is>
          <t>MARKARYD</t>
        </is>
      </c>
      <c r="G1143" t="n">
        <v>8.4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36068-2022</t>
        </is>
      </c>
      <c r="B1144" s="1" t="n">
        <v>44802</v>
      </c>
      <c r="C1144" s="1" t="n">
        <v>45957</v>
      </c>
      <c r="D1144" t="inlineStr">
        <is>
          <t>KRONOBERGS LÄN</t>
        </is>
      </c>
      <c r="E1144" t="inlineStr">
        <is>
          <t>MARKARYD</t>
        </is>
      </c>
      <c r="G1144" t="n">
        <v>4.6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19989-2021</t>
        </is>
      </c>
      <c r="B1145" s="1" t="n">
        <v>44308</v>
      </c>
      <c r="C1145" s="1" t="n">
        <v>45957</v>
      </c>
      <c r="D1145" t="inlineStr">
        <is>
          <t>KRONOBERGS LÄN</t>
        </is>
      </c>
      <c r="E1145" t="inlineStr">
        <is>
          <t>UPPVIDINGE</t>
        </is>
      </c>
      <c r="G1145" t="n">
        <v>32.4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17851-2022</t>
        </is>
      </c>
      <c r="B1146" s="1" t="n">
        <v>44683.46200231482</v>
      </c>
      <c r="C1146" s="1" t="n">
        <v>45957</v>
      </c>
      <c r="D1146" t="inlineStr">
        <is>
          <t>KRONOBERGS LÄN</t>
        </is>
      </c>
      <c r="E1146" t="inlineStr">
        <is>
          <t>UPPVIDINGE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18475-2022</t>
        </is>
      </c>
      <c r="B1147" s="1" t="n">
        <v>44686</v>
      </c>
      <c r="C1147" s="1" t="n">
        <v>45957</v>
      </c>
      <c r="D1147" t="inlineStr">
        <is>
          <t>KRONOBERGS LÄN</t>
        </is>
      </c>
      <c r="E1147" t="inlineStr">
        <is>
          <t>UPPVIDINGE</t>
        </is>
      </c>
      <c r="G1147" t="n">
        <v>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43623-2022</t>
        </is>
      </c>
      <c r="B1148" s="1" t="n">
        <v>44837</v>
      </c>
      <c r="C1148" s="1" t="n">
        <v>45957</v>
      </c>
      <c r="D1148" t="inlineStr">
        <is>
          <t>KRONOBERGS LÄN</t>
        </is>
      </c>
      <c r="E1148" t="inlineStr">
        <is>
          <t>MARKARYD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14140-2021</t>
        </is>
      </c>
      <c r="B1149" s="1" t="n">
        <v>44278</v>
      </c>
      <c r="C1149" s="1" t="n">
        <v>45957</v>
      </c>
      <c r="D1149" t="inlineStr">
        <is>
          <t>KRONOBERGS LÄN</t>
        </is>
      </c>
      <c r="E1149" t="inlineStr">
        <is>
          <t>ÄLMHULT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54482-2022</t>
        </is>
      </c>
      <c r="B1150" s="1" t="n">
        <v>44882.66891203704</v>
      </c>
      <c r="C1150" s="1" t="n">
        <v>45957</v>
      </c>
      <c r="D1150" t="inlineStr">
        <is>
          <t>KRONOBERGS LÄN</t>
        </is>
      </c>
      <c r="E1150" t="inlineStr">
        <is>
          <t>LJUNGBY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32650-2022</t>
        </is>
      </c>
      <c r="B1151" s="1" t="n">
        <v>44783.50260416666</v>
      </c>
      <c r="C1151" s="1" t="n">
        <v>45957</v>
      </c>
      <c r="D1151" t="inlineStr">
        <is>
          <t>KRONOBERGS LÄN</t>
        </is>
      </c>
      <c r="E1151" t="inlineStr">
        <is>
          <t>ALVESTA</t>
        </is>
      </c>
      <c r="G1151" t="n">
        <v>4.1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41302-2023</t>
        </is>
      </c>
      <c r="B1152" s="1" t="n">
        <v>45173</v>
      </c>
      <c r="C1152" s="1" t="n">
        <v>45957</v>
      </c>
      <c r="D1152" t="inlineStr">
        <is>
          <t>KRONOBERGS LÄN</t>
        </is>
      </c>
      <c r="E1152" t="inlineStr">
        <is>
          <t>TINGSRYD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6464-2021</t>
        </is>
      </c>
      <c r="B1153" s="1" t="n">
        <v>44235</v>
      </c>
      <c r="C1153" s="1" t="n">
        <v>45957</v>
      </c>
      <c r="D1153" t="inlineStr">
        <is>
          <t>KRONOBERGS LÄN</t>
        </is>
      </c>
      <c r="E1153" t="inlineStr">
        <is>
          <t>LJUNGBY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19780-2021</t>
        </is>
      </c>
      <c r="B1154" s="1" t="n">
        <v>44313</v>
      </c>
      <c r="C1154" s="1" t="n">
        <v>45957</v>
      </c>
      <c r="D1154" t="inlineStr">
        <is>
          <t>KRONOBERGS LÄN</t>
        </is>
      </c>
      <c r="E1154" t="inlineStr">
        <is>
          <t>TINGSRYD</t>
        </is>
      </c>
      <c r="G1154" t="n">
        <v>5.8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20264-2025</t>
        </is>
      </c>
      <c r="B1155" s="1" t="n">
        <v>45773.44608796296</v>
      </c>
      <c r="C1155" s="1" t="n">
        <v>45957</v>
      </c>
      <c r="D1155" t="inlineStr">
        <is>
          <t>KRONOBERGS LÄN</t>
        </is>
      </c>
      <c r="E1155" t="inlineStr">
        <is>
          <t>LJUNGBY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46392-2022</t>
        </is>
      </c>
      <c r="B1156" s="1" t="n">
        <v>44848.38094907408</v>
      </c>
      <c r="C1156" s="1" t="n">
        <v>45957</v>
      </c>
      <c r="D1156" t="inlineStr">
        <is>
          <t>KRONOBERGS LÄN</t>
        </is>
      </c>
      <c r="E1156" t="inlineStr">
        <is>
          <t>MARKARYD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7954-2021</t>
        </is>
      </c>
      <c r="B1157" s="1" t="n">
        <v>44243.44302083334</v>
      </c>
      <c r="C1157" s="1" t="n">
        <v>45957</v>
      </c>
      <c r="D1157" t="inlineStr">
        <is>
          <t>KRONOBERGS LÄN</t>
        </is>
      </c>
      <c r="E1157" t="inlineStr">
        <is>
          <t>TINGSRYD</t>
        </is>
      </c>
      <c r="G1157" t="n">
        <v>1.2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20143-2022</t>
        </is>
      </c>
      <c r="B1158" s="1" t="n">
        <v>44698.44061342593</v>
      </c>
      <c r="C1158" s="1" t="n">
        <v>45957</v>
      </c>
      <c r="D1158" t="inlineStr">
        <is>
          <t>KRONOBERGS LÄN</t>
        </is>
      </c>
      <c r="E1158" t="inlineStr">
        <is>
          <t>TINGSRYD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33909-2021</t>
        </is>
      </c>
      <c r="B1159" s="1" t="n">
        <v>44378</v>
      </c>
      <c r="C1159" s="1" t="n">
        <v>45957</v>
      </c>
      <c r="D1159" t="inlineStr">
        <is>
          <t>KRONOBERGS LÄN</t>
        </is>
      </c>
      <c r="E1159" t="inlineStr">
        <is>
          <t>MARKARYD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21960-2022</t>
        </is>
      </c>
      <c r="B1160" s="1" t="n">
        <v>44711.51280092593</v>
      </c>
      <c r="C1160" s="1" t="n">
        <v>45957</v>
      </c>
      <c r="D1160" t="inlineStr">
        <is>
          <t>KRONOBERGS LÄN</t>
        </is>
      </c>
      <c r="E1160" t="inlineStr">
        <is>
          <t>VÄXJÖ</t>
        </is>
      </c>
      <c r="G1160" t="n">
        <v>0.7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18364-2022</t>
        </is>
      </c>
      <c r="B1161" s="1" t="n">
        <v>44685.90943287037</v>
      </c>
      <c r="C1161" s="1" t="n">
        <v>45957</v>
      </c>
      <c r="D1161" t="inlineStr">
        <is>
          <t>KRONOBERGS LÄN</t>
        </is>
      </c>
      <c r="E1161" t="inlineStr">
        <is>
          <t>TINGSRYD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18458-2021</t>
        </is>
      </c>
      <c r="B1162" s="1" t="n">
        <v>44305</v>
      </c>
      <c r="C1162" s="1" t="n">
        <v>45957</v>
      </c>
      <c r="D1162" t="inlineStr">
        <is>
          <t>KRONOBERGS LÄN</t>
        </is>
      </c>
      <c r="E1162" t="inlineStr">
        <is>
          <t>VÄXJÖ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19495-2022</t>
        </is>
      </c>
      <c r="B1163" s="1" t="n">
        <v>44693.49518518519</v>
      </c>
      <c r="C1163" s="1" t="n">
        <v>45957</v>
      </c>
      <c r="D1163" t="inlineStr">
        <is>
          <t>KRONOBERGS LÄN</t>
        </is>
      </c>
      <c r="E1163" t="inlineStr">
        <is>
          <t>LESSEBO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58060-2021</t>
        </is>
      </c>
      <c r="B1164" s="1" t="n">
        <v>44487</v>
      </c>
      <c r="C1164" s="1" t="n">
        <v>45957</v>
      </c>
      <c r="D1164" t="inlineStr">
        <is>
          <t>KRONOBERGS LÄN</t>
        </is>
      </c>
      <c r="E1164" t="inlineStr">
        <is>
          <t>VÄXJÖ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29883-2021</t>
        </is>
      </c>
      <c r="B1165" s="1" t="n">
        <v>44362.73894675926</v>
      </c>
      <c r="C1165" s="1" t="n">
        <v>45957</v>
      </c>
      <c r="D1165" t="inlineStr">
        <is>
          <t>KRONOBERGS LÄN</t>
        </is>
      </c>
      <c r="E1165" t="inlineStr">
        <is>
          <t>ÄLMHULT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31066-2022</t>
        </is>
      </c>
      <c r="B1166" s="1" t="n">
        <v>44769.55420138889</v>
      </c>
      <c r="C1166" s="1" t="n">
        <v>45957</v>
      </c>
      <c r="D1166" t="inlineStr">
        <is>
          <t>KRONOBERGS LÄN</t>
        </is>
      </c>
      <c r="E1166" t="inlineStr">
        <is>
          <t>TINGSRYD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21938-2022</t>
        </is>
      </c>
      <c r="B1167" s="1" t="n">
        <v>44711.4805324074</v>
      </c>
      <c r="C1167" s="1" t="n">
        <v>45957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24091-2021</t>
        </is>
      </c>
      <c r="B1168" s="1" t="n">
        <v>44336</v>
      </c>
      <c r="C1168" s="1" t="n">
        <v>45957</v>
      </c>
      <c r="D1168" t="inlineStr">
        <is>
          <t>KRONOBERGS LÄN</t>
        </is>
      </c>
      <c r="E1168" t="inlineStr">
        <is>
          <t>ALVESTA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19663-2021</t>
        </is>
      </c>
      <c r="B1169" s="1" t="n">
        <v>44312.66563657407</v>
      </c>
      <c r="C1169" s="1" t="n">
        <v>45957</v>
      </c>
      <c r="D1169" t="inlineStr">
        <is>
          <t>KRONOBERGS LÄN</t>
        </is>
      </c>
      <c r="E1169" t="inlineStr">
        <is>
          <t>ÄLMHULT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6323-2024</t>
        </is>
      </c>
      <c r="B1170" s="1" t="n">
        <v>45338</v>
      </c>
      <c r="C1170" s="1" t="n">
        <v>45957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4.5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6330-2024</t>
        </is>
      </c>
      <c r="B1171" s="1" t="n">
        <v>45338</v>
      </c>
      <c r="C1171" s="1" t="n">
        <v>45957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6333-2024</t>
        </is>
      </c>
      <c r="B1172" s="1" t="n">
        <v>45338</v>
      </c>
      <c r="C1172" s="1" t="n">
        <v>45957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40173-2022</t>
        </is>
      </c>
      <c r="B1173" s="1" t="n">
        <v>44820</v>
      </c>
      <c r="C1173" s="1" t="n">
        <v>45957</v>
      </c>
      <c r="D1173" t="inlineStr">
        <is>
          <t>KRONOBERGS LÄN</t>
        </is>
      </c>
      <c r="E1173" t="inlineStr">
        <is>
          <t>TINGSRYD</t>
        </is>
      </c>
      <c r="G1173" t="n">
        <v>5.2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60357-2020</t>
        </is>
      </c>
      <c r="B1174" s="1" t="n">
        <v>44152</v>
      </c>
      <c r="C1174" s="1" t="n">
        <v>45957</v>
      </c>
      <c r="D1174" t="inlineStr">
        <is>
          <t>KRONOBERGS LÄN</t>
        </is>
      </c>
      <c r="E1174" t="inlineStr">
        <is>
          <t>LJUNGBY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30609-2021</t>
        </is>
      </c>
      <c r="B1175" s="1" t="n">
        <v>44365.29659722222</v>
      </c>
      <c r="C1175" s="1" t="n">
        <v>45957</v>
      </c>
      <c r="D1175" t="inlineStr">
        <is>
          <t>KRONOBERGS LÄN</t>
        </is>
      </c>
      <c r="E1175" t="inlineStr">
        <is>
          <t>MARKARYD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43000-2022</t>
        </is>
      </c>
      <c r="B1176" s="1" t="n">
        <v>44833</v>
      </c>
      <c r="C1176" s="1" t="n">
        <v>45957</v>
      </c>
      <c r="D1176" t="inlineStr">
        <is>
          <t>KRONOBERGS LÄN</t>
        </is>
      </c>
      <c r="E1176" t="inlineStr">
        <is>
          <t>ALVESTA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66137-2020</t>
        </is>
      </c>
      <c r="B1177" s="1" t="n">
        <v>44175</v>
      </c>
      <c r="C1177" s="1" t="n">
        <v>45957</v>
      </c>
      <c r="D1177" t="inlineStr">
        <is>
          <t>KRONOBERGS LÄN</t>
        </is>
      </c>
      <c r="E1177" t="inlineStr">
        <is>
          <t>LJUNGBY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32334-2024</t>
        </is>
      </c>
      <c r="B1178" s="1" t="n">
        <v>45512.48291666667</v>
      </c>
      <c r="C1178" s="1" t="n">
        <v>45957</v>
      </c>
      <c r="D1178" t="inlineStr">
        <is>
          <t>KRONOBERGS LÄN</t>
        </is>
      </c>
      <c r="E1178" t="inlineStr">
        <is>
          <t>ALVESTA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68940-2020</t>
        </is>
      </c>
      <c r="B1179" s="1" t="n">
        <v>44187.74415509259</v>
      </c>
      <c r="C1179" s="1" t="n">
        <v>45957</v>
      </c>
      <c r="D1179" t="inlineStr">
        <is>
          <t>KRONOBERGS LÄN</t>
        </is>
      </c>
      <c r="E1179" t="inlineStr">
        <is>
          <t>LJUNGBY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43255-2021</t>
        </is>
      </c>
      <c r="B1180" s="1" t="n">
        <v>44432</v>
      </c>
      <c r="C1180" s="1" t="n">
        <v>45957</v>
      </c>
      <c r="D1180" t="inlineStr">
        <is>
          <t>KRONOBERGS LÄN</t>
        </is>
      </c>
      <c r="E1180" t="inlineStr">
        <is>
          <t>LESSEBO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4403-2021</t>
        </is>
      </c>
      <c r="B1181" s="1" t="n">
        <v>44223</v>
      </c>
      <c r="C1181" s="1" t="n">
        <v>45957</v>
      </c>
      <c r="D1181" t="inlineStr">
        <is>
          <t>KRONOBERGS LÄN</t>
        </is>
      </c>
      <c r="E1181" t="inlineStr">
        <is>
          <t>VÄXJÖ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36064-2022</t>
        </is>
      </c>
      <c r="B1182" s="1" t="n">
        <v>44802</v>
      </c>
      <c r="C1182" s="1" t="n">
        <v>45957</v>
      </c>
      <c r="D1182" t="inlineStr">
        <is>
          <t>KRONOBERGS LÄN</t>
        </is>
      </c>
      <c r="E1182" t="inlineStr">
        <is>
          <t>MARKARYD</t>
        </is>
      </c>
      <c r="G1182" t="n">
        <v>2.2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31090-2022</t>
        </is>
      </c>
      <c r="B1183" s="1" t="n">
        <v>44769.61976851852</v>
      </c>
      <c r="C1183" s="1" t="n">
        <v>45957</v>
      </c>
      <c r="D1183" t="inlineStr">
        <is>
          <t>KRONOBERGS LÄN</t>
        </is>
      </c>
      <c r="E1183" t="inlineStr">
        <is>
          <t>VÄXJÖ</t>
        </is>
      </c>
      <c r="F1183" t="inlineStr">
        <is>
          <t>Sveaskog</t>
        </is>
      </c>
      <c r="G1183" t="n">
        <v>4.5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31091-2022</t>
        </is>
      </c>
      <c r="B1184" s="1" t="n">
        <v>44769.62064814815</v>
      </c>
      <c r="C1184" s="1" t="n">
        <v>45957</v>
      </c>
      <c r="D1184" t="inlineStr">
        <is>
          <t>KRONOBERGS LÄN</t>
        </is>
      </c>
      <c r="E1184" t="inlineStr">
        <is>
          <t>VÄXJÖ</t>
        </is>
      </c>
      <c r="F1184" t="inlineStr">
        <is>
          <t>Sveaskog</t>
        </is>
      </c>
      <c r="G1184" t="n">
        <v>3.1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25202-2021</t>
        </is>
      </c>
      <c r="B1185" s="1" t="n">
        <v>44342.36506944444</v>
      </c>
      <c r="C1185" s="1" t="n">
        <v>45957</v>
      </c>
      <c r="D1185" t="inlineStr">
        <is>
          <t>KRONOBERGS LÄN</t>
        </is>
      </c>
      <c r="E1185" t="inlineStr">
        <is>
          <t>ÄLMHULT</t>
        </is>
      </c>
      <c r="G1185" t="n">
        <v>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45664-2022</t>
        </is>
      </c>
      <c r="B1186" s="1" t="n">
        <v>44845</v>
      </c>
      <c r="C1186" s="1" t="n">
        <v>45957</v>
      </c>
      <c r="D1186" t="inlineStr">
        <is>
          <t>KRONOBERGS LÄN</t>
        </is>
      </c>
      <c r="E1186" t="inlineStr">
        <is>
          <t>LJUNGBY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8006-2022</t>
        </is>
      </c>
      <c r="B1187" s="1" t="n">
        <v>44607</v>
      </c>
      <c r="C1187" s="1" t="n">
        <v>45957</v>
      </c>
      <c r="D1187" t="inlineStr">
        <is>
          <t>KRONOBERGS LÄN</t>
        </is>
      </c>
      <c r="E1187" t="inlineStr">
        <is>
          <t>UPPVIDINGE</t>
        </is>
      </c>
      <c r="G1187" t="n">
        <v>2.5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8013-2022</t>
        </is>
      </c>
      <c r="B1188" s="1" t="n">
        <v>44607</v>
      </c>
      <c r="C1188" s="1" t="n">
        <v>45957</v>
      </c>
      <c r="D1188" t="inlineStr">
        <is>
          <t>KRONOBERGS LÄN</t>
        </is>
      </c>
      <c r="E1188" t="inlineStr">
        <is>
          <t>UPPVIDINGE</t>
        </is>
      </c>
      <c r="G1188" t="n">
        <v>5.7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9422-2021</t>
        </is>
      </c>
      <c r="B1189" s="1" t="n">
        <v>44251</v>
      </c>
      <c r="C1189" s="1" t="n">
        <v>45957</v>
      </c>
      <c r="D1189" t="inlineStr">
        <is>
          <t>KRONOBERGS LÄN</t>
        </is>
      </c>
      <c r="E1189" t="inlineStr">
        <is>
          <t>ÄLMHULT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21485-2021</t>
        </is>
      </c>
      <c r="B1190" s="1" t="n">
        <v>44321.51725694445</v>
      </c>
      <c r="C1190" s="1" t="n">
        <v>45957</v>
      </c>
      <c r="D1190" t="inlineStr">
        <is>
          <t>KRONOBERGS LÄN</t>
        </is>
      </c>
      <c r="E1190" t="inlineStr">
        <is>
          <t>LJUNGBY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59237-2021</t>
        </is>
      </c>
      <c r="B1191" s="1" t="n">
        <v>44490.64082175926</v>
      </c>
      <c r="C1191" s="1" t="n">
        <v>45957</v>
      </c>
      <c r="D1191" t="inlineStr">
        <is>
          <t>KRONOBERGS LÄN</t>
        </is>
      </c>
      <c r="E1191" t="inlineStr">
        <is>
          <t>VÄXJÖ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25579-2021</t>
        </is>
      </c>
      <c r="B1192" s="1" t="n">
        <v>44343</v>
      </c>
      <c r="C1192" s="1" t="n">
        <v>45957</v>
      </c>
      <c r="D1192" t="inlineStr">
        <is>
          <t>KRONOBERGS LÄN</t>
        </is>
      </c>
      <c r="E1192" t="inlineStr">
        <is>
          <t>TINGSRYD</t>
        </is>
      </c>
      <c r="F1192" t="inlineStr">
        <is>
          <t>Övriga Aktiebolag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62861-2023</t>
        </is>
      </c>
      <c r="B1193" s="1" t="n">
        <v>45272</v>
      </c>
      <c r="C1193" s="1" t="n">
        <v>45957</v>
      </c>
      <c r="D1193" t="inlineStr">
        <is>
          <t>KRONOBERGS LÄN</t>
        </is>
      </c>
      <c r="E1193" t="inlineStr">
        <is>
          <t>LJUNGBY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59093-2021</t>
        </is>
      </c>
      <c r="B1194" s="1" t="n">
        <v>44490</v>
      </c>
      <c r="C1194" s="1" t="n">
        <v>45957</v>
      </c>
      <c r="D1194" t="inlineStr">
        <is>
          <t>KRONOBERGS LÄN</t>
        </is>
      </c>
      <c r="E1194" t="inlineStr">
        <is>
          <t>TINGSRYD</t>
        </is>
      </c>
      <c r="F1194" t="inlineStr">
        <is>
          <t>Sveaskog</t>
        </is>
      </c>
      <c r="G1194" t="n">
        <v>2.3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44691-2021</t>
        </is>
      </c>
      <c r="B1195" s="1" t="n">
        <v>44438</v>
      </c>
      <c r="C1195" s="1" t="n">
        <v>45957</v>
      </c>
      <c r="D1195" t="inlineStr">
        <is>
          <t>KRONOBERGS LÄN</t>
        </is>
      </c>
      <c r="E1195" t="inlineStr">
        <is>
          <t>VÄXJÖ</t>
        </is>
      </c>
      <c r="G1195" t="n">
        <v>3.7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55316-2022</t>
        </is>
      </c>
      <c r="B1196" s="1" t="n">
        <v>44887.42283564815</v>
      </c>
      <c r="C1196" s="1" t="n">
        <v>45957</v>
      </c>
      <c r="D1196" t="inlineStr">
        <is>
          <t>KRONOBERGS LÄN</t>
        </is>
      </c>
      <c r="E1196" t="inlineStr">
        <is>
          <t>UPPVIDINGE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55320-2022</t>
        </is>
      </c>
      <c r="B1197" s="1" t="n">
        <v>44887.42663194444</v>
      </c>
      <c r="C1197" s="1" t="n">
        <v>45957</v>
      </c>
      <c r="D1197" t="inlineStr">
        <is>
          <t>KRONOBERGS LÄN</t>
        </is>
      </c>
      <c r="E1197" t="inlineStr">
        <is>
          <t>UPPVIDINGE</t>
        </is>
      </c>
      <c r="F1197" t="inlineStr">
        <is>
          <t>Sveaskog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49593-2022</t>
        </is>
      </c>
      <c r="B1198" s="1" t="n">
        <v>44862.38081018518</v>
      </c>
      <c r="C1198" s="1" t="n">
        <v>45957</v>
      </c>
      <c r="D1198" t="inlineStr">
        <is>
          <t>KRONOBERGS LÄN</t>
        </is>
      </c>
      <c r="E1198" t="inlineStr">
        <is>
          <t>LJUNGBY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59220-2021</t>
        </is>
      </c>
      <c r="B1199" s="1" t="n">
        <v>44490.62605324074</v>
      </c>
      <c r="C1199" s="1" t="n">
        <v>45957</v>
      </c>
      <c r="D1199" t="inlineStr">
        <is>
          <t>KRONOBERGS LÄN</t>
        </is>
      </c>
      <c r="E1199" t="inlineStr">
        <is>
          <t>ALVESTA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59281-2021</t>
        </is>
      </c>
      <c r="B1200" s="1" t="n">
        <v>44490.74336805556</v>
      </c>
      <c r="C1200" s="1" t="n">
        <v>45957</v>
      </c>
      <c r="D1200" t="inlineStr">
        <is>
          <t>KRONOBERGS LÄN</t>
        </is>
      </c>
      <c r="E1200" t="inlineStr">
        <is>
          <t>UPPVIDINGE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49565-2023</t>
        </is>
      </c>
      <c r="B1201" s="1" t="n">
        <v>45211.64981481482</v>
      </c>
      <c r="C1201" s="1" t="n">
        <v>45957</v>
      </c>
      <c r="D1201" t="inlineStr">
        <is>
          <t>KRONOBERGS LÄN</t>
        </is>
      </c>
      <c r="E1201" t="inlineStr">
        <is>
          <t>ÄLMHULT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36375-2024</t>
        </is>
      </c>
      <c r="B1202" s="1" t="n">
        <v>45534.68802083333</v>
      </c>
      <c r="C1202" s="1" t="n">
        <v>45957</v>
      </c>
      <c r="D1202" t="inlineStr">
        <is>
          <t>KRONOBERGS LÄN</t>
        </is>
      </c>
      <c r="E1202" t="inlineStr">
        <is>
          <t>VÄXJÖ</t>
        </is>
      </c>
      <c r="G1202" t="n">
        <v>3.5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50307-2021</t>
        </is>
      </c>
      <c r="B1203" s="1" t="n">
        <v>44459</v>
      </c>
      <c r="C1203" s="1" t="n">
        <v>45957</v>
      </c>
      <c r="D1203" t="inlineStr">
        <is>
          <t>KRONOBERGS LÄN</t>
        </is>
      </c>
      <c r="E1203" t="inlineStr">
        <is>
          <t>UPPVIDINGE</t>
        </is>
      </c>
      <c r="G1203" t="n">
        <v>1.1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54969-2021</t>
        </is>
      </c>
      <c r="B1204" s="1" t="n">
        <v>44474.50032407408</v>
      </c>
      <c r="C1204" s="1" t="n">
        <v>45957</v>
      </c>
      <c r="D1204" t="inlineStr">
        <is>
          <t>KRONOBERGS LÄN</t>
        </is>
      </c>
      <c r="E1204" t="inlineStr">
        <is>
          <t>ÄLMHULT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20430-2021</t>
        </is>
      </c>
      <c r="B1205" s="1" t="n">
        <v>44315</v>
      </c>
      <c r="C1205" s="1" t="n">
        <v>45957</v>
      </c>
      <c r="D1205" t="inlineStr">
        <is>
          <t>KRONOBERGS LÄN</t>
        </is>
      </c>
      <c r="E1205" t="inlineStr">
        <is>
          <t>ÄLMHULT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31116-2022</t>
        </is>
      </c>
      <c r="B1206" s="1" t="n">
        <v>44769.88133101852</v>
      </c>
      <c r="C1206" s="1" t="n">
        <v>45957</v>
      </c>
      <c r="D1206" t="inlineStr">
        <is>
          <t>KRONOBERGS LÄN</t>
        </is>
      </c>
      <c r="E1206" t="inlineStr">
        <is>
          <t>VÄXJÖ</t>
        </is>
      </c>
      <c r="F1206" t="inlineStr">
        <is>
          <t>Sveaskog</t>
        </is>
      </c>
      <c r="G1206" t="n">
        <v>0.2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29133-2023</t>
        </is>
      </c>
      <c r="B1207" s="1" t="n">
        <v>45105</v>
      </c>
      <c r="C1207" s="1" t="n">
        <v>45957</v>
      </c>
      <c r="D1207" t="inlineStr">
        <is>
          <t>KRONOBERGS LÄN</t>
        </is>
      </c>
      <c r="E1207" t="inlineStr">
        <is>
          <t>ALVESTA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9029-2025</t>
        </is>
      </c>
      <c r="B1208" s="1" t="n">
        <v>45713</v>
      </c>
      <c r="C1208" s="1" t="n">
        <v>45957</v>
      </c>
      <c r="D1208" t="inlineStr">
        <is>
          <t>KRONOBERGS LÄN</t>
        </is>
      </c>
      <c r="E1208" t="inlineStr">
        <is>
          <t>LJUNGBY</t>
        </is>
      </c>
      <c r="F1208" t="inlineStr">
        <is>
          <t>Sveaskog</t>
        </is>
      </c>
      <c r="G1208" t="n">
        <v>8.9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12626-2022</t>
        </is>
      </c>
      <c r="B1209" s="1" t="n">
        <v>44641.41453703704</v>
      </c>
      <c r="C1209" s="1" t="n">
        <v>45957</v>
      </c>
      <c r="D1209" t="inlineStr">
        <is>
          <t>KRONOBERGS LÄN</t>
        </is>
      </c>
      <c r="E1209" t="inlineStr">
        <is>
          <t>TINGSRYD</t>
        </is>
      </c>
      <c r="G1209" t="n">
        <v>3.9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7546-2024</t>
        </is>
      </c>
      <c r="B1210" s="1" t="n">
        <v>45348.42112268518</v>
      </c>
      <c r="C1210" s="1" t="n">
        <v>45957</v>
      </c>
      <c r="D1210" t="inlineStr">
        <is>
          <t>KRONOBERGS LÄN</t>
        </is>
      </c>
      <c r="E1210" t="inlineStr">
        <is>
          <t>ÄLMHULT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40916-2021</t>
        </is>
      </c>
      <c r="B1211" s="1" t="n">
        <v>44421</v>
      </c>
      <c r="C1211" s="1" t="n">
        <v>45957</v>
      </c>
      <c r="D1211" t="inlineStr">
        <is>
          <t>KRONOBERGS LÄN</t>
        </is>
      </c>
      <c r="E1211" t="inlineStr">
        <is>
          <t>LJUNGBY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22087-2023</t>
        </is>
      </c>
      <c r="B1212" s="1" t="n">
        <v>45069.48967592593</v>
      </c>
      <c r="C1212" s="1" t="n">
        <v>45957</v>
      </c>
      <c r="D1212" t="inlineStr">
        <is>
          <t>KRONOBERGS LÄN</t>
        </is>
      </c>
      <c r="E1212" t="inlineStr">
        <is>
          <t>LJUNGBY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12145-2022</t>
        </is>
      </c>
      <c r="B1213" s="1" t="n">
        <v>44636</v>
      </c>
      <c r="C1213" s="1" t="n">
        <v>45957</v>
      </c>
      <c r="D1213" t="inlineStr">
        <is>
          <t>KRONOBERGS LÄN</t>
        </is>
      </c>
      <c r="E1213" t="inlineStr">
        <is>
          <t>ÄLMHULT</t>
        </is>
      </c>
      <c r="G1213" t="n">
        <v>0.2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22154-2023</t>
        </is>
      </c>
      <c r="B1214" s="1" t="n">
        <v>45069.64538194444</v>
      </c>
      <c r="C1214" s="1" t="n">
        <v>45957</v>
      </c>
      <c r="D1214" t="inlineStr">
        <is>
          <t>KRONOBERGS LÄN</t>
        </is>
      </c>
      <c r="E1214" t="inlineStr">
        <is>
          <t>MARKARYD</t>
        </is>
      </c>
      <c r="G1214" t="n">
        <v>2.3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6622-2022</t>
        </is>
      </c>
      <c r="B1215" s="1" t="n">
        <v>44601.75174768519</v>
      </c>
      <c r="C1215" s="1" t="n">
        <v>45957</v>
      </c>
      <c r="D1215" t="inlineStr">
        <is>
          <t>KRONOBERGS LÄN</t>
        </is>
      </c>
      <c r="E1215" t="inlineStr">
        <is>
          <t>UPPVIDINGE</t>
        </is>
      </c>
      <c r="G1215" t="n">
        <v>0.4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37209-2022</t>
        </is>
      </c>
      <c r="B1216" s="1" t="n">
        <v>44806</v>
      </c>
      <c r="C1216" s="1" t="n">
        <v>45957</v>
      </c>
      <c r="D1216" t="inlineStr">
        <is>
          <t>KRONOBERGS LÄN</t>
        </is>
      </c>
      <c r="E1216" t="inlineStr">
        <is>
          <t>LJUNGBY</t>
        </is>
      </c>
      <c r="G1216" t="n">
        <v>0.2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13873-2024</t>
        </is>
      </c>
      <c r="B1217" s="1" t="n">
        <v>45391.58608796296</v>
      </c>
      <c r="C1217" s="1" t="n">
        <v>45957</v>
      </c>
      <c r="D1217" t="inlineStr">
        <is>
          <t>KRONOBERGS LÄN</t>
        </is>
      </c>
      <c r="E1217" t="inlineStr">
        <is>
          <t>UPPVIDINGE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29517-2022</t>
        </is>
      </c>
      <c r="B1218" s="1" t="n">
        <v>44753.66400462963</v>
      </c>
      <c r="C1218" s="1" t="n">
        <v>45957</v>
      </c>
      <c r="D1218" t="inlineStr">
        <is>
          <t>KRONOBERGS LÄN</t>
        </is>
      </c>
      <c r="E1218" t="inlineStr">
        <is>
          <t>TINGSRYD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71392-2021</t>
        </is>
      </c>
      <c r="B1219" s="1" t="n">
        <v>44540.34863425926</v>
      </c>
      <c r="C1219" s="1" t="n">
        <v>45957</v>
      </c>
      <c r="D1219" t="inlineStr">
        <is>
          <t>KRONOBERGS LÄN</t>
        </is>
      </c>
      <c r="E1219" t="inlineStr">
        <is>
          <t>TINGSRYD</t>
        </is>
      </c>
      <c r="G1219" t="n">
        <v>0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53937-2021</t>
        </is>
      </c>
      <c r="B1220" s="1" t="n">
        <v>44469.84737268519</v>
      </c>
      <c r="C1220" s="1" t="n">
        <v>45957</v>
      </c>
      <c r="D1220" t="inlineStr">
        <is>
          <t>KRONOBERGS LÄN</t>
        </is>
      </c>
      <c r="E1220" t="inlineStr">
        <is>
          <t>ALVESTA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15568-2024</t>
        </is>
      </c>
      <c r="B1221" s="1" t="n">
        <v>45401.66519675926</v>
      </c>
      <c r="C1221" s="1" t="n">
        <v>45957</v>
      </c>
      <c r="D1221" t="inlineStr">
        <is>
          <t>KRONOBERGS LÄN</t>
        </is>
      </c>
      <c r="E1221" t="inlineStr">
        <is>
          <t>ÄLMHULT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22119-2022</t>
        </is>
      </c>
      <c r="B1222" s="1" t="n">
        <v>44712.30428240741</v>
      </c>
      <c r="C1222" s="1" t="n">
        <v>45957</v>
      </c>
      <c r="D1222" t="inlineStr">
        <is>
          <t>KRONOBERGS LÄN</t>
        </is>
      </c>
      <c r="E1222" t="inlineStr">
        <is>
          <t>LJUNGBY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37360-2022</t>
        </is>
      </c>
      <c r="B1223" s="1" t="n">
        <v>44809.39019675926</v>
      </c>
      <c r="C1223" s="1" t="n">
        <v>45957</v>
      </c>
      <c r="D1223" t="inlineStr">
        <is>
          <t>KRONOBERGS LÄN</t>
        </is>
      </c>
      <c r="E1223" t="inlineStr">
        <is>
          <t>LJUNGBY</t>
        </is>
      </c>
      <c r="G1223" t="n">
        <v>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9970-2022</t>
        </is>
      </c>
      <c r="B1224" s="1" t="n">
        <v>44621.38295138889</v>
      </c>
      <c r="C1224" s="1" t="n">
        <v>45957</v>
      </c>
      <c r="D1224" t="inlineStr">
        <is>
          <t>KRONOBERGS LÄN</t>
        </is>
      </c>
      <c r="E1224" t="inlineStr">
        <is>
          <t>ÄLMHULT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48273-2022</t>
        </is>
      </c>
      <c r="B1225" s="1" t="n">
        <v>44858.49122685185</v>
      </c>
      <c r="C1225" s="1" t="n">
        <v>45957</v>
      </c>
      <c r="D1225" t="inlineStr">
        <is>
          <t>KRONOBERGS LÄN</t>
        </is>
      </c>
      <c r="E1225" t="inlineStr">
        <is>
          <t>UPPVIDINGE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12453-2022</t>
        </is>
      </c>
      <c r="B1226" s="1" t="n">
        <v>44638.41520833333</v>
      </c>
      <c r="C1226" s="1" t="n">
        <v>45957</v>
      </c>
      <c r="D1226" t="inlineStr">
        <is>
          <t>KRONOBERGS LÄN</t>
        </is>
      </c>
      <c r="E1226" t="inlineStr">
        <is>
          <t>MARKARYD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47807-2021</t>
        </is>
      </c>
      <c r="B1227" s="1" t="n">
        <v>44448.61657407408</v>
      </c>
      <c r="C1227" s="1" t="n">
        <v>45957</v>
      </c>
      <c r="D1227" t="inlineStr">
        <is>
          <t>KRONOBERGS LÄN</t>
        </is>
      </c>
      <c r="E1227" t="inlineStr">
        <is>
          <t>TINGSRYD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9404-2024</t>
        </is>
      </c>
      <c r="B1228" s="1" t="n">
        <v>45359.42555555556</v>
      </c>
      <c r="C1228" s="1" t="n">
        <v>45957</v>
      </c>
      <c r="D1228" t="inlineStr">
        <is>
          <t>KRONOBERGS LÄN</t>
        </is>
      </c>
      <c r="E1228" t="inlineStr">
        <is>
          <t>ALVESTA</t>
        </is>
      </c>
      <c r="G1228" t="n">
        <v>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16751-2025</t>
        </is>
      </c>
      <c r="B1229" s="1" t="n">
        <v>45754.568125</v>
      </c>
      <c r="C1229" s="1" t="n">
        <v>45957</v>
      </c>
      <c r="D1229" t="inlineStr">
        <is>
          <t>KRONOBERGS LÄN</t>
        </is>
      </c>
      <c r="E1229" t="inlineStr">
        <is>
          <t>VÄXJÖ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16781-2025</t>
        </is>
      </c>
      <c r="B1230" s="1" t="n">
        <v>45754</v>
      </c>
      <c r="C1230" s="1" t="n">
        <v>45957</v>
      </c>
      <c r="D1230" t="inlineStr">
        <is>
          <t>KRONOBERGS LÄN</t>
        </is>
      </c>
      <c r="E1230" t="inlineStr">
        <is>
          <t>VÄXJÖ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11843-2024</t>
        </is>
      </c>
      <c r="B1231" s="1" t="n">
        <v>45376.38177083333</v>
      </c>
      <c r="C1231" s="1" t="n">
        <v>45957</v>
      </c>
      <c r="D1231" t="inlineStr">
        <is>
          <t>KRONOBERGS LÄN</t>
        </is>
      </c>
      <c r="E1231" t="inlineStr">
        <is>
          <t>LESSEBO</t>
        </is>
      </c>
      <c r="F1231" t="inlineStr">
        <is>
          <t>Kommuner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38624-2024</t>
        </is>
      </c>
      <c r="B1232" s="1" t="n">
        <v>45546</v>
      </c>
      <c r="C1232" s="1" t="n">
        <v>45957</v>
      </c>
      <c r="D1232" t="inlineStr">
        <is>
          <t>KRONOBERGS LÄN</t>
        </is>
      </c>
      <c r="E1232" t="inlineStr">
        <is>
          <t>MARKARYD</t>
        </is>
      </c>
      <c r="F1232" t="inlineStr">
        <is>
          <t>Kyrkan</t>
        </is>
      </c>
      <c r="G1232" t="n">
        <v>3.4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17255-2024</t>
        </is>
      </c>
      <c r="B1233" s="1" t="n">
        <v>45414.41197916667</v>
      </c>
      <c r="C1233" s="1" t="n">
        <v>45957</v>
      </c>
      <c r="D1233" t="inlineStr">
        <is>
          <t>KRONOBERGS LÄN</t>
        </is>
      </c>
      <c r="E1233" t="inlineStr">
        <is>
          <t>MARKARYD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20178-2021</t>
        </is>
      </c>
      <c r="B1234" s="1" t="n">
        <v>44314</v>
      </c>
      <c r="C1234" s="1" t="n">
        <v>45957</v>
      </c>
      <c r="D1234" t="inlineStr">
        <is>
          <t>KRONOBERGS LÄN</t>
        </is>
      </c>
      <c r="E1234" t="inlineStr">
        <is>
          <t>LESSEBO</t>
        </is>
      </c>
      <c r="F1234" t="inlineStr">
        <is>
          <t>Kommuner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5475-2021</t>
        </is>
      </c>
      <c r="B1235" s="1" t="n">
        <v>44229</v>
      </c>
      <c r="C1235" s="1" t="n">
        <v>45957</v>
      </c>
      <c r="D1235" t="inlineStr">
        <is>
          <t>KRONOBERGS LÄN</t>
        </is>
      </c>
      <c r="E1235" t="inlineStr">
        <is>
          <t>LJUNGBY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40620-2021</t>
        </is>
      </c>
      <c r="B1236" s="1" t="n">
        <v>44420</v>
      </c>
      <c r="C1236" s="1" t="n">
        <v>45957</v>
      </c>
      <c r="D1236" t="inlineStr">
        <is>
          <t>KRONOBERGS LÄN</t>
        </is>
      </c>
      <c r="E1236" t="inlineStr">
        <is>
          <t>TINGSRYD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39324-2022</t>
        </is>
      </c>
      <c r="B1237" s="1" t="n">
        <v>44817</v>
      </c>
      <c r="C1237" s="1" t="n">
        <v>45957</v>
      </c>
      <c r="D1237" t="inlineStr">
        <is>
          <t>KRONOBERGS LÄN</t>
        </is>
      </c>
      <c r="E1237" t="inlineStr">
        <is>
          <t>LJUNGBY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48687-2022</t>
        </is>
      </c>
      <c r="B1238" s="1" t="n">
        <v>44855</v>
      </c>
      <c r="C1238" s="1" t="n">
        <v>45957</v>
      </c>
      <c r="D1238" t="inlineStr">
        <is>
          <t>KRONOBERGS LÄN</t>
        </is>
      </c>
      <c r="E1238" t="inlineStr">
        <is>
          <t>ÄLMHULT</t>
        </is>
      </c>
      <c r="G1238" t="n">
        <v>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7219-2022</t>
        </is>
      </c>
      <c r="B1239" s="1" t="n">
        <v>44603</v>
      </c>
      <c r="C1239" s="1" t="n">
        <v>45957</v>
      </c>
      <c r="D1239" t="inlineStr">
        <is>
          <t>KRONOBERGS LÄN</t>
        </is>
      </c>
      <c r="E1239" t="inlineStr">
        <is>
          <t>VÄXJÖ</t>
        </is>
      </c>
      <c r="F1239" t="inlineStr">
        <is>
          <t>Kyrkan</t>
        </is>
      </c>
      <c r="G1239" t="n">
        <v>1.4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7273-2022</t>
        </is>
      </c>
      <c r="B1240" s="1" t="n">
        <v>44606</v>
      </c>
      <c r="C1240" s="1" t="n">
        <v>45957</v>
      </c>
      <c r="D1240" t="inlineStr">
        <is>
          <t>KRONOBERGS LÄN</t>
        </is>
      </c>
      <c r="E1240" t="inlineStr">
        <is>
          <t>LJUNGBY</t>
        </is>
      </c>
      <c r="G1240" t="n">
        <v>0.1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26621-2022</t>
        </is>
      </c>
      <c r="B1241" s="1" t="n">
        <v>44739.58258101852</v>
      </c>
      <c r="C1241" s="1" t="n">
        <v>45957</v>
      </c>
      <c r="D1241" t="inlineStr">
        <is>
          <t>KRONOBERGS LÄN</t>
        </is>
      </c>
      <c r="E1241" t="inlineStr">
        <is>
          <t>ALVESTA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70744-2021</t>
        </is>
      </c>
      <c r="B1242" s="1" t="n">
        <v>44537.63180555555</v>
      </c>
      <c r="C1242" s="1" t="n">
        <v>45957</v>
      </c>
      <c r="D1242" t="inlineStr">
        <is>
          <t>KRONOBERGS LÄN</t>
        </is>
      </c>
      <c r="E1242" t="inlineStr">
        <is>
          <t>LJUNGBY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43881-2021</t>
        </is>
      </c>
      <c r="B1243" s="1" t="n">
        <v>44434</v>
      </c>
      <c r="C1243" s="1" t="n">
        <v>45957</v>
      </c>
      <c r="D1243" t="inlineStr">
        <is>
          <t>KRONOBERGS LÄN</t>
        </is>
      </c>
      <c r="E1243" t="inlineStr">
        <is>
          <t>ÄLMHULT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27737-2021</t>
        </is>
      </c>
      <c r="B1244" s="1" t="n">
        <v>44354</v>
      </c>
      <c r="C1244" s="1" t="n">
        <v>45957</v>
      </c>
      <c r="D1244" t="inlineStr">
        <is>
          <t>KRONOBERGS LÄN</t>
        </is>
      </c>
      <c r="E1244" t="inlineStr">
        <is>
          <t>UPPVIDINGE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42940-2022</t>
        </is>
      </c>
      <c r="B1245" s="1" t="n">
        <v>44833</v>
      </c>
      <c r="C1245" s="1" t="n">
        <v>45957</v>
      </c>
      <c r="D1245" t="inlineStr">
        <is>
          <t>KRONOBERGS LÄN</t>
        </is>
      </c>
      <c r="E1245" t="inlineStr">
        <is>
          <t>UPPVIDINGE</t>
        </is>
      </c>
      <c r="F1245" t="inlineStr">
        <is>
          <t>Sveaskog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914-2021</t>
        </is>
      </c>
      <c r="B1246" s="1" t="n">
        <v>44207.33739583333</v>
      </c>
      <c r="C1246" s="1" t="n">
        <v>45957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56112-2021</t>
        </is>
      </c>
      <c r="B1247" s="1" t="n">
        <v>44477.58659722222</v>
      </c>
      <c r="C1247" s="1" t="n">
        <v>45957</v>
      </c>
      <c r="D1247" t="inlineStr">
        <is>
          <t>KRONOBERGS LÄN</t>
        </is>
      </c>
      <c r="E1247" t="inlineStr">
        <is>
          <t>ALVESTA</t>
        </is>
      </c>
      <c r="G1247" t="n">
        <v>0.4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16931-2022</t>
        </is>
      </c>
      <c r="B1248" s="1" t="n">
        <v>44676.45506944445</v>
      </c>
      <c r="C1248" s="1" t="n">
        <v>45957</v>
      </c>
      <c r="D1248" t="inlineStr">
        <is>
          <t>KRONOBERGS LÄN</t>
        </is>
      </c>
      <c r="E1248" t="inlineStr">
        <is>
          <t>TINGSRYD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16970-2022</t>
        </is>
      </c>
      <c r="B1249" s="1" t="n">
        <v>44676.56075231481</v>
      </c>
      <c r="C1249" s="1" t="n">
        <v>45957</v>
      </c>
      <c r="D1249" t="inlineStr">
        <is>
          <t>KRONOBERGS LÄN</t>
        </is>
      </c>
      <c r="E1249" t="inlineStr">
        <is>
          <t>UPPVIDINGE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19619-2025</t>
        </is>
      </c>
      <c r="B1250" s="1" t="n">
        <v>45770.62311342593</v>
      </c>
      <c r="C1250" s="1" t="n">
        <v>45957</v>
      </c>
      <c r="D1250" t="inlineStr">
        <is>
          <t>KRONOBERGS LÄN</t>
        </is>
      </c>
      <c r="E1250" t="inlineStr">
        <is>
          <t>UPPVIDINGE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27794-2022</t>
        </is>
      </c>
      <c r="B1251" s="1" t="n">
        <v>44743</v>
      </c>
      <c r="C1251" s="1" t="n">
        <v>45957</v>
      </c>
      <c r="D1251" t="inlineStr">
        <is>
          <t>KRONOBERGS LÄN</t>
        </is>
      </c>
      <c r="E1251" t="inlineStr">
        <is>
          <t>LESSEBO</t>
        </is>
      </c>
      <c r="G1251" t="n">
        <v>1.2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69586-2021</t>
        </is>
      </c>
      <c r="B1252" s="1" t="n">
        <v>44531</v>
      </c>
      <c r="C1252" s="1" t="n">
        <v>45957</v>
      </c>
      <c r="D1252" t="inlineStr">
        <is>
          <t>KRONOBERGS LÄN</t>
        </is>
      </c>
      <c r="E1252" t="inlineStr">
        <is>
          <t>UPPVIDINGE</t>
        </is>
      </c>
      <c r="F1252" t="inlineStr">
        <is>
          <t>Kyrkan</t>
        </is>
      </c>
      <c r="G1252" t="n">
        <v>2.4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57952-2022</t>
        </is>
      </c>
      <c r="B1253" s="1" t="n">
        <v>44900</v>
      </c>
      <c r="C1253" s="1" t="n">
        <v>45957</v>
      </c>
      <c r="D1253" t="inlineStr">
        <is>
          <t>KRONOBERGS LÄN</t>
        </is>
      </c>
      <c r="E1253" t="inlineStr">
        <is>
          <t>LJUNGBY</t>
        </is>
      </c>
      <c r="G1253" t="n">
        <v>3.8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50896-2022</t>
        </is>
      </c>
      <c r="B1254" s="1" t="n">
        <v>44867</v>
      </c>
      <c r="C1254" s="1" t="n">
        <v>45957</v>
      </c>
      <c r="D1254" t="inlineStr">
        <is>
          <t>KRONOBERGS LÄN</t>
        </is>
      </c>
      <c r="E1254" t="inlineStr">
        <is>
          <t>LJUNGBY</t>
        </is>
      </c>
      <c r="G1254" t="n">
        <v>2.4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47728-2022</t>
        </is>
      </c>
      <c r="B1255" s="1" t="n">
        <v>44854.6284837963</v>
      </c>
      <c r="C1255" s="1" t="n">
        <v>45957</v>
      </c>
      <c r="D1255" t="inlineStr">
        <is>
          <t>KRONOBERGS LÄN</t>
        </is>
      </c>
      <c r="E1255" t="inlineStr">
        <is>
          <t>ÄLMHULT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50919-2022</t>
        </is>
      </c>
      <c r="B1256" s="1" t="n">
        <v>44867.6309375</v>
      </c>
      <c r="C1256" s="1" t="n">
        <v>45957</v>
      </c>
      <c r="D1256" t="inlineStr">
        <is>
          <t>KRONOBERGS LÄN</t>
        </is>
      </c>
      <c r="E1256" t="inlineStr">
        <is>
          <t>VÄXJÖ</t>
        </is>
      </c>
      <c r="G1256" t="n">
        <v>1.5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53497-2022</t>
        </is>
      </c>
      <c r="B1257" s="1" t="n">
        <v>44875</v>
      </c>
      <c r="C1257" s="1" t="n">
        <v>45957</v>
      </c>
      <c r="D1257" t="inlineStr">
        <is>
          <t>KRONOBERGS LÄN</t>
        </is>
      </c>
      <c r="E1257" t="inlineStr">
        <is>
          <t>TINGSRYD</t>
        </is>
      </c>
      <c r="G1257" t="n">
        <v>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3133-2022</t>
        </is>
      </c>
      <c r="B1258" s="1" t="n">
        <v>44582</v>
      </c>
      <c r="C1258" s="1" t="n">
        <v>45957</v>
      </c>
      <c r="D1258" t="inlineStr">
        <is>
          <t>KRONOBERGS LÄN</t>
        </is>
      </c>
      <c r="E1258" t="inlineStr">
        <is>
          <t>MARKARYD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20658-2022</t>
        </is>
      </c>
      <c r="B1259" s="1" t="n">
        <v>44700</v>
      </c>
      <c r="C1259" s="1" t="n">
        <v>45957</v>
      </c>
      <c r="D1259" t="inlineStr">
        <is>
          <t>KRONOBERGS LÄN</t>
        </is>
      </c>
      <c r="E1259" t="inlineStr">
        <is>
          <t>MARKARYD</t>
        </is>
      </c>
      <c r="G1259" t="n">
        <v>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37198-2022</t>
        </is>
      </c>
      <c r="B1260" s="1" t="n">
        <v>44806</v>
      </c>
      <c r="C1260" s="1" t="n">
        <v>45957</v>
      </c>
      <c r="D1260" t="inlineStr">
        <is>
          <t>KRONOBERGS LÄN</t>
        </is>
      </c>
      <c r="E1260" t="inlineStr">
        <is>
          <t>LJUNGBY</t>
        </is>
      </c>
      <c r="G1260" t="n">
        <v>0.3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45095-2022</t>
        </is>
      </c>
      <c r="B1261" s="1" t="n">
        <v>44842.46762731481</v>
      </c>
      <c r="C1261" s="1" t="n">
        <v>45957</v>
      </c>
      <c r="D1261" t="inlineStr">
        <is>
          <t>KRONOBERGS LÄN</t>
        </is>
      </c>
      <c r="E1261" t="inlineStr">
        <is>
          <t>LESSEBO</t>
        </is>
      </c>
      <c r="F1261" t="inlineStr">
        <is>
          <t>Sveaskog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18233-2021</t>
        </is>
      </c>
      <c r="B1262" s="1" t="n">
        <v>44303.48112268518</v>
      </c>
      <c r="C1262" s="1" t="n">
        <v>45957</v>
      </c>
      <c r="D1262" t="inlineStr">
        <is>
          <t>KRONOBERGS LÄN</t>
        </is>
      </c>
      <c r="E1262" t="inlineStr">
        <is>
          <t>VÄXJÖ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51310-2021</t>
        </is>
      </c>
      <c r="B1263" s="1" t="n">
        <v>44461.61133101852</v>
      </c>
      <c r="C1263" s="1" t="n">
        <v>45957</v>
      </c>
      <c r="D1263" t="inlineStr">
        <is>
          <t>KRONOBERGS LÄN</t>
        </is>
      </c>
      <c r="E1263" t="inlineStr">
        <is>
          <t>ALVESTA</t>
        </is>
      </c>
      <c r="G1263" t="n">
        <v>1.5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62160-2021</t>
        </is>
      </c>
      <c r="B1264" s="1" t="n">
        <v>44502.74899305555</v>
      </c>
      <c r="C1264" s="1" t="n">
        <v>45957</v>
      </c>
      <c r="D1264" t="inlineStr">
        <is>
          <t>KRONOBERGS LÄN</t>
        </is>
      </c>
      <c r="E1264" t="inlineStr">
        <is>
          <t>VÄXJÖ</t>
        </is>
      </c>
      <c r="F1264" t="inlineStr">
        <is>
          <t>Sveaskog</t>
        </is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48763-2022</t>
        </is>
      </c>
      <c r="B1265" s="1" t="n">
        <v>44859.58693287037</v>
      </c>
      <c r="C1265" s="1" t="n">
        <v>45957</v>
      </c>
      <c r="D1265" t="inlineStr">
        <is>
          <t>KRONOBERGS LÄN</t>
        </is>
      </c>
      <c r="E1265" t="inlineStr">
        <is>
          <t>ALVESTA</t>
        </is>
      </c>
      <c r="G1265" t="n">
        <v>0.4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38395-2022</t>
        </is>
      </c>
      <c r="B1266" s="1" t="n">
        <v>44812</v>
      </c>
      <c r="C1266" s="1" t="n">
        <v>45957</v>
      </c>
      <c r="D1266" t="inlineStr">
        <is>
          <t>KRONOBERGS LÄN</t>
        </is>
      </c>
      <c r="E1266" t="inlineStr">
        <is>
          <t>VÄXJÖ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52201-2021</t>
        </is>
      </c>
      <c r="B1267" s="1" t="n">
        <v>44463</v>
      </c>
      <c r="C1267" s="1" t="n">
        <v>45957</v>
      </c>
      <c r="D1267" t="inlineStr">
        <is>
          <t>KRONOBERGS LÄN</t>
        </is>
      </c>
      <c r="E1267" t="inlineStr">
        <is>
          <t>VÄXJÖ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40087-2022</t>
        </is>
      </c>
      <c r="B1268" s="1" t="n">
        <v>44820.47135416666</v>
      </c>
      <c r="C1268" s="1" t="n">
        <v>45957</v>
      </c>
      <c r="D1268" t="inlineStr">
        <is>
          <t>KRONOBERGS LÄN</t>
        </is>
      </c>
      <c r="E1268" t="inlineStr">
        <is>
          <t>LJUNGBY</t>
        </is>
      </c>
      <c r="G1268" t="n">
        <v>2.2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5869-2022</t>
        </is>
      </c>
      <c r="B1269" s="1" t="n">
        <v>44596.66450231482</v>
      </c>
      <c r="C1269" s="1" t="n">
        <v>45957</v>
      </c>
      <c r="D1269" t="inlineStr">
        <is>
          <t>KRONOBERGS LÄN</t>
        </is>
      </c>
      <c r="E1269" t="inlineStr">
        <is>
          <t>VÄXJÖ</t>
        </is>
      </c>
      <c r="G1269" t="n">
        <v>2.6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11438-2024</t>
        </is>
      </c>
      <c r="B1270" s="1" t="n">
        <v>45372</v>
      </c>
      <c r="C1270" s="1" t="n">
        <v>45957</v>
      </c>
      <c r="D1270" t="inlineStr">
        <is>
          <t>KRONOBERGS LÄN</t>
        </is>
      </c>
      <c r="E1270" t="inlineStr">
        <is>
          <t>VÄXJÖ</t>
        </is>
      </c>
      <c r="G1270" t="n">
        <v>7.3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59408-2021</t>
        </is>
      </c>
      <c r="B1271" s="1" t="n">
        <v>44491</v>
      </c>
      <c r="C1271" s="1" t="n">
        <v>45957</v>
      </c>
      <c r="D1271" t="inlineStr">
        <is>
          <t>KRONOBERGS LÄN</t>
        </is>
      </c>
      <c r="E1271" t="inlineStr">
        <is>
          <t>LESSEBO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59681-2022</t>
        </is>
      </c>
      <c r="B1272" s="1" t="n">
        <v>44908</v>
      </c>
      <c r="C1272" s="1" t="n">
        <v>45957</v>
      </c>
      <c r="D1272" t="inlineStr">
        <is>
          <t>KRONOBERGS LÄN</t>
        </is>
      </c>
      <c r="E1272" t="inlineStr">
        <is>
          <t>LJUNGBY</t>
        </is>
      </c>
      <c r="F1272" t="inlineStr">
        <is>
          <t>Sveaskog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59696-2022</t>
        </is>
      </c>
      <c r="B1273" s="1" t="n">
        <v>44908</v>
      </c>
      <c r="C1273" s="1" t="n">
        <v>45957</v>
      </c>
      <c r="D1273" t="inlineStr">
        <is>
          <t>KRONOBERGS LÄN</t>
        </is>
      </c>
      <c r="E1273" t="inlineStr">
        <is>
          <t>LJUNGBY</t>
        </is>
      </c>
      <c r="F1273" t="inlineStr">
        <is>
          <t>Sveaskog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11215-2024</t>
        </is>
      </c>
      <c r="B1274" s="1" t="n">
        <v>45371.58354166667</v>
      </c>
      <c r="C1274" s="1" t="n">
        <v>45957</v>
      </c>
      <c r="D1274" t="inlineStr">
        <is>
          <t>KRONOBERGS LÄN</t>
        </is>
      </c>
      <c r="E1274" t="inlineStr">
        <is>
          <t>MARKARYD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31012-2021</t>
        </is>
      </c>
      <c r="B1275" s="1" t="n">
        <v>44367.09428240741</v>
      </c>
      <c r="C1275" s="1" t="n">
        <v>45957</v>
      </c>
      <c r="D1275" t="inlineStr">
        <is>
          <t>KRONOBERGS LÄN</t>
        </is>
      </c>
      <c r="E1275" t="inlineStr">
        <is>
          <t>VÄXJÖ</t>
        </is>
      </c>
      <c r="F1275" t="inlineStr">
        <is>
          <t>Övriga Aktiebolag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43933-2021</t>
        </is>
      </c>
      <c r="B1276" s="1" t="n">
        <v>44434.40337962963</v>
      </c>
      <c r="C1276" s="1" t="n">
        <v>45957</v>
      </c>
      <c r="D1276" t="inlineStr">
        <is>
          <t>KRONOBERGS LÄN</t>
        </is>
      </c>
      <c r="E1276" t="inlineStr">
        <is>
          <t>ALVESTA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71110-2021</t>
        </is>
      </c>
      <c r="B1277" s="1" t="n">
        <v>44539.36767361111</v>
      </c>
      <c r="C1277" s="1" t="n">
        <v>45957</v>
      </c>
      <c r="D1277" t="inlineStr">
        <is>
          <t>KRONOBERGS LÄN</t>
        </is>
      </c>
      <c r="E1277" t="inlineStr">
        <is>
          <t>TINGSRYD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40963-2022</t>
        </is>
      </c>
      <c r="B1278" s="1" t="n">
        <v>44825.46571759259</v>
      </c>
      <c r="C1278" s="1" t="n">
        <v>45957</v>
      </c>
      <c r="D1278" t="inlineStr">
        <is>
          <t>KRONOBERGS LÄN</t>
        </is>
      </c>
      <c r="E1278" t="inlineStr">
        <is>
          <t>LJUNGBY</t>
        </is>
      </c>
      <c r="G1278" t="n">
        <v>2.1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15408-2021</t>
        </is>
      </c>
      <c r="B1279" s="1" t="n">
        <v>44285.33586805555</v>
      </c>
      <c r="C1279" s="1" t="n">
        <v>45957</v>
      </c>
      <c r="D1279" t="inlineStr">
        <is>
          <t>KRONOBERGS LÄN</t>
        </is>
      </c>
      <c r="E1279" t="inlineStr">
        <is>
          <t>UPPVIDINGE</t>
        </is>
      </c>
      <c r="G1279" t="n">
        <v>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37720-2022</t>
        </is>
      </c>
      <c r="B1280" s="1" t="n">
        <v>44810</v>
      </c>
      <c r="C1280" s="1" t="n">
        <v>45957</v>
      </c>
      <c r="D1280" t="inlineStr">
        <is>
          <t>KRONOBERGS LÄN</t>
        </is>
      </c>
      <c r="E1280" t="inlineStr">
        <is>
          <t>LJUNGBY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8247-2022</t>
        </is>
      </c>
      <c r="B1281" s="1" t="n">
        <v>44610.3157175926</v>
      </c>
      <c r="C1281" s="1" t="n">
        <v>45957</v>
      </c>
      <c r="D1281" t="inlineStr">
        <is>
          <t>KRONOBERGS LÄN</t>
        </is>
      </c>
      <c r="E1281" t="inlineStr">
        <is>
          <t>LJUNGBY</t>
        </is>
      </c>
      <c r="G1281" t="n">
        <v>0.4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926-2021</t>
        </is>
      </c>
      <c r="B1282" s="1" t="n">
        <v>44207</v>
      </c>
      <c r="C1282" s="1" t="n">
        <v>45957</v>
      </c>
      <c r="D1282" t="inlineStr">
        <is>
          <t>KRONOBERGS LÄN</t>
        </is>
      </c>
      <c r="E1282" t="inlineStr">
        <is>
          <t>ALVESTA</t>
        </is>
      </c>
      <c r="F1282" t="inlineStr">
        <is>
          <t>Kommuner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65989-2020</t>
        </is>
      </c>
      <c r="B1283" s="1" t="n">
        <v>44173</v>
      </c>
      <c r="C1283" s="1" t="n">
        <v>45957</v>
      </c>
      <c r="D1283" t="inlineStr">
        <is>
          <t>KRONOBERGS LÄN</t>
        </is>
      </c>
      <c r="E1283" t="inlineStr">
        <is>
          <t>LJUNGBY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48475-2021</t>
        </is>
      </c>
      <c r="B1284" s="1" t="n">
        <v>44452.39826388889</v>
      </c>
      <c r="C1284" s="1" t="n">
        <v>45957</v>
      </c>
      <c r="D1284" t="inlineStr">
        <is>
          <t>KRONOBERGS LÄN</t>
        </is>
      </c>
      <c r="E1284" t="inlineStr">
        <is>
          <t>VÄXJÖ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54917-2021</t>
        </is>
      </c>
      <c r="B1285" s="1" t="n">
        <v>44474</v>
      </c>
      <c r="C1285" s="1" t="n">
        <v>45957</v>
      </c>
      <c r="D1285" t="inlineStr">
        <is>
          <t>KRONOBERGS LÄN</t>
        </is>
      </c>
      <c r="E1285" t="inlineStr">
        <is>
          <t>TINGSRYD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13017-2022</t>
        </is>
      </c>
      <c r="B1286" s="1" t="n">
        <v>44643.55725694444</v>
      </c>
      <c r="C1286" s="1" t="n">
        <v>45957</v>
      </c>
      <c r="D1286" t="inlineStr">
        <is>
          <t>KRONOBERGS LÄN</t>
        </is>
      </c>
      <c r="E1286" t="inlineStr">
        <is>
          <t>ÄLMHULT</t>
        </is>
      </c>
      <c r="G1286" t="n">
        <v>3.6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13426-2022</t>
        </is>
      </c>
      <c r="B1287" s="1" t="n">
        <v>44645</v>
      </c>
      <c r="C1287" s="1" t="n">
        <v>45957</v>
      </c>
      <c r="D1287" t="inlineStr">
        <is>
          <t>KRONOBERGS LÄN</t>
        </is>
      </c>
      <c r="E1287" t="inlineStr">
        <is>
          <t>VÄXJÖ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26695-2022</t>
        </is>
      </c>
      <c r="B1288" s="1" t="n">
        <v>44739.71146990741</v>
      </c>
      <c r="C1288" s="1" t="n">
        <v>45957</v>
      </c>
      <c r="D1288" t="inlineStr">
        <is>
          <t>KRONOBERGS LÄN</t>
        </is>
      </c>
      <c r="E1288" t="inlineStr">
        <is>
          <t>ALVESTA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4667-2021</t>
        </is>
      </c>
      <c r="B1289" s="1" t="n">
        <v>44224</v>
      </c>
      <c r="C1289" s="1" t="n">
        <v>45957</v>
      </c>
      <c r="D1289" t="inlineStr">
        <is>
          <t>KRONOBERGS LÄN</t>
        </is>
      </c>
      <c r="E1289" t="inlineStr">
        <is>
          <t>VÄXJÖ</t>
        </is>
      </c>
      <c r="G1289" t="n">
        <v>9.4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4668-2021</t>
        </is>
      </c>
      <c r="B1290" s="1" t="n">
        <v>44224</v>
      </c>
      <c r="C1290" s="1" t="n">
        <v>45957</v>
      </c>
      <c r="D1290" t="inlineStr">
        <is>
          <t>KRONOBERGS LÄN</t>
        </is>
      </c>
      <c r="E1290" t="inlineStr">
        <is>
          <t>VÄXJÖ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4670-2021</t>
        </is>
      </c>
      <c r="B1291" s="1" t="n">
        <v>44224</v>
      </c>
      <c r="C1291" s="1" t="n">
        <v>45957</v>
      </c>
      <c r="D1291" t="inlineStr">
        <is>
          <t>KRONOBERGS LÄN</t>
        </is>
      </c>
      <c r="E1291" t="inlineStr">
        <is>
          <t>VÄXJÖ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39895-2021</t>
        </is>
      </c>
      <c r="B1292" s="1" t="n">
        <v>44417.77873842593</v>
      </c>
      <c r="C1292" s="1" t="n">
        <v>45957</v>
      </c>
      <c r="D1292" t="inlineStr">
        <is>
          <t>KRONOBERGS LÄN</t>
        </is>
      </c>
      <c r="E1292" t="inlineStr">
        <is>
          <t>LJUNGBY</t>
        </is>
      </c>
      <c r="G1292" t="n">
        <v>1.7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27548-2021</t>
        </is>
      </c>
      <c r="B1293" s="1" t="n">
        <v>44351.78537037037</v>
      </c>
      <c r="C1293" s="1" t="n">
        <v>45957</v>
      </c>
      <c r="D1293" t="inlineStr">
        <is>
          <t>KRONOBERGS LÄN</t>
        </is>
      </c>
      <c r="E1293" t="inlineStr">
        <is>
          <t>VÄXJÖ</t>
        </is>
      </c>
      <c r="G1293" t="n">
        <v>2.6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44831-2021</t>
        </is>
      </c>
      <c r="B1294" s="1" t="n">
        <v>44438</v>
      </c>
      <c r="C1294" s="1" t="n">
        <v>45957</v>
      </c>
      <c r="D1294" t="inlineStr">
        <is>
          <t>KRONOBERGS LÄN</t>
        </is>
      </c>
      <c r="E1294" t="inlineStr">
        <is>
          <t>ALVESTA</t>
        </is>
      </c>
      <c r="G1294" t="n">
        <v>3.8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40586-2022</t>
        </is>
      </c>
      <c r="B1295" s="1" t="n">
        <v>44823.74258101852</v>
      </c>
      <c r="C1295" s="1" t="n">
        <v>45957</v>
      </c>
      <c r="D1295" t="inlineStr">
        <is>
          <t>KRONOBERGS LÄN</t>
        </is>
      </c>
      <c r="E1295" t="inlineStr">
        <is>
          <t>MARKARYD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59719-2021</t>
        </is>
      </c>
      <c r="B1296" s="1" t="n">
        <v>44494</v>
      </c>
      <c r="C1296" s="1" t="n">
        <v>45957</v>
      </c>
      <c r="D1296" t="inlineStr">
        <is>
          <t>KRONOBERGS LÄN</t>
        </is>
      </c>
      <c r="E1296" t="inlineStr">
        <is>
          <t>TINGSRYD</t>
        </is>
      </c>
      <c r="G1296" t="n">
        <v>1.1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39419-2021</t>
        </is>
      </c>
      <c r="B1297" s="1" t="n">
        <v>44414</v>
      </c>
      <c r="C1297" s="1" t="n">
        <v>45957</v>
      </c>
      <c r="D1297" t="inlineStr">
        <is>
          <t>KRONOBERGS LÄN</t>
        </is>
      </c>
      <c r="E1297" t="inlineStr">
        <is>
          <t>TINGSRYD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4336-2024</t>
        </is>
      </c>
      <c r="B1298" s="1" t="n">
        <v>45324.71243055556</v>
      </c>
      <c r="C1298" s="1" t="n">
        <v>45957</v>
      </c>
      <c r="D1298" t="inlineStr">
        <is>
          <t>KRONOBERGS LÄN</t>
        </is>
      </c>
      <c r="E1298" t="inlineStr">
        <is>
          <t>LJUNGBY</t>
        </is>
      </c>
      <c r="G1298" t="n">
        <v>3.1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65238-2020</t>
        </is>
      </c>
      <c r="B1299" s="1" t="n">
        <v>44172</v>
      </c>
      <c r="C1299" s="1" t="n">
        <v>45957</v>
      </c>
      <c r="D1299" t="inlineStr">
        <is>
          <t>KRONOBERGS LÄN</t>
        </is>
      </c>
      <c r="E1299" t="inlineStr">
        <is>
          <t>VÄXJÖ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9482-2021</t>
        </is>
      </c>
      <c r="B1300" s="1" t="n">
        <v>44250</v>
      </c>
      <c r="C1300" s="1" t="n">
        <v>45957</v>
      </c>
      <c r="D1300" t="inlineStr">
        <is>
          <t>KRONOBERGS LÄN</t>
        </is>
      </c>
      <c r="E1300" t="inlineStr">
        <is>
          <t>UPPVIDINGE</t>
        </is>
      </c>
      <c r="F1300" t="inlineStr">
        <is>
          <t>Kyrkan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29958-2021</t>
        </is>
      </c>
      <c r="B1301" s="1" t="n">
        <v>44363</v>
      </c>
      <c r="C1301" s="1" t="n">
        <v>45957</v>
      </c>
      <c r="D1301" t="inlineStr">
        <is>
          <t>KRONOBERGS LÄN</t>
        </is>
      </c>
      <c r="E1301" t="inlineStr">
        <is>
          <t>LJUNGBY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42654-2021</t>
        </is>
      </c>
      <c r="B1302" s="1" t="n">
        <v>44428</v>
      </c>
      <c r="C1302" s="1" t="n">
        <v>45957</v>
      </c>
      <c r="D1302" t="inlineStr">
        <is>
          <t>KRONOBERGS LÄN</t>
        </is>
      </c>
      <c r="E1302" t="inlineStr">
        <is>
          <t>TINGSRYD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46909-2021</t>
        </is>
      </c>
      <c r="B1303" s="1" t="n">
        <v>44446.46452546296</v>
      </c>
      <c r="C1303" s="1" t="n">
        <v>45957</v>
      </c>
      <c r="D1303" t="inlineStr">
        <is>
          <t>KRONOBERGS LÄN</t>
        </is>
      </c>
      <c r="E1303" t="inlineStr">
        <is>
          <t>LESSEBO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42468-2021</t>
        </is>
      </c>
      <c r="B1304" s="1" t="n">
        <v>44427.62268518518</v>
      </c>
      <c r="C1304" s="1" t="n">
        <v>45957</v>
      </c>
      <c r="D1304" t="inlineStr">
        <is>
          <t>KRONOBERGS LÄN</t>
        </is>
      </c>
      <c r="E1304" t="inlineStr">
        <is>
          <t>VÄXJÖ</t>
        </is>
      </c>
      <c r="G1304" t="n">
        <v>0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14596-2024</t>
        </is>
      </c>
      <c r="B1305" s="1" t="n">
        <v>45395.6982175926</v>
      </c>
      <c r="C1305" s="1" t="n">
        <v>45957</v>
      </c>
      <c r="D1305" t="inlineStr">
        <is>
          <t>KRONOBERGS LÄN</t>
        </is>
      </c>
      <c r="E1305" t="inlineStr">
        <is>
          <t>TINGSRYD</t>
        </is>
      </c>
      <c r="G1305" t="n">
        <v>1.3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13999-2021</t>
        </is>
      </c>
      <c r="B1306" s="1" t="n">
        <v>44277.60974537037</v>
      </c>
      <c r="C1306" s="1" t="n">
        <v>45957</v>
      </c>
      <c r="D1306" t="inlineStr">
        <is>
          <t>KRONOBERGS LÄN</t>
        </is>
      </c>
      <c r="E1306" t="inlineStr">
        <is>
          <t>LJUNGBY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56589-2022</t>
        </is>
      </c>
      <c r="B1307" s="1" t="n">
        <v>44893.55828703703</v>
      </c>
      <c r="C1307" s="1" t="n">
        <v>45957</v>
      </c>
      <c r="D1307" t="inlineStr">
        <is>
          <t>KRONOBERGS LÄN</t>
        </is>
      </c>
      <c r="E1307" t="inlineStr">
        <is>
          <t>ALVESTA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7189-2025</t>
        </is>
      </c>
      <c r="B1308" s="1" t="n">
        <v>45702.43898148148</v>
      </c>
      <c r="C1308" s="1" t="n">
        <v>45957</v>
      </c>
      <c r="D1308" t="inlineStr">
        <is>
          <t>KRONOBERGS LÄN</t>
        </is>
      </c>
      <c r="E1308" t="inlineStr">
        <is>
          <t>TINGSRYD</t>
        </is>
      </c>
      <c r="G1308" t="n">
        <v>4.8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32222-2022</t>
        </is>
      </c>
      <c r="B1309" s="1" t="n">
        <v>44781.45118055555</v>
      </c>
      <c r="C1309" s="1" t="n">
        <v>45957</v>
      </c>
      <c r="D1309" t="inlineStr">
        <is>
          <t>KRONOBERGS LÄN</t>
        </is>
      </c>
      <c r="E1309" t="inlineStr">
        <is>
          <t>VÄXJÖ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38344-2021</t>
        </is>
      </c>
      <c r="B1310" s="1" t="n">
        <v>44406.50225694444</v>
      </c>
      <c r="C1310" s="1" t="n">
        <v>45957</v>
      </c>
      <c r="D1310" t="inlineStr">
        <is>
          <t>KRONOBERGS LÄN</t>
        </is>
      </c>
      <c r="E1310" t="inlineStr">
        <is>
          <t>VÄXJÖ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41314-2021</t>
        </is>
      </c>
      <c r="B1311" s="1" t="n">
        <v>44424.57476851852</v>
      </c>
      <c r="C1311" s="1" t="n">
        <v>45957</v>
      </c>
      <c r="D1311" t="inlineStr">
        <is>
          <t>KRONOBERGS LÄN</t>
        </is>
      </c>
      <c r="E1311" t="inlineStr">
        <is>
          <t>UPPVIDINGE</t>
        </is>
      </c>
      <c r="G1311" t="n">
        <v>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6176-2025</t>
        </is>
      </c>
      <c r="B1312" s="1" t="n">
        <v>45698.44657407407</v>
      </c>
      <c r="C1312" s="1" t="n">
        <v>45957</v>
      </c>
      <c r="D1312" t="inlineStr">
        <is>
          <t>KRONOBERGS LÄN</t>
        </is>
      </c>
      <c r="E1312" t="inlineStr">
        <is>
          <t>ALVESTA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34148-2023</t>
        </is>
      </c>
      <c r="B1313" s="1" t="n">
        <v>45136.69425925926</v>
      </c>
      <c r="C1313" s="1" t="n">
        <v>45957</v>
      </c>
      <c r="D1313" t="inlineStr">
        <is>
          <t>KRONOBERGS LÄN</t>
        </is>
      </c>
      <c r="E1313" t="inlineStr">
        <is>
          <t>ALVESTA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34261-2023</t>
        </is>
      </c>
      <c r="B1314" s="1" t="n">
        <v>45128</v>
      </c>
      <c r="C1314" s="1" t="n">
        <v>45957</v>
      </c>
      <c r="D1314" t="inlineStr">
        <is>
          <t>KRONOBERGS LÄN</t>
        </is>
      </c>
      <c r="E1314" t="inlineStr">
        <is>
          <t>ALVESTA</t>
        </is>
      </c>
      <c r="G1314" t="n">
        <v>3.3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21867-2022</t>
        </is>
      </c>
      <c r="B1315" s="1" t="n">
        <v>44711.38366898148</v>
      </c>
      <c r="C1315" s="1" t="n">
        <v>45957</v>
      </c>
      <c r="D1315" t="inlineStr">
        <is>
          <t>KRONOBERGS LÄN</t>
        </is>
      </c>
      <c r="E1315" t="inlineStr">
        <is>
          <t>UPPVIDINGE</t>
        </is>
      </c>
      <c r="G1315" t="n">
        <v>1.3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22218-2021</t>
        </is>
      </c>
      <c r="B1316" s="1" t="n">
        <v>44326</v>
      </c>
      <c r="C1316" s="1" t="n">
        <v>45957</v>
      </c>
      <c r="D1316" t="inlineStr">
        <is>
          <t>KRONOBERGS LÄN</t>
        </is>
      </c>
      <c r="E1316" t="inlineStr">
        <is>
          <t>ALVESTA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11561-2022</t>
        </is>
      </c>
      <c r="B1317" s="1" t="n">
        <v>44631.46165509259</v>
      </c>
      <c r="C1317" s="1" t="n">
        <v>45957</v>
      </c>
      <c r="D1317" t="inlineStr">
        <is>
          <t>KRONOBERGS LÄN</t>
        </is>
      </c>
      <c r="E1317" t="inlineStr">
        <is>
          <t>TINGSRYD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5185-2021</t>
        </is>
      </c>
      <c r="B1318" s="1" t="n">
        <v>44228</v>
      </c>
      <c r="C1318" s="1" t="n">
        <v>45957</v>
      </c>
      <c r="D1318" t="inlineStr">
        <is>
          <t>KRONOBERGS LÄN</t>
        </is>
      </c>
      <c r="E1318" t="inlineStr">
        <is>
          <t>ÄLMHULT</t>
        </is>
      </c>
      <c r="G1318" t="n">
        <v>2.4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30763-2022</t>
        </is>
      </c>
      <c r="B1319" s="1" t="n">
        <v>44764</v>
      </c>
      <c r="C1319" s="1" t="n">
        <v>45957</v>
      </c>
      <c r="D1319" t="inlineStr">
        <is>
          <t>KRONOBERGS LÄN</t>
        </is>
      </c>
      <c r="E1319" t="inlineStr">
        <is>
          <t>LJUNGBY</t>
        </is>
      </c>
      <c r="G1319" t="n">
        <v>1.5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13674-2022</t>
        </is>
      </c>
      <c r="B1320" s="1" t="n">
        <v>44648</v>
      </c>
      <c r="C1320" s="1" t="n">
        <v>45957</v>
      </c>
      <c r="D1320" t="inlineStr">
        <is>
          <t>KRONOBERGS LÄN</t>
        </is>
      </c>
      <c r="E1320" t="inlineStr">
        <is>
          <t>ALVESTA</t>
        </is>
      </c>
      <c r="G1320" t="n">
        <v>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20450-2025</t>
        </is>
      </c>
      <c r="B1321" s="1" t="n">
        <v>45775.49840277778</v>
      </c>
      <c r="C1321" s="1" t="n">
        <v>45957</v>
      </c>
      <c r="D1321" t="inlineStr">
        <is>
          <t>KRONOBERGS LÄN</t>
        </is>
      </c>
      <c r="E1321" t="inlineStr">
        <is>
          <t>UPPVIDINGE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20480-2025</t>
        </is>
      </c>
      <c r="B1322" s="1" t="n">
        <v>45775.55607638889</v>
      </c>
      <c r="C1322" s="1" t="n">
        <v>45957</v>
      </c>
      <c r="D1322" t="inlineStr">
        <is>
          <t>KRONOBERGS LÄN</t>
        </is>
      </c>
      <c r="E1322" t="inlineStr">
        <is>
          <t>LESSEBO</t>
        </is>
      </c>
      <c r="F1322" t="inlineStr">
        <is>
          <t>Sveaskog</t>
        </is>
      </c>
      <c r="G1322" t="n">
        <v>1.4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8754-2021</t>
        </is>
      </c>
      <c r="B1323" s="1" t="n">
        <v>44246</v>
      </c>
      <c r="C1323" s="1" t="n">
        <v>45957</v>
      </c>
      <c r="D1323" t="inlineStr">
        <is>
          <t>KRONOBERGS LÄN</t>
        </is>
      </c>
      <c r="E1323" t="inlineStr">
        <is>
          <t>LJUNGBY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13892-2021</t>
        </is>
      </c>
      <c r="B1324" s="1" t="n">
        <v>44277</v>
      </c>
      <c r="C1324" s="1" t="n">
        <v>45957</v>
      </c>
      <c r="D1324" t="inlineStr">
        <is>
          <t>KRONOBERGS LÄN</t>
        </is>
      </c>
      <c r="E1324" t="inlineStr">
        <is>
          <t>VÄXJÖ</t>
        </is>
      </c>
      <c r="G1324" t="n">
        <v>1.5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25391-2023</t>
        </is>
      </c>
      <c r="B1325" s="1" t="n">
        <v>45089</v>
      </c>
      <c r="C1325" s="1" t="n">
        <v>45957</v>
      </c>
      <c r="D1325" t="inlineStr">
        <is>
          <t>KRONOBERGS LÄN</t>
        </is>
      </c>
      <c r="E1325" t="inlineStr">
        <is>
          <t>LJUNGBY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55545-2021</t>
        </is>
      </c>
      <c r="B1326" s="1" t="n">
        <v>44475.66188657407</v>
      </c>
      <c r="C1326" s="1" t="n">
        <v>45957</v>
      </c>
      <c r="D1326" t="inlineStr">
        <is>
          <t>KRONOBERGS LÄN</t>
        </is>
      </c>
      <c r="E1326" t="inlineStr">
        <is>
          <t>UPPVIDINGE</t>
        </is>
      </c>
      <c r="G1326" t="n">
        <v>1.7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58259-2020</t>
        </is>
      </c>
      <c r="B1327" s="1" t="n">
        <v>44144</v>
      </c>
      <c r="C1327" s="1" t="n">
        <v>45957</v>
      </c>
      <c r="D1327" t="inlineStr">
        <is>
          <t>KRONOBERGS LÄN</t>
        </is>
      </c>
      <c r="E1327" t="inlineStr">
        <is>
          <t>VÄXJÖ</t>
        </is>
      </c>
      <c r="G1327" t="n">
        <v>0.4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47747-2022</t>
        </is>
      </c>
      <c r="B1328" s="1" t="n">
        <v>44854</v>
      </c>
      <c r="C1328" s="1" t="n">
        <v>45957</v>
      </c>
      <c r="D1328" t="inlineStr">
        <is>
          <t>KRONOBERGS LÄN</t>
        </is>
      </c>
      <c r="E1328" t="inlineStr">
        <is>
          <t>ÄLMHULT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58824-2021</t>
        </is>
      </c>
      <c r="B1329" s="1" t="n">
        <v>44489</v>
      </c>
      <c r="C1329" s="1" t="n">
        <v>45957</v>
      </c>
      <c r="D1329" t="inlineStr">
        <is>
          <t>KRONOBERGS LÄN</t>
        </is>
      </c>
      <c r="E1329" t="inlineStr">
        <is>
          <t>VÄXJÖ</t>
        </is>
      </c>
      <c r="G1329" t="n">
        <v>0.3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58827-2021</t>
        </is>
      </c>
      <c r="B1330" s="1" t="n">
        <v>44489</v>
      </c>
      <c r="C1330" s="1" t="n">
        <v>45957</v>
      </c>
      <c r="D1330" t="inlineStr">
        <is>
          <t>KRONOBERGS LÄN</t>
        </is>
      </c>
      <c r="E1330" t="inlineStr">
        <is>
          <t>VÄXJÖ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49556-2021</t>
        </is>
      </c>
      <c r="B1331" s="1" t="n">
        <v>44455</v>
      </c>
      <c r="C1331" s="1" t="n">
        <v>45957</v>
      </c>
      <c r="D1331" t="inlineStr">
        <is>
          <t>KRONOBERGS LÄN</t>
        </is>
      </c>
      <c r="E1331" t="inlineStr">
        <is>
          <t>ALVESTA</t>
        </is>
      </c>
      <c r="G1331" t="n">
        <v>2.7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22793-2022</t>
        </is>
      </c>
      <c r="B1332" s="1" t="n">
        <v>44715.33355324074</v>
      </c>
      <c r="C1332" s="1" t="n">
        <v>45957</v>
      </c>
      <c r="D1332" t="inlineStr">
        <is>
          <t>KRONOBERGS LÄN</t>
        </is>
      </c>
      <c r="E1332" t="inlineStr">
        <is>
          <t>LJUNGBY</t>
        </is>
      </c>
      <c r="G1332" t="n">
        <v>0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27570-2023</t>
        </is>
      </c>
      <c r="B1333" s="1" t="n">
        <v>45097</v>
      </c>
      <c r="C1333" s="1" t="n">
        <v>45957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25039-2023</t>
        </is>
      </c>
      <c r="B1334" s="1" t="n">
        <v>45085.93778935185</v>
      </c>
      <c r="C1334" s="1" t="n">
        <v>45957</v>
      </c>
      <c r="D1334" t="inlineStr">
        <is>
          <t>KRONOBERGS LÄN</t>
        </is>
      </c>
      <c r="E1334" t="inlineStr">
        <is>
          <t>LJUNGBY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63820-2021</t>
        </is>
      </c>
      <c r="B1335" s="1" t="n">
        <v>44509.57108796296</v>
      </c>
      <c r="C1335" s="1" t="n">
        <v>45957</v>
      </c>
      <c r="D1335" t="inlineStr">
        <is>
          <t>KRONOBERGS LÄN</t>
        </is>
      </c>
      <c r="E1335" t="inlineStr">
        <is>
          <t>TINGSRYD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26221-2023</t>
        </is>
      </c>
      <c r="B1336" s="1" t="n">
        <v>45091</v>
      </c>
      <c r="C1336" s="1" t="n">
        <v>45957</v>
      </c>
      <c r="D1336" t="inlineStr">
        <is>
          <t>KRONOBERGS LÄN</t>
        </is>
      </c>
      <c r="E1336" t="inlineStr">
        <is>
          <t>TINGSRYD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61534-2020</t>
        </is>
      </c>
      <c r="B1337" s="1" t="n">
        <v>44158</v>
      </c>
      <c r="C1337" s="1" t="n">
        <v>45957</v>
      </c>
      <c r="D1337" t="inlineStr">
        <is>
          <t>KRONOBERGS LÄN</t>
        </is>
      </c>
      <c r="E1337" t="inlineStr">
        <is>
          <t>ÄLMHULT</t>
        </is>
      </c>
      <c r="G1337" t="n">
        <v>1.9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22679-2021</t>
        </is>
      </c>
      <c r="B1338" s="1" t="n">
        <v>44327.57980324074</v>
      </c>
      <c r="C1338" s="1" t="n">
        <v>45957</v>
      </c>
      <c r="D1338" t="inlineStr">
        <is>
          <t>KRONOBERGS LÄN</t>
        </is>
      </c>
      <c r="E1338" t="inlineStr">
        <is>
          <t>ÄLMHULT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22576-2021</t>
        </is>
      </c>
      <c r="B1339" s="1" t="n">
        <v>44327</v>
      </c>
      <c r="C1339" s="1" t="n">
        <v>45957</v>
      </c>
      <c r="D1339" t="inlineStr">
        <is>
          <t>KRONOBERGS LÄN</t>
        </is>
      </c>
      <c r="E1339" t="inlineStr">
        <is>
          <t>VÄXJÖ</t>
        </is>
      </c>
      <c r="G1339" t="n">
        <v>5.8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65372-2021</t>
        </is>
      </c>
      <c r="B1340" s="1" t="n">
        <v>44515.6831712963</v>
      </c>
      <c r="C1340" s="1" t="n">
        <v>45957</v>
      </c>
      <c r="D1340" t="inlineStr">
        <is>
          <t>KRONOBERGS LÄN</t>
        </is>
      </c>
      <c r="E1340" t="inlineStr">
        <is>
          <t>ALVESTA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59667-2021</t>
        </is>
      </c>
      <c r="B1341" s="1" t="n">
        <v>44494</v>
      </c>
      <c r="C1341" s="1" t="n">
        <v>45957</v>
      </c>
      <c r="D1341" t="inlineStr">
        <is>
          <t>KRONOBERGS LÄN</t>
        </is>
      </c>
      <c r="E1341" t="inlineStr">
        <is>
          <t>VÄXJÖ</t>
        </is>
      </c>
      <c r="G1341" t="n">
        <v>5.4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69524-2020</t>
        </is>
      </c>
      <c r="B1342" s="1" t="n">
        <v>44194</v>
      </c>
      <c r="C1342" s="1" t="n">
        <v>45957</v>
      </c>
      <c r="D1342" t="inlineStr">
        <is>
          <t>KRONOBERGS LÄN</t>
        </is>
      </c>
      <c r="E1342" t="inlineStr">
        <is>
          <t>VÄXJÖ</t>
        </is>
      </c>
      <c r="G1342" t="n">
        <v>3.2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25199-2022</t>
        </is>
      </c>
      <c r="B1343" s="1" t="n">
        <v>44729.65407407407</v>
      </c>
      <c r="C1343" s="1" t="n">
        <v>45957</v>
      </c>
      <c r="D1343" t="inlineStr">
        <is>
          <t>KRONOBERGS LÄN</t>
        </is>
      </c>
      <c r="E1343" t="inlineStr">
        <is>
          <t>UPPVIDINGE</t>
        </is>
      </c>
      <c r="G1343" t="n">
        <v>0.4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51179-2023</t>
        </is>
      </c>
      <c r="B1344" s="1" t="n">
        <v>45219.39407407407</v>
      </c>
      <c r="C1344" s="1" t="n">
        <v>45957</v>
      </c>
      <c r="D1344" t="inlineStr">
        <is>
          <t>KRONOBERGS LÄN</t>
        </is>
      </c>
      <c r="E1344" t="inlineStr">
        <is>
          <t>MARKARYD</t>
        </is>
      </c>
      <c r="G1344" t="n">
        <v>1.5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51189-2023</t>
        </is>
      </c>
      <c r="B1345" s="1" t="n">
        <v>45219.40690972222</v>
      </c>
      <c r="C1345" s="1" t="n">
        <v>45957</v>
      </c>
      <c r="D1345" t="inlineStr">
        <is>
          <t>KRONOBERGS LÄN</t>
        </is>
      </c>
      <c r="E1345" t="inlineStr">
        <is>
          <t>LESSEBO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51196-2023</t>
        </is>
      </c>
      <c r="B1346" s="1" t="n">
        <v>45219.41693287037</v>
      </c>
      <c r="C1346" s="1" t="n">
        <v>45957</v>
      </c>
      <c r="D1346" t="inlineStr">
        <is>
          <t>KRONOBERGS LÄN</t>
        </is>
      </c>
      <c r="E1346" t="inlineStr">
        <is>
          <t>VÄXJÖ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57290-2020</t>
        </is>
      </c>
      <c r="B1347" s="1" t="n">
        <v>44139.64263888889</v>
      </c>
      <c r="C1347" s="1" t="n">
        <v>45957</v>
      </c>
      <c r="D1347" t="inlineStr">
        <is>
          <t>KRONOBERGS LÄN</t>
        </is>
      </c>
      <c r="E1347" t="inlineStr">
        <is>
          <t>ÄLMHULT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21176-2024</t>
        </is>
      </c>
      <c r="B1348" s="1" t="n">
        <v>45440.4658449074</v>
      </c>
      <c r="C1348" s="1" t="n">
        <v>45957</v>
      </c>
      <c r="D1348" t="inlineStr">
        <is>
          <t>KRONOBERGS LÄN</t>
        </is>
      </c>
      <c r="E1348" t="inlineStr">
        <is>
          <t>LJUNGBY</t>
        </is>
      </c>
      <c r="G1348" t="n">
        <v>2.7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17727-2022</t>
        </is>
      </c>
      <c r="B1349" s="1" t="n">
        <v>44680.80325231481</v>
      </c>
      <c r="C1349" s="1" t="n">
        <v>45957</v>
      </c>
      <c r="D1349" t="inlineStr">
        <is>
          <t>KRONOBERGS LÄN</t>
        </is>
      </c>
      <c r="E1349" t="inlineStr">
        <is>
          <t>ÄLMHULT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61538-2020</t>
        </is>
      </c>
      <c r="B1350" s="1" t="n">
        <v>44158</v>
      </c>
      <c r="C1350" s="1" t="n">
        <v>45957</v>
      </c>
      <c r="D1350" t="inlineStr">
        <is>
          <t>KRONOBERGS LÄN</t>
        </is>
      </c>
      <c r="E1350" t="inlineStr">
        <is>
          <t>ÄLMHULT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9354-2024</t>
        </is>
      </c>
      <c r="B1351" s="1" t="n">
        <v>45359.30814814815</v>
      </c>
      <c r="C1351" s="1" t="n">
        <v>45957</v>
      </c>
      <c r="D1351" t="inlineStr">
        <is>
          <t>KRONOBERGS LÄN</t>
        </is>
      </c>
      <c r="E1351" t="inlineStr">
        <is>
          <t>ÄLMHULT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9395-2024</t>
        </is>
      </c>
      <c r="B1352" s="1" t="n">
        <v>45359.41657407407</v>
      </c>
      <c r="C1352" s="1" t="n">
        <v>45957</v>
      </c>
      <c r="D1352" t="inlineStr">
        <is>
          <t>KRONOBERGS LÄN</t>
        </is>
      </c>
      <c r="E1352" t="inlineStr">
        <is>
          <t>ALVESTA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34230-2021</t>
        </is>
      </c>
      <c r="B1353" s="1" t="n">
        <v>44379.55199074074</v>
      </c>
      <c r="C1353" s="1" t="n">
        <v>45957</v>
      </c>
      <c r="D1353" t="inlineStr">
        <is>
          <t>KRONOBERGS LÄN</t>
        </is>
      </c>
      <c r="E1353" t="inlineStr">
        <is>
          <t>VÄXJÖ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26376-2022</t>
        </is>
      </c>
      <c r="B1354" s="1" t="n">
        <v>44735.66392361111</v>
      </c>
      <c r="C1354" s="1" t="n">
        <v>45957</v>
      </c>
      <c r="D1354" t="inlineStr">
        <is>
          <t>KRONOBERGS LÄN</t>
        </is>
      </c>
      <c r="E1354" t="inlineStr">
        <is>
          <t>ALVESTA</t>
        </is>
      </c>
      <c r="G1354" t="n">
        <v>0.6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66829-2021</t>
        </is>
      </c>
      <c r="B1355" s="1" t="n">
        <v>44522.40835648148</v>
      </c>
      <c r="C1355" s="1" t="n">
        <v>45957</v>
      </c>
      <c r="D1355" t="inlineStr">
        <is>
          <t>KRONOBERGS LÄN</t>
        </is>
      </c>
      <c r="E1355" t="inlineStr">
        <is>
          <t>TINGSRYD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67506-2021</t>
        </is>
      </c>
      <c r="B1356" s="1" t="n">
        <v>44524</v>
      </c>
      <c r="C1356" s="1" t="n">
        <v>45957</v>
      </c>
      <c r="D1356" t="inlineStr">
        <is>
          <t>KRONOBERGS LÄN</t>
        </is>
      </c>
      <c r="E1356" t="inlineStr">
        <is>
          <t>ÄLMHULT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21564-2022</t>
        </is>
      </c>
      <c r="B1357" s="1" t="n">
        <v>44706</v>
      </c>
      <c r="C1357" s="1" t="n">
        <v>45957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21568-2022</t>
        </is>
      </c>
      <c r="B1358" s="1" t="n">
        <v>44706</v>
      </c>
      <c r="C1358" s="1" t="n">
        <v>45957</v>
      </c>
      <c r="D1358" t="inlineStr">
        <is>
          <t>KRONOBERGS LÄN</t>
        </is>
      </c>
      <c r="E1358" t="inlineStr">
        <is>
          <t>ALVESTA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14986-2022</t>
        </is>
      </c>
      <c r="B1359" s="1" t="n">
        <v>44657</v>
      </c>
      <c r="C1359" s="1" t="n">
        <v>45957</v>
      </c>
      <c r="D1359" t="inlineStr">
        <is>
          <t>KRONOBERGS LÄN</t>
        </is>
      </c>
      <c r="E1359" t="inlineStr">
        <is>
          <t>ÄLMHULT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19786-2024</t>
        </is>
      </c>
      <c r="B1360" s="1" t="n">
        <v>45432</v>
      </c>
      <c r="C1360" s="1" t="n">
        <v>45957</v>
      </c>
      <c r="D1360" t="inlineStr">
        <is>
          <t>KRONOBERGS LÄN</t>
        </is>
      </c>
      <c r="E1360" t="inlineStr">
        <is>
          <t>TINGSRYD</t>
        </is>
      </c>
      <c r="F1360" t="inlineStr">
        <is>
          <t>Sveaskog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69951-2021</t>
        </is>
      </c>
      <c r="B1361" s="1" t="n">
        <v>44533.36805555555</v>
      </c>
      <c r="C1361" s="1" t="n">
        <v>45957</v>
      </c>
      <c r="D1361" t="inlineStr">
        <is>
          <t>KRONOBERGS LÄN</t>
        </is>
      </c>
      <c r="E1361" t="inlineStr">
        <is>
          <t>TINGSRYD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6052-2021</t>
        </is>
      </c>
      <c r="B1362" s="1" t="n">
        <v>44232</v>
      </c>
      <c r="C1362" s="1" t="n">
        <v>45957</v>
      </c>
      <c r="D1362" t="inlineStr">
        <is>
          <t>KRONOBERGS LÄN</t>
        </is>
      </c>
      <c r="E1362" t="inlineStr">
        <is>
          <t>ALVESTA</t>
        </is>
      </c>
      <c r="G1362" t="n">
        <v>1.4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21272-2024</t>
        </is>
      </c>
      <c r="B1363" s="1" t="n">
        <v>45440</v>
      </c>
      <c r="C1363" s="1" t="n">
        <v>45957</v>
      </c>
      <c r="D1363" t="inlineStr">
        <is>
          <t>KRONOBERGS LÄN</t>
        </is>
      </c>
      <c r="E1363" t="inlineStr">
        <is>
          <t>ÄLMHULT</t>
        </is>
      </c>
      <c r="G1363" t="n">
        <v>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54966-2023</t>
        </is>
      </c>
      <c r="B1364" s="1" t="n">
        <v>45236.90962962963</v>
      </c>
      <c r="C1364" s="1" t="n">
        <v>45957</v>
      </c>
      <c r="D1364" t="inlineStr">
        <is>
          <t>KRONOBERGS LÄN</t>
        </is>
      </c>
      <c r="E1364" t="inlineStr">
        <is>
          <t>ALVESTA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21421-2024</t>
        </is>
      </c>
      <c r="B1365" s="1" t="n">
        <v>45441</v>
      </c>
      <c r="C1365" s="1" t="n">
        <v>45957</v>
      </c>
      <c r="D1365" t="inlineStr">
        <is>
          <t>KRONOBERGS LÄN</t>
        </is>
      </c>
      <c r="E1365" t="inlineStr">
        <is>
          <t>LJUNGBY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21014-2022</t>
        </is>
      </c>
      <c r="B1366" s="1" t="n">
        <v>44704.36118055556</v>
      </c>
      <c r="C1366" s="1" t="n">
        <v>45957</v>
      </c>
      <c r="D1366" t="inlineStr">
        <is>
          <t>KRONOBERGS LÄN</t>
        </is>
      </c>
      <c r="E1366" t="inlineStr">
        <is>
          <t>VÄXJÖ</t>
        </is>
      </c>
      <c r="G1366" t="n">
        <v>0.4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66862-2021</t>
        </is>
      </c>
      <c r="B1367" s="1" t="n">
        <v>44522.45008101852</v>
      </c>
      <c r="C1367" s="1" t="n">
        <v>45957</v>
      </c>
      <c r="D1367" t="inlineStr">
        <is>
          <t>KRONOBERGS LÄN</t>
        </is>
      </c>
      <c r="E1367" t="inlineStr">
        <is>
          <t>VÄXJÖ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66863-2021</t>
        </is>
      </c>
      <c r="B1368" s="1" t="n">
        <v>44522</v>
      </c>
      <c r="C1368" s="1" t="n">
        <v>45957</v>
      </c>
      <c r="D1368" t="inlineStr">
        <is>
          <t>KRONOBERGS LÄN</t>
        </is>
      </c>
      <c r="E1368" t="inlineStr">
        <is>
          <t>VÄXJÖ</t>
        </is>
      </c>
      <c r="G1368" t="n">
        <v>2.9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66981-2021</t>
        </is>
      </c>
      <c r="B1369" s="1" t="n">
        <v>44522.60883101852</v>
      </c>
      <c r="C1369" s="1" t="n">
        <v>45957</v>
      </c>
      <c r="D1369" t="inlineStr">
        <is>
          <t>KRONOBERGS LÄN</t>
        </is>
      </c>
      <c r="E1369" t="inlineStr">
        <is>
          <t>UPPVIDINGE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26470-2022</t>
        </is>
      </c>
      <c r="B1370" s="1" t="n">
        <v>44739.3564699074</v>
      </c>
      <c r="C1370" s="1" t="n">
        <v>45957</v>
      </c>
      <c r="D1370" t="inlineStr">
        <is>
          <t>KRONOBERGS LÄN</t>
        </is>
      </c>
      <c r="E1370" t="inlineStr">
        <is>
          <t>LJUNGBY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23830-2022</t>
        </is>
      </c>
      <c r="B1371" s="1" t="n">
        <v>44722.49434027778</v>
      </c>
      <c r="C1371" s="1" t="n">
        <v>45957</v>
      </c>
      <c r="D1371" t="inlineStr">
        <is>
          <t>KRONOBERGS LÄN</t>
        </is>
      </c>
      <c r="E1371" t="inlineStr">
        <is>
          <t>TINGSRYD</t>
        </is>
      </c>
      <c r="G1371" t="n">
        <v>6.8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19495-2021</t>
        </is>
      </c>
      <c r="B1372" s="1" t="n">
        <v>44308</v>
      </c>
      <c r="C1372" s="1" t="n">
        <v>45957</v>
      </c>
      <c r="D1372" t="inlineStr">
        <is>
          <t>KRONOBERGS LÄN</t>
        </is>
      </c>
      <c r="E1372" t="inlineStr">
        <is>
          <t>VÄXJÖ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23832-2023</t>
        </is>
      </c>
      <c r="B1373" s="1" t="n">
        <v>45078.43299768519</v>
      </c>
      <c r="C1373" s="1" t="n">
        <v>45957</v>
      </c>
      <c r="D1373" t="inlineStr">
        <is>
          <t>KRONOBERGS LÄN</t>
        </is>
      </c>
      <c r="E1373" t="inlineStr">
        <is>
          <t>ÄLMHULT</t>
        </is>
      </c>
      <c r="G1373" t="n">
        <v>0.4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23833-2023</t>
        </is>
      </c>
      <c r="B1374" s="1" t="n">
        <v>45078.43392361111</v>
      </c>
      <c r="C1374" s="1" t="n">
        <v>45957</v>
      </c>
      <c r="D1374" t="inlineStr">
        <is>
          <t>KRONOBERGS LÄN</t>
        </is>
      </c>
      <c r="E1374" t="inlineStr">
        <is>
          <t>ÄLMHULT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7269-2025</t>
        </is>
      </c>
      <c r="B1375" s="1" t="n">
        <v>45702.6033912037</v>
      </c>
      <c r="C1375" s="1" t="n">
        <v>45957</v>
      </c>
      <c r="D1375" t="inlineStr">
        <is>
          <t>KRONOBERGS LÄN</t>
        </is>
      </c>
      <c r="E1375" t="inlineStr">
        <is>
          <t>LJUNGBY</t>
        </is>
      </c>
      <c r="G1375" t="n">
        <v>0.4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33348-2022</t>
        </is>
      </c>
      <c r="B1376" s="1" t="n">
        <v>44788.47552083333</v>
      </c>
      <c r="C1376" s="1" t="n">
        <v>45957</v>
      </c>
      <c r="D1376" t="inlineStr">
        <is>
          <t>KRONOBERGS LÄN</t>
        </is>
      </c>
      <c r="E1376" t="inlineStr">
        <is>
          <t>UPPVIDINGE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53028-2021</t>
        </is>
      </c>
      <c r="B1377" s="1" t="n">
        <v>44467</v>
      </c>
      <c r="C1377" s="1" t="n">
        <v>45957</v>
      </c>
      <c r="D1377" t="inlineStr">
        <is>
          <t>KRONOBERGS LÄN</t>
        </is>
      </c>
      <c r="E1377" t="inlineStr">
        <is>
          <t>ALVESTA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57276-2021</t>
        </is>
      </c>
      <c r="B1378" s="1" t="n">
        <v>44483</v>
      </c>
      <c r="C1378" s="1" t="n">
        <v>45957</v>
      </c>
      <c r="D1378" t="inlineStr">
        <is>
          <t>KRONOBERGS LÄN</t>
        </is>
      </c>
      <c r="E1378" t="inlineStr">
        <is>
          <t>VÄXJÖ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59018-2020</t>
        </is>
      </c>
      <c r="B1379" s="1" t="n">
        <v>44146</v>
      </c>
      <c r="C1379" s="1" t="n">
        <v>45957</v>
      </c>
      <c r="D1379" t="inlineStr">
        <is>
          <t>KRONOBERGS LÄN</t>
        </is>
      </c>
      <c r="E1379" t="inlineStr">
        <is>
          <t>LJUNGBY</t>
        </is>
      </c>
      <c r="G1379" t="n">
        <v>0.2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69842-2021</t>
        </is>
      </c>
      <c r="B1380" s="1" t="n">
        <v>44532.6606712963</v>
      </c>
      <c r="C1380" s="1" t="n">
        <v>45957</v>
      </c>
      <c r="D1380" t="inlineStr">
        <is>
          <t>KRONOBERGS LÄN</t>
        </is>
      </c>
      <c r="E1380" t="inlineStr">
        <is>
          <t>VÄXJÖ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69844-2021</t>
        </is>
      </c>
      <c r="B1381" s="1" t="n">
        <v>44532.66989583334</v>
      </c>
      <c r="C1381" s="1" t="n">
        <v>45957</v>
      </c>
      <c r="D1381" t="inlineStr">
        <is>
          <t>KRONOBERGS LÄN</t>
        </is>
      </c>
      <c r="E1381" t="inlineStr">
        <is>
          <t>VÄXJÖ</t>
        </is>
      </c>
      <c r="G1381" t="n">
        <v>3.9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67045-2020</t>
        </is>
      </c>
      <c r="B1382" s="1" t="n">
        <v>44180.53715277778</v>
      </c>
      <c r="C1382" s="1" t="n">
        <v>45957</v>
      </c>
      <c r="D1382" t="inlineStr">
        <is>
          <t>KRONOBERGS LÄN</t>
        </is>
      </c>
      <c r="E1382" t="inlineStr">
        <is>
          <t>TINGSRYD</t>
        </is>
      </c>
      <c r="G1382" t="n">
        <v>4.7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18933-2025</t>
        </is>
      </c>
      <c r="B1383" s="1" t="n">
        <v>45764.48869212963</v>
      </c>
      <c r="C1383" s="1" t="n">
        <v>45957</v>
      </c>
      <c r="D1383" t="inlineStr">
        <is>
          <t>KRONOBERGS LÄN</t>
        </is>
      </c>
      <c r="E1383" t="inlineStr">
        <is>
          <t>LJUNGBY</t>
        </is>
      </c>
      <c r="G1383" t="n">
        <v>0.3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63355-2020</t>
        </is>
      </c>
      <c r="B1384" s="1" t="n">
        <v>44165</v>
      </c>
      <c r="C1384" s="1" t="n">
        <v>45957</v>
      </c>
      <c r="D1384" t="inlineStr">
        <is>
          <t>KRONOBERGS LÄN</t>
        </is>
      </c>
      <c r="E1384" t="inlineStr">
        <is>
          <t>ALVESTA</t>
        </is>
      </c>
      <c r="G1384" t="n">
        <v>0.3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31736-2021</t>
        </is>
      </c>
      <c r="B1385" s="1" t="n">
        <v>44369.93123842592</v>
      </c>
      <c r="C1385" s="1" t="n">
        <v>45957</v>
      </c>
      <c r="D1385" t="inlineStr">
        <is>
          <t>KRONOBERGS LÄN</t>
        </is>
      </c>
      <c r="E1385" t="inlineStr">
        <is>
          <t>LJUNGBY</t>
        </is>
      </c>
      <c r="G1385" t="n">
        <v>0.4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46078-2021</t>
        </is>
      </c>
      <c r="B1386" s="1" t="n">
        <v>44441</v>
      </c>
      <c r="C1386" s="1" t="n">
        <v>45957</v>
      </c>
      <c r="D1386" t="inlineStr">
        <is>
          <t>KRONOBERGS LÄN</t>
        </is>
      </c>
      <c r="E1386" t="inlineStr">
        <is>
          <t>TINGSRYD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57269-2020</t>
        </is>
      </c>
      <c r="B1387" s="1" t="n">
        <v>44139.6122337963</v>
      </c>
      <c r="C1387" s="1" t="n">
        <v>45957</v>
      </c>
      <c r="D1387" t="inlineStr">
        <is>
          <t>KRONOBERGS LÄN</t>
        </is>
      </c>
      <c r="E1387" t="inlineStr">
        <is>
          <t>TINGSRYD</t>
        </is>
      </c>
      <c r="G1387" t="n">
        <v>0.4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226-2023</t>
        </is>
      </c>
      <c r="B1388" s="1" t="n">
        <v>44928</v>
      </c>
      <c r="C1388" s="1" t="n">
        <v>45957</v>
      </c>
      <c r="D1388" t="inlineStr">
        <is>
          <t>KRONOBERGS LÄN</t>
        </is>
      </c>
      <c r="E1388" t="inlineStr">
        <is>
          <t>LJUNGBY</t>
        </is>
      </c>
      <c r="G1388" t="n">
        <v>3.4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1689-2022</t>
        </is>
      </c>
      <c r="B1389" s="1" t="n">
        <v>44574</v>
      </c>
      <c r="C1389" s="1" t="n">
        <v>45957</v>
      </c>
      <c r="D1389" t="inlineStr">
        <is>
          <t>KRONOBERGS LÄN</t>
        </is>
      </c>
      <c r="E1389" t="inlineStr">
        <is>
          <t>UPPVIDINGE</t>
        </is>
      </c>
      <c r="G1389" t="n">
        <v>4.4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39435-2021</t>
        </is>
      </c>
      <c r="B1390" s="1" t="n">
        <v>44414</v>
      </c>
      <c r="C1390" s="1" t="n">
        <v>45957</v>
      </c>
      <c r="D1390" t="inlineStr">
        <is>
          <t>KRONOBERGS LÄN</t>
        </is>
      </c>
      <c r="E1390" t="inlineStr">
        <is>
          <t>MARKARYD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26569-2021</t>
        </is>
      </c>
      <c r="B1391" s="1" t="n">
        <v>44348</v>
      </c>
      <c r="C1391" s="1" t="n">
        <v>45957</v>
      </c>
      <c r="D1391" t="inlineStr">
        <is>
          <t>KRONOBERGS LÄN</t>
        </is>
      </c>
      <c r="E1391" t="inlineStr">
        <is>
          <t>LESSEBO</t>
        </is>
      </c>
      <c r="G1391" t="n">
        <v>3.4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18729-2021</t>
        </is>
      </c>
      <c r="B1392" s="1" t="n">
        <v>44307.41773148148</v>
      </c>
      <c r="C1392" s="1" t="n">
        <v>45957</v>
      </c>
      <c r="D1392" t="inlineStr">
        <is>
          <t>KRONOBERGS LÄN</t>
        </is>
      </c>
      <c r="E1392" t="inlineStr">
        <is>
          <t>LESSEBO</t>
        </is>
      </c>
      <c r="G1392" t="n">
        <v>2.6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50613-2023</t>
        </is>
      </c>
      <c r="B1393" s="1" t="n">
        <v>45217</v>
      </c>
      <c r="C1393" s="1" t="n">
        <v>45957</v>
      </c>
      <c r="D1393" t="inlineStr">
        <is>
          <t>KRONOBERGS LÄN</t>
        </is>
      </c>
      <c r="E1393" t="inlineStr">
        <is>
          <t>MARKARYD</t>
        </is>
      </c>
      <c r="G1393" t="n">
        <v>6.9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50703-2023</t>
        </is>
      </c>
      <c r="B1394" s="1" t="n">
        <v>45217.55627314815</v>
      </c>
      <c r="C1394" s="1" t="n">
        <v>45957</v>
      </c>
      <c r="D1394" t="inlineStr">
        <is>
          <t>KRONOBERGS LÄN</t>
        </is>
      </c>
      <c r="E1394" t="inlineStr">
        <is>
          <t>ALVESTA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59361-2020</t>
        </is>
      </c>
      <c r="B1395" s="1" t="n">
        <v>44148</v>
      </c>
      <c r="C1395" s="1" t="n">
        <v>45957</v>
      </c>
      <c r="D1395" t="inlineStr">
        <is>
          <t>KRONOBERGS LÄN</t>
        </is>
      </c>
      <c r="E1395" t="inlineStr">
        <is>
          <t>ÄLMHULT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15331-2025</t>
        </is>
      </c>
      <c r="B1396" s="1" t="n">
        <v>45747</v>
      </c>
      <c r="C1396" s="1" t="n">
        <v>45957</v>
      </c>
      <c r="D1396" t="inlineStr">
        <is>
          <t>KRONOBERGS LÄN</t>
        </is>
      </c>
      <c r="E1396" t="inlineStr">
        <is>
          <t>MARKARYD</t>
        </is>
      </c>
      <c r="G1396" t="n">
        <v>0.7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60411-2023</t>
        </is>
      </c>
      <c r="B1397" s="1" t="n">
        <v>45259</v>
      </c>
      <c r="C1397" s="1" t="n">
        <v>45957</v>
      </c>
      <c r="D1397" t="inlineStr">
        <is>
          <t>KRONOBERGS LÄN</t>
        </is>
      </c>
      <c r="E1397" t="inlineStr">
        <is>
          <t>VÄXJÖ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8277-2021</t>
        </is>
      </c>
      <c r="B1398" s="1" t="n">
        <v>44244</v>
      </c>
      <c r="C1398" s="1" t="n">
        <v>45957</v>
      </c>
      <c r="D1398" t="inlineStr">
        <is>
          <t>KRONOBERGS LÄN</t>
        </is>
      </c>
      <c r="E1398" t="inlineStr">
        <is>
          <t>VÄXJÖ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60478-2023</t>
        </is>
      </c>
      <c r="B1399" s="1" t="n">
        <v>45259</v>
      </c>
      <c r="C1399" s="1" t="n">
        <v>45957</v>
      </c>
      <c r="D1399" t="inlineStr">
        <is>
          <t>KRONOBERGS LÄN</t>
        </is>
      </c>
      <c r="E1399" t="inlineStr">
        <is>
          <t>ALVESTA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39755-2021</t>
        </is>
      </c>
      <c r="B1400" s="1" t="n">
        <v>44417</v>
      </c>
      <c r="C1400" s="1" t="n">
        <v>45957</v>
      </c>
      <c r="D1400" t="inlineStr">
        <is>
          <t>KRONOBERGS LÄN</t>
        </is>
      </c>
      <c r="E1400" t="inlineStr">
        <is>
          <t>TINGSRYD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46902-2021</t>
        </is>
      </c>
      <c r="B1401" s="1" t="n">
        <v>44446</v>
      </c>
      <c r="C1401" s="1" t="n">
        <v>45957</v>
      </c>
      <c r="D1401" t="inlineStr">
        <is>
          <t>KRONOBERGS LÄN</t>
        </is>
      </c>
      <c r="E1401" t="inlineStr">
        <is>
          <t>LJUNGBY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52519-2022</t>
        </is>
      </c>
      <c r="B1402" s="1" t="n">
        <v>44874</v>
      </c>
      <c r="C1402" s="1" t="n">
        <v>45957</v>
      </c>
      <c r="D1402" t="inlineStr">
        <is>
          <t>KRONOBERGS LÄN</t>
        </is>
      </c>
      <c r="E1402" t="inlineStr">
        <is>
          <t>VÄXJÖ</t>
        </is>
      </c>
      <c r="G1402" t="n">
        <v>4.1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57182-2020</t>
        </is>
      </c>
      <c r="B1403" s="1" t="n">
        <v>44139</v>
      </c>
      <c r="C1403" s="1" t="n">
        <v>45957</v>
      </c>
      <c r="D1403" t="inlineStr">
        <is>
          <t>KRONOBERGS LÄN</t>
        </is>
      </c>
      <c r="E1403" t="inlineStr">
        <is>
          <t>TINGSRYD</t>
        </is>
      </c>
      <c r="G1403" t="n">
        <v>5.9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65388-2020</t>
        </is>
      </c>
      <c r="B1404" s="1" t="n">
        <v>44173</v>
      </c>
      <c r="C1404" s="1" t="n">
        <v>45957</v>
      </c>
      <c r="D1404" t="inlineStr">
        <is>
          <t>KRONOBERGS LÄN</t>
        </is>
      </c>
      <c r="E1404" t="inlineStr">
        <is>
          <t>VÄXJÖ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850-2021</t>
        </is>
      </c>
      <c r="B1405" s="1" t="n">
        <v>44204</v>
      </c>
      <c r="C1405" s="1" t="n">
        <v>45957</v>
      </c>
      <c r="D1405" t="inlineStr">
        <is>
          <t>KRONOBERGS LÄN</t>
        </is>
      </c>
      <c r="E1405" t="inlineStr">
        <is>
          <t>LJUNGBY</t>
        </is>
      </c>
      <c r="G1405" t="n">
        <v>0.9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851-2021</t>
        </is>
      </c>
      <c r="B1406" s="1" t="n">
        <v>44204</v>
      </c>
      <c r="C1406" s="1" t="n">
        <v>45957</v>
      </c>
      <c r="D1406" t="inlineStr">
        <is>
          <t>KRONOBERGS LÄN</t>
        </is>
      </c>
      <c r="E1406" t="inlineStr">
        <is>
          <t>VÄXJÖ</t>
        </is>
      </c>
      <c r="F1406" t="inlineStr">
        <is>
          <t>Kyrkan</t>
        </is>
      </c>
      <c r="G1406" t="n">
        <v>9.300000000000001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69120-2021</t>
        </is>
      </c>
      <c r="B1407" s="1" t="n">
        <v>44530</v>
      </c>
      <c r="C1407" s="1" t="n">
        <v>45957</v>
      </c>
      <c r="D1407" t="inlineStr">
        <is>
          <t>KRONOBERGS LÄN</t>
        </is>
      </c>
      <c r="E1407" t="inlineStr">
        <is>
          <t>LJUNGBY</t>
        </is>
      </c>
      <c r="G1407" t="n">
        <v>4.9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68761-2020</t>
        </is>
      </c>
      <c r="B1408" s="1" t="n">
        <v>44187</v>
      </c>
      <c r="C1408" s="1" t="n">
        <v>45957</v>
      </c>
      <c r="D1408" t="inlineStr">
        <is>
          <t>KRONOBERGS LÄN</t>
        </is>
      </c>
      <c r="E1408" t="inlineStr">
        <is>
          <t>ÄLMHULT</t>
        </is>
      </c>
      <c r="F1408" t="inlineStr">
        <is>
          <t>Sveaskog</t>
        </is>
      </c>
      <c r="G1408" t="n">
        <v>2.2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13019-2022</t>
        </is>
      </c>
      <c r="B1409" s="1" t="n">
        <v>44643.5586574074</v>
      </c>
      <c r="C1409" s="1" t="n">
        <v>45957</v>
      </c>
      <c r="D1409" t="inlineStr">
        <is>
          <t>KRONOBERGS LÄN</t>
        </is>
      </c>
      <c r="E1409" t="inlineStr">
        <is>
          <t>ÄLMHULT</t>
        </is>
      </c>
      <c r="G1409" t="n">
        <v>2.8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34282-2022</t>
        </is>
      </c>
      <c r="B1410" s="1" t="n">
        <v>44788</v>
      </c>
      <c r="C1410" s="1" t="n">
        <v>45957</v>
      </c>
      <c r="D1410" t="inlineStr">
        <is>
          <t>KRONOBERGS LÄN</t>
        </is>
      </c>
      <c r="E1410" t="inlineStr">
        <is>
          <t>MARKARYD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34303-2022</t>
        </is>
      </c>
      <c r="B1411" s="1" t="n">
        <v>44788</v>
      </c>
      <c r="C1411" s="1" t="n">
        <v>45957</v>
      </c>
      <c r="D1411" t="inlineStr">
        <is>
          <t>KRONOBERGS LÄN</t>
        </is>
      </c>
      <c r="E1411" t="inlineStr">
        <is>
          <t>MARKARYD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13972-2024</t>
        </is>
      </c>
      <c r="B1412" s="1" t="n">
        <v>45392</v>
      </c>
      <c r="C1412" s="1" t="n">
        <v>45957</v>
      </c>
      <c r="D1412" t="inlineStr">
        <is>
          <t>KRONOBERGS LÄN</t>
        </is>
      </c>
      <c r="E1412" t="inlineStr">
        <is>
          <t>VÄXJÖ</t>
        </is>
      </c>
      <c r="F1412" t="inlineStr">
        <is>
          <t>Sveaskog</t>
        </is>
      </c>
      <c r="G1412" t="n">
        <v>0.6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11975-2021</t>
        </is>
      </c>
      <c r="B1413" s="1" t="n">
        <v>44266</v>
      </c>
      <c r="C1413" s="1" t="n">
        <v>45957</v>
      </c>
      <c r="D1413" t="inlineStr">
        <is>
          <t>KRONOBERGS LÄN</t>
        </is>
      </c>
      <c r="E1413" t="inlineStr">
        <is>
          <t>VÄXJÖ</t>
        </is>
      </c>
      <c r="G1413" t="n">
        <v>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28645-2021</t>
        </is>
      </c>
      <c r="B1414" s="1" t="n">
        <v>44357.34482638889</v>
      </c>
      <c r="C1414" s="1" t="n">
        <v>45957</v>
      </c>
      <c r="D1414" t="inlineStr">
        <is>
          <t>KRONOBERGS LÄN</t>
        </is>
      </c>
      <c r="E1414" t="inlineStr">
        <is>
          <t>LJUNGBY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18966-2022</t>
        </is>
      </c>
      <c r="B1415" s="1" t="n">
        <v>44690.86459490741</v>
      </c>
      <c r="C1415" s="1" t="n">
        <v>45957</v>
      </c>
      <c r="D1415" t="inlineStr">
        <is>
          <t>KRONOBERGS LÄN</t>
        </is>
      </c>
      <c r="E1415" t="inlineStr">
        <is>
          <t>ÄLMHULT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18968-2022</t>
        </is>
      </c>
      <c r="B1416" s="1" t="n">
        <v>44690.86802083333</v>
      </c>
      <c r="C1416" s="1" t="n">
        <v>45957</v>
      </c>
      <c r="D1416" t="inlineStr">
        <is>
          <t>KRONOBERGS LÄN</t>
        </is>
      </c>
      <c r="E1416" t="inlineStr">
        <is>
          <t>ÄLMHULT</t>
        </is>
      </c>
      <c r="G1416" t="n">
        <v>1.4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48116-2021</t>
        </is>
      </c>
      <c r="B1417" s="1" t="n">
        <v>44449.46109953704</v>
      </c>
      <c r="C1417" s="1" t="n">
        <v>45957</v>
      </c>
      <c r="D1417" t="inlineStr">
        <is>
          <t>KRONOBERGS LÄN</t>
        </is>
      </c>
      <c r="E1417" t="inlineStr">
        <is>
          <t>LESSEBO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57228-2020</t>
        </is>
      </c>
      <c r="B1418" s="1" t="n">
        <v>44139.56196759259</v>
      </c>
      <c r="C1418" s="1" t="n">
        <v>45957</v>
      </c>
      <c r="D1418" t="inlineStr">
        <is>
          <t>KRONOBERGS LÄN</t>
        </is>
      </c>
      <c r="E1418" t="inlineStr">
        <is>
          <t>TINGSRYD</t>
        </is>
      </c>
      <c r="G1418" t="n">
        <v>0.6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68552-2021</t>
        </is>
      </c>
      <c r="B1419" s="1" t="n">
        <v>44529.49450231482</v>
      </c>
      <c r="C1419" s="1" t="n">
        <v>45957</v>
      </c>
      <c r="D1419" t="inlineStr">
        <is>
          <t>KRONOBERGS LÄN</t>
        </is>
      </c>
      <c r="E1419" t="inlineStr">
        <is>
          <t>ÄLMHULT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9855-2021</t>
        </is>
      </c>
      <c r="B1420" s="1" t="n">
        <v>44253</v>
      </c>
      <c r="C1420" s="1" t="n">
        <v>45957</v>
      </c>
      <c r="D1420" t="inlineStr">
        <is>
          <t>KRONOBERGS LÄN</t>
        </is>
      </c>
      <c r="E1420" t="inlineStr">
        <is>
          <t>UPPVIDINGE</t>
        </is>
      </c>
      <c r="G1420" t="n">
        <v>1.8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18404-2022</t>
        </is>
      </c>
      <c r="B1421" s="1" t="n">
        <v>44685</v>
      </c>
      <c r="C1421" s="1" t="n">
        <v>45957</v>
      </c>
      <c r="D1421" t="inlineStr">
        <is>
          <t>KRONOBERGS LÄN</t>
        </is>
      </c>
      <c r="E1421" t="inlineStr">
        <is>
          <t>TINGSRYD</t>
        </is>
      </c>
      <c r="G1421" t="n">
        <v>4.5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22681-2021</t>
        </is>
      </c>
      <c r="B1422" s="1" t="n">
        <v>44327.58231481481</v>
      </c>
      <c r="C1422" s="1" t="n">
        <v>45957</v>
      </c>
      <c r="D1422" t="inlineStr">
        <is>
          <t>KRONOBERGS LÄN</t>
        </is>
      </c>
      <c r="E1422" t="inlineStr">
        <is>
          <t>ÄLMHULT</t>
        </is>
      </c>
      <c r="G1422" t="n">
        <v>1.4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40300-2021</t>
        </is>
      </c>
      <c r="B1423" s="1" t="n">
        <v>44419</v>
      </c>
      <c r="C1423" s="1" t="n">
        <v>45957</v>
      </c>
      <c r="D1423" t="inlineStr">
        <is>
          <t>KRONOBERGS LÄN</t>
        </is>
      </c>
      <c r="E1423" t="inlineStr">
        <is>
          <t>ALVESTA</t>
        </is>
      </c>
      <c r="G1423" t="n">
        <v>5.4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57493-2020</t>
        </is>
      </c>
      <c r="B1424" s="1" t="n">
        <v>44140</v>
      </c>
      <c r="C1424" s="1" t="n">
        <v>45957</v>
      </c>
      <c r="D1424" t="inlineStr">
        <is>
          <t>KRONOBERGS LÄN</t>
        </is>
      </c>
      <c r="E1424" t="inlineStr">
        <is>
          <t>VÄXJÖ</t>
        </is>
      </c>
      <c r="G1424" t="n">
        <v>0.3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51006-2021</t>
        </is>
      </c>
      <c r="B1425" s="1" t="n">
        <v>44460.88979166667</v>
      </c>
      <c r="C1425" s="1" t="n">
        <v>45957</v>
      </c>
      <c r="D1425" t="inlineStr">
        <is>
          <t>KRONOBERGS LÄN</t>
        </is>
      </c>
      <c r="E1425" t="inlineStr">
        <is>
          <t>LESSEBO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54389-2021</t>
        </is>
      </c>
      <c r="B1426" s="1" t="n">
        <v>44473</v>
      </c>
      <c r="C1426" s="1" t="n">
        <v>45957</v>
      </c>
      <c r="D1426" t="inlineStr">
        <is>
          <t>KRONOBERGS LÄN</t>
        </is>
      </c>
      <c r="E1426" t="inlineStr">
        <is>
          <t>VÄXJÖ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57987-2021</t>
        </is>
      </c>
      <c r="B1427" s="1" t="n">
        <v>44487.40119212963</v>
      </c>
      <c r="C1427" s="1" t="n">
        <v>45957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50715-2021</t>
        </is>
      </c>
      <c r="B1428" s="1" t="n">
        <v>44460.3700462963</v>
      </c>
      <c r="C1428" s="1" t="n">
        <v>45957</v>
      </c>
      <c r="D1428" t="inlineStr">
        <is>
          <t>KRONOBERGS LÄN</t>
        </is>
      </c>
      <c r="E1428" t="inlineStr">
        <is>
          <t>ÄLMHULT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15266-2024</t>
        </is>
      </c>
      <c r="B1429" s="1" t="n">
        <v>45400</v>
      </c>
      <c r="C1429" s="1" t="n">
        <v>45957</v>
      </c>
      <c r="D1429" t="inlineStr">
        <is>
          <t>KRONOBERGS LÄN</t>
        </is>
      </c>
      <c r="E1429" t="inlineStr">
        <is>
          <t>UPPVIDINGE</t>
        </is>
      </c>
      <c r="F1429" t="inlineStr">
        <is>
          <t>Sveaskog</t>
        </is>
      </c>
      <c r="G1429" t="n">
        <v>1.9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2056-2021</t>
        </is>
      </c>
      <c r="B1430" s="1" t="n">
        <v>44211</v>
      </c>
      <c r="C1430" s="1" t="n">
        <v>45957</v>
      </c>
      <c r="D1430" t="inlineStr">
        <is>
          <t>KRONOBERGS LÄN</t>
        </is>
      </c>
      <c r="E1430" t="inlineStr">
        <is>
          <t>TINGSRYD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37374-2022</t>
        </is>
      </c>
      <c r="B1431" s="1" t="n">
        <v>44809.39893518519</v>
      </c>
      <c r="C1431" s="1" t="n">
        <v>45957</v>
      </c>
      <c r="D1431" t="inlineStr">
        <is>
          <t>KRONOBERGS LÄN</t>
        </is>
      </c>
      <c r="E1431" t="inlineStr">
        <is>
          <t>LJUNGBY</t>
        </is>
      </c>
      <c r="G1431" t="n">
        <v>3.9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4587-2021</t>
        </is>
      </c>
      <c r="B1432" s="1" t="n">
        <v>44224.64115740741</v>
      </c>
      <c r="C1432" s="1" t="n">
        <v>45957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18605-2021</t>
        </is>
      </c>
      <c r="B1433" s="1" t="n">
        <v>44306.62743055556</v>
      </c>
      <c r="C1433" s="1" t="n">
        <v>45957</v>
      </c>
      <c r="D1433" t="inlineStr">
        <is>
          <t>KRONOBERGS LÄN</t>
        </is>
      </c>
      <c r="E1433" t="inlineStr">
        <is>
          <t>ALVESTA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18621-2021</t>
        </is>
      </c>
      <c r="B1434" s="1" t="n">
        <v>44306.65480324074</v>
      </c>
      <c r="C1434" s="1" t="n">
        <v>45957</v>
      </c>
      <c r="D1434" t="inlineStr">
        <is>
          <t>KRONOBERGS LÄN</t>
        </is>
      </c>
      <c r="E1434" t="inlineStr">
        <is>
          <t>TINGSRYD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29450-2022</t>
        </is>
      </c>
      <c r="B1435" s="1" t="n">
        <v>44753.5284375</v>
      </c>
      <c r="C1435" s="1" t="n">
        <v>45957</v>
      </c>
      <c r="D1435" t="inlineStr">
        <is>
          <t>KRONOBERGS LÄN</t>
        </is>
      </c>
      <c r="E1435" t="inlineStr">
        <is>
          <t>TINGSRYD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28646-2021</t>
        </is>
      </c>
      <c r="B1436" s="1" t="n">
        <v>44357.34568287037</v>
      </c>
      <c r="C1436" s="1" t="n">
        <v>45957</v>
      </c>
      <c r="D1436" t="inlineStr">
        <is>
          <t>KRONOBERGS LÄN</t>
        </is>
      </c>
      <c r="E1436" t="inlineStr">
        <is>
          <t>LJUNGBY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24058-2021</t>
        </is>
      </c>
      <c r="B1437" s="1" t="n">
        <v>44336.39239583333</v>
      </c>
      <c r="C1437" s="1" t="n">
        <v>45957</v>
      </c>
      <c r="D1437" t="inlineStr">
        <is>
          <t>KRONOBERGS LÄN</t>
        </is>
      </c>
      <c r="E1437" t="inlineStr">
        <is>
          <t>UPPVIDINGE</t>
        </is>
      </c>
      <c r="G1437" t="n">
        <v>0.9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67159-2021</t>
        </is>
      </c>
      <c r="B1438" s="1" t="n">
        <v>44523.41112268518</v>
      </c>
      <c r="C1438" s="1" t="n">
        <v>45957</v>
      </c>
      <c r="D1438" t="inlineStr">
        <is>
          <t>KRONOBERGS LÄN</t>
        </is>
      </c>
      <c r="E1438" t="inlineStr">
        <is>
          <t>TINGSRYD</t>
        </is>
      </c>
      <c r="G1438" t="n">
        <v>2.4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58962-2023</t>
        </is>
      </c>
      <c r="B1439" s="1" t="n">
        <v>45252.60836805555</v>
      </c>
      <c r="C1439" s="1" t="n">
        <v>45957</v>
      </c>
      <c r="D1439" t="inlineStr">
        <is>
          <t>KRONOBERGS LÄN</t>
        </is>
      </c>
      <c r="E1439" t="inlineStr">
        <is>
          <t>TINGSRYD</t>
        </is>
      </c>
      <c r="G1439" t="n">
        <v>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12712-2024</t>
        </is>
      </c>
      <c r="B1440" s="1" t="n">
        <v>45384.46765046296</v>
      </c>
      <c r="C1440" s="1" t="n">
        <v>45957</v>
      </c>
      <c r="D1440" t="inlineStr">
        <is>
          <t>KRONOBERGS LÄN</t>
        </is>
      </c>
      <c r="E1440" t="inlineStr">
        <is>
          <t>ALVESTA</t>
        </is>
      </c>
      <c r="G1440" t="n">
        <v>0.5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11021-2024</t>
        </is>
      </c>
      <c r="B1441" s="1" t="n">
        <v>45370.62961805556</v>
      </c>
      <c r="C1441" s="1" t="n">
        <v>45957</v>
      </c>
      <c r="D1441" t="inlineStr">
        <is>
          <t>KRONOBERGS LÄN</t>
        </is>
      </c>
      <c r="E1441" t="inlineStr">
        <is>
          <t>MARKARYD</t>
        </is>
      </c>
      <c r="G1441" t="n">
        <v>1.6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32347-2021</t>
        </is>
      </c>
      <c r="B1442" s="1" t="n">
        <v>44371</v>
      </c>
      <c r="C1442" s="1" t="n">
        <v>45957</v>
      </c>
      <c r="D1442" t="inlineStr">
        <is>
          <t>KRONOBERGS LÄN</t>
        </is>
      </c>
      <c r="E1442" t="inlineStr">
        <is>
          <t>LJUNGBY</t>
        </is>
      </c>
      <c r="G1442" t="n">
        <v>3.1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21250-2022</t>
        </is>
      </c>
      <c r="B1443" s="1" t="n">
        <v>44705</v>
      </c>
      <c r="C1443" s="1" t="n">
        <v>45957</v>
      </c>
      <c r="D1443" t="inlineStr">
        <is>
          <t>KRONOBERGS LÄN</t>
        </is>
      </c>
      <c r="E1443" t="inlineStr">
        <is>
          <t>UPPVIDINGE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40593-2021</t>
        </is>
      </c>
      <c r="B1444" s="1" t="n">
        <v>44420</v>
      </c>
      <c r="C1444" s="1" t="n">
        <v>45957</v>
      </c>
      <c r="D1444" t="inlineStr">
        <is>
          <t>KRONOBERGS LÄN</t>
        </is>
      </c>
      <c r="E1444" t="inlineStr">
        <is>
          <t>TINGSRYD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43617-2021</t>
        </is>
      </c>
      <c r="B1445" s="1" t="n">
        <v>44433</v>
      </c>
      <c r="C1445" s="1" t="n">
        <v>45957</v>
      </c>
      <c r="D1445" t="inlineStr">
        <is>
          <t>KRONOBERGS LÄN</t>
        </is>
      </c>
      <c r="E1445" t="inlineStr">
        <is>
          <t>ÄLMHULT</t>
        </is>
      </c>
      <c r="G1445" t="n">
        <v>2.5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40720-2021</t>
        </is>
      </c>
      <c r="B1446" s="1" t="n">
        <v>44420.65103009259</v>
      </c>
      <c r="C1446" s="1" t="n">
        <v>45957</v>
      </c>
      <c r="D1446" t="inlineStr">
        <is>
          <t>KRONOBERGS LÄN</t>
        </is>
      </c>
      <c r="E1446" t="inlineStr">
        <is>
          <t>LJUNGBY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25711-2023</t>
        </is>
      </c>
      <c r="B1447" s="1" t="n">
        <v>45090.3316550926</v>
      </c>
      <c r="C1447" s="1" t="n">
        <v>45957</v>
      </c>
      <c r="D1447" t="inlineStr">
        <is>
          <t>KRONOBERGS LÄN</t>
        </is>
      </c>
      <c r="E1447" t="inlineStr">
        <is>
          <t>ÄLMHULT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74489-2021</t>
        </is>
      </c>
      <c r="B1448" s="1" t="n">
        <v>44560.60773148148</v>
      </c>
      <c r="C1448" s="1" t="n">
        <v>45957</v>
      </c>
      <c r="D1448" t="inlineStr">
        <is>
          <t>KRONOBERGS LÄN</t>
        </is>
      </c>
      <c r="E1448" t="inlineStr">
        <is>
          <t>VÄXJÖ</t>
        </is>
      </c>
      <c r="G1448" t="n">
        <v>1.2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33840-2023</t>
        </is>
      </c>
      <c r="B1449" s="1" t="n">
        <v>45133.66702546296</v>
      </c>
      <c r="C1449" s="1" t="n">
        <v>45957</v>
      </c>
      <c r="D1449" t="inlineStr">
        <is>
          <t>KRONOBERGS LÄN</t>
        </is>
      </c>
      <c r="E1449" t="inlineStr">
        <is>
          <t>ÄLMHULT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19116-2024</t>
        </is>
      </c>
      <c r="B1450" s="1" t="n">
        <v>45428.37866898148</v>
      </c>
      <c r="C1450" s="1" t="n">
        <v>45957</v>
      </c>
      <c r="D1450" t="inlineStr">
        <is>
          <t>KRONOBERGS LÄN</t>
        </is>
      </c>
      <c r="E1450" t="inlineStr">
        <is>
          <t>MARKARYD</t>
        </is>
      </c>
      <c r="G1450" t="n">
        <v>2.3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51063-2021</t>
        </is>
      </c>
      <c r="B1451" s="1" t="n">
        <v>44461.34828703704</v>
      </c>
      <c r="C1451" s="1" t="n">
        <v>45957</v>
      </c>
      <c r="D1451" t="inlineStr">
        <is>
          <t>KRONOBERGS LÄN</t>
        </is>
      </c>
      <c r="E1451" t="inlineStr">
        <is>
          <t>ALVESTA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33910-2021</t>
        </is>
      </c>
      <c r="B1452" s="1" t="n">
        <v>44378</v>
      </c>
      <c r="C1452" s="1" t="n">
        <v>45957</v>
      </c>
      <c r="D1452" t="inlineStr">
        <is>
          <t>KRONOBERGS LÄN</t>
        </is>
      </c>
      <c r="E1452" t="inlineStr">
        <is>
          <t>MARKARYD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10441-2024</t>
        </is>
      </c>
      <c r="B1453" s="1" t="n">
        <v>45366.32900462963</v>
      </c>
      <c r="C1453" s="1" t="n">
        <v>45957</v>
      </c>
      <c r="D1453" t="inlineStr">
        <is>
          <t>KRONOBERGS LÄN</t>
        </is>
      </c>
      <c r="E1453" t="inlineStr">
        <is>
          <t>LJUNGBY</t>
        </is>
      </c>
      <c r="G1453" t="n">
        <v>5.6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16942-2025</t>
        </is>
      </c>
      <c r="B1454" s="1" t="n">
        <v>45755</v>
      </c>
      <c r="C1454" s="1" t="n">
        <v>45957</v>
      </c>
      <c r="D1454" t="inlineStr">
        <is>
          <t>KRONOBERGS LÄN</t>
        </is>
      </c>
      <c r="E1454" t="inlineStr">
        <is>
          <t>UPPVIDINGE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32605-2021</t>
        </is>
      </c>
      <c r="B1455" s="1" t="n">
        <v>44375.38892361111</v>
      </c>
      <c r="C1455" s="1" t="n">
        <v>45957</v>
      </c>
      <c r="D1455" t="inlineStr">
        <is>
          <t>KRONOBERGS LÄN</t>
        </is>
      </c>
      <c r="E1455" t="inlineStr">
        <is>
          <t>TINGSRYD</t>
        </is>
      </c>
      <c r="G1455" t="n">
        <v>1.7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63541-2021</t>
        </is>
      </c>
      <c r="B1456" s="1" t="n">
        <v>44508.68315972222</v>
      </c>
      <c r="C1456" s="1" t="n">
        <v>45957</v>
      </c>
      <c r="D1456" t="inlineStr">
        <is>
          <t>KRONOBERGS LÄN</t>
        </is>
      </c>
      <c r="E1456" t="inlineStr">
        <is>
          <t>MARKARYD</t>
        </is>
      </c>
      <c r="G1456" t="n">
        <v>0.9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41619-2021</t>
        </is>
      </c>
      <c r="B1457" s="1" t="n">
        <v>44425.44590277778</v>
      </c>
      <c r="C1457" s="1" t="n">
        <v>45957</v>
      </c>
      <c r="D1457" t="inlineStr">
        <is>
          <t>KRONOBERGS LÄN</t>
        </is>
      </c>
      <c r="E1457" t="inlineStr">
        <is>
          <t>LESSEBO</t>
        </is>
      </c>
      <c r="F1457" t="inlineStr">
        <is>
          <t>Sveaskog</t>
        </is>
      </c>
      <c r="G1457" t="n">
        <v>3.6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20955-2024</t>
        </is>
      </c>
      <c r="B1458" s="1" t="n">
        <v>45439</v>
      </c>
      <c r="C1458" s="1" t="n">
        <v>45957</v>
      </c>
      <c r="D1458" t="inlineStr">
        <is>
          <t>KRONOBERGS LÄN</t>
        </is>
      </c>
      <c r="E1458" t="inlineStr">
        <is>
          <t>TINGSRYD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54500-2022</t>
        </is>
      </c>
      <c r="B1459" s="1" t="n">
        <v>44882.68681712963</v>
      </c>
      <c r="C1459" s="1" t="n">
        <v>45957</v>
      </c>
      <c r="D1459" t="inlineStr">
        <is>
          <t>KRONOBERGS LÄN</t>
        </is>
      </c>
      <c r="E1459" t="inlineStr">
        <is>
          <t>ÄLMHULT</t>
        </is>
      </c>
      <c r="G1459" t="n">
        <v>7.4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19584-2021</t>
        </is>
      </c>
      <c r="B1460" s="1" t="n">
        <v>44312</v>
      </c>
      <c r="C1460" s="1" t="n">
        <v>45957</v>
      </c>
      <c r="D1460" t="inlineStr">
        <is>
          <t>KRONOBERGS LÄN</t>
        </is>
      </c>
      <c r="E1460" t="inlineStr">
        <is>
          <t>TINGSRYD</t>
        </is>
      </c>
      <c r="G1460" t="n">
        <v>0.5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54366-2022</t>
        </is>
      </c>
      <c r="B1461" s="1" t="n">
        <v>44882</v>
      </c>
      <c r="C1461" s="1" t="n">
        <v>45957</v>
      </c>
      <c r="D1461" t="inlineStr">
        <is>
          <t>KRONOBERGS LÄN</t>
        </is>
      </c>
      <c r="E1461" t="inlineStr">
        <is>
          <t>UPPVIDINGE</t>
        </is>
      </c>
      <c r="G1461" t="n">
        <v>1.4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27541-2022</t>
        </is>
      </c>
      <c r="B1462" s="1" t="n">
        <v>44742.71378472223</v>
      </c>
      <c r="C1462" s="1" t="n">
        <v>45957</v>
      </c>
      <c r="D1462" t="inlineStr">
        <is>
          <t>KRONOBERGS LÄN</t>
        </is>
      </c>
      <c r="E1462" t="inlineStr">
        <is>
          <t>LJUNGBY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26561-2021</t>
        </is>
      </c>
      <c r="B1463" s="1" t="n">
        <v>44348.5505787037</v>
      </c>
      <c r="C1463" s="1" t="n">
        <v>45957</v>
      </c>
      <c r="D1463" t="inlineStr">
        <is>
          <t>KRONOBERGS LÄN</t>
        </is>
      </c>
      <c r="E1463" t="inlineStr">
        <is>
          <t>LESSEBO</t>
        </is>
      </c>
      <c r="G1463" t="n">
        <v>2.3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25918-2024</t>
        </is>
      </c>
      <c r="B1464" s="1" t="n">
        <v>45467.60365740741</v>
      </c>
      <c r="C1464" s="1" t="n">
        <v>45957</v>
      </c>
      <c r="D1464" t="inlineStr">
        <is>
          <t>KRONOBERGS LÄN</t>
        </is>
      </c>
      <c r="E1464" t="inlineStr">
        <is>
          <t>ÄLMHULT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38638-2024</t>
        </is>
      </c>
      <c r="B1465" s="1" t="n">
        <v>45546.84695601852</v>
      </c>
      <c r="C1465" s="1" t="n">
        <v>45957</v>
      </c>
      <c r="D1465" t="inlineStr">
        <is>
          <t>KRONOBERGS LÄN</t>
        </is>
      </c>
      <c r="E1465" t="inlineStr">
        <is>
          <t>LJUNGBY</t>
        </is>
      </c>
      <c r="F1465" t="inlineStr">
        <is>
          <t>Sveaskog</t>
        </is>
      </c>
      <c r="G1465" t="n">
        <v>4.7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43549-2022</t>
        </is>
      </c>
      <c r="B1466" s="1" t="n">
        <v>44837.43361111111</v>
      </c>
      <c r="C1466" s="1" t="n">
        <v>45957</v>
      </c>
      <c r="D1466" t="inlineStr">
        <is>
          <t>KRONOBERGS LÄN</t>
        </is>
      </c>
      <c r="E1466" t="inlineStr">
        <is>
          <t>UPPVIDINGE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38639-2024</t>
        </is>
      </c>
      <c r="B1467" s="1" t="n">
        <v>45546.84908564815</v>
      </c>
      <c r="C1467" s="1" t="n">
        <v>45957</v>
      </c>
      <c r="D1467" t="inlineStr">
        <is>
          <t>KRONOBERGS LÄN</t>
        </is>
      </c>
      <c r="E1467" t="inlineStr">
        <is>
          <t>LJUNGBY</t>
        </is>
      </c>
      <c r="F1467" t="inlineStr">
        <is>
          <t>Sveaskog</t>
        </is>
      </c>
      <c r="G1467" t="n">
        <v>0.9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40923-2021</t>
        </is>
      </c>
      <c r="B1468" s="1" t="n">
        <v>44421.51063657407</v>
      </c>
      <c r="C1468" s="1" t="n">
        <v>45957</v>
      </c>
      <c r="D1468" t="inlineStr">
        <is>
          <t>KRONOBERGS LÄN</t>
        </is>
      </c>
      <c r="E1468" t="inlineStr">
        <is>
          <t>LJUNGBY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7504-2023</t>
        </is>
      </c>
      <c r="B1469" s="1" t="n">
        <v>44971.76994212963</v>
      </c>
      <c r="C1469" s="1" t="n">
        <v>45957</v>
      </c>
      <c r="D1469" t="inlineStr">
        <is>
          <t>KRONOBERGS LÄN</t>
        </is>
      </c>
      <c r="E1469" t="inlineStr">
        <is>
          <t>UPPVIDINGE</t>
        </is>
      </c>
      <c r="G1469" t="n">
        <v>1.6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47691-2022</t>
        </is>
      </c>
      <c r="B1470" s="1" t="n">
        <v>44854.54513888889</v>
      </c>
      <c r="C1470" s="1" t="n">
        <v>45957</v>
      </c>
      <c r="D1470" t="inlineStr">
        <is>
          <t>KRONOBERGS LÄN</t>
        </is>
      </c>
      <c r="E1470" t="inlineStr">
        <is>
          <t>ALVESTA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58475-2022</t>
        </is>
      </c>
      <c r="B1471" s="1" t="n">
        <v>44894</v>
      </c>
      <c r="C1471" s="1" t="n">
        <v>45957</v>
      </c>
      <c r="D1471" t="inlineStr">
        <is>
          <t>KRONOBERGS LÄN</t>
        </is>
      </c>
      <c r="E1471" t="inlineStr">
        <is>
          <t>VÄXJÖ</t>
        </is>
      </c>
      <c r="F1471" t="inlineStr">
        <is>
          <t>Kyrkan</t>
        </is>
      </c>
      <c r="G1471" t="n">
        <v>0.9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33094-2021</t>
        </is>
      </c>
      <c r="B1472" s="1" t="n">
        <v>44376.60693287037</v>
      </c>
      <c r="C1472" s="1" t="n">
        <v>45957</v>
      </c>
      <c r="D1472" t="inlineStr">
        <is>
          <t>KRONOBERGS LÄN</t>
        </is>
      </c>
      <c r="E1472" t="inlineStr">
        <is>
          <t>TINGSRYD</t>
        </is>
      </c>
      <c r="F1472" t="inlineStr">
        <is>
          <t>Övriga Aktiebolag</t>
        </is>
      </c>
      <c r="G1472" t="n">
        <v>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18776-2024</t>
        </is>
      </c>
      <c r="B1473" s="1" t="n">
        <v>45426</v>
      </c>
      <c r="C1473" s="1" t="n">
        <v>45957</v>
      </c>
      <c r="D1473" t="inlineStr">
        <is>
          <t>KRONOBERGS LÄN</t>
        </is>
      </c>
      <c r="E1473" t="inlineStr">
        <is>
          <t>MARKARYD</t>
        </is>
      </c>
      <c r="G1473" t="n">
        <v>2.2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18813-2024</t>
        </is>
      </c>
      <c r="B1474" s="1" t="n">
        <v>45426</v>
      </c>
      <c r="C1474" s="1" t="n">
        <v>45957</v>
      </c>
      <c r="D1474" t="inlineStr">
        <is>
          <t>KRONOBERGS LÄN</t>
        </is>
      </c>
      <c r="E1474" t="inlineStr">
        <is>
          <t>VÄXJÖ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30100-2022</t>
        </is>
      </c>
      <c r="B1475" s="1" t="n">
        <v>44757.39927083333</v>
      </c>
      <c r="C1475" s="1" t="n">
        <v>45957</v>
      </c>
      <c r="D1475" t="inlineStr">
        <is>
          <t>KRONOBERGS LÄN</t>
        </is>
      </c>
      <c r="E1475" t="inlineStr">
        <is>
          <t>UPPVIDINGE</t>
        </is>
      </c>
      <c r="F1475" t="inlineStr">
        <is>
          <t>Sveaskog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30107-2022</t>
        </is>
      </c>
      <c r="B1476" s="1" t="n">
        <v>44757.40454861111</v>
      </c>
      <c r="C1476" s="1" t="n">
        <v>45957</v>
      </c>
      <c r="D1476" t="inlineStr">
        <is>
          <t>KRONOBERGS LÄN</t>
        </is>
      </c>
      <c r="E1476" t="inlineStr">
        <is>
          <t>UPPVIDINGE</t>
        </is>
      </c>
      <c r="F1476" t="inlineStr">
        <is>
          <t>Sveaskog</t>
        </is>
      </c>
      <c r="G1476" t="n">
        <v>3.3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58165-2024</t>
        </is>
      </c>
      <c r="B1477" s="1" t="n">
        <v>45632.45528935185</v>
      </c>
      <c r="C1477" s="1" t="n">
        <v>45957</v>
      </c>
      <c r="D1477" t="inlineStr">
        <is>
          <t>KRONOBERGS LÄN</t>
        </is>
      </c>
      <c r="E1477" t="inlineStr">
        <is>
          <t>VÄXJÖ</t>
        </is>
      </c>
      <c r="G1477" t="n">
        <v>5.4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14551-2025</t>
        </is>
      </c>
      <c r="B1478" s="1" t="n">
        <v>45741.70509259259</v>
      </c>
      <c r="C1478" s="1" t="n">
        <v>45957</v>
      </c>
      <c r="D1478" t="inlineStr">
        <is>
          <t>KRONOBERGS LÄN</t>
        </is>
      </c>
      <c r="E1478" t="inlineStr">
        <is>
          <t>LESSEBO</t>
        </is>
      </c>
      <c r="G1478" t="n">
        <v>0.3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68513-2021</t>
        </is>
      </c>
      <c r="B1479" s="1" t="n">
        <v>44529.46652777777</v>
      </c>
      <c r="C1479" s="1" t="n">
        <v>45957</v>
      </c>
      <c r="D1479" t="inlineStr">
        <is>
          <t>KRONOBERGS LÄN</t>
        </is>
      </c>
      <c r="E1479" t="inlineStr">
        <is>
          <t>LESSEBO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56106-2021</t>
        </is>
      </c>
      <c r="B1480" s="1" t="n">
        <v>44477</v>
      </c>
      <c r="C1480" s="1" t="n">
        <v>45957</v>
      </c>
      <c r="D1480" t="inlineStr">
        <is>
          <t>KRONOBERGS LÄN</t>
        </is>
      </c>
      <c r="E1480" t="inlineStr">
        <is>
          <t>ÄLMHULT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61339-2021</t>
        </is>
      </c>
      <c r="B1481" s="1" t="n">
        <v>44498</v>
      </c>
      <c r="C1481" s="1" t="n">
        <v>45957</v>
      </c>
      <c r="D1481" t="inlineStr">
        <is>
          <t>KRONOBERGS LÄN</t>
        </is>
      </c>
      <c r="E1481" t="inlineStr">
        <is>
          <t>VÄXJÖ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39091-2023</t>
        </is>
      </c>
      <c r="B1482" s="1" t="n">
        <v>45164</v>
      </c>
      <c r="C1482" s="1" t="n">
        <v>45957</v>
      </c>
      <c r="D1482" t="inlineStr">
        <is>
          <t>KRONOBERGS LÄN</t>
        </is>
      </c>
      <c r="E1482" t="inlineStr">
        <is>
          <t>LJUNGBY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39133-2023</t>
        </is>
      </c>
      <c r="B1483" s="1" t="n">
        <v>45165.77501157407</v>
      </c>
      <c r="C1483" s="1" t="n">
        <v>45957</v>
      </c>
      <c r="D1483" t="inlineStr">
        <is>
          <t>KRONOBERGS LÄN</t>
        </is>
      </c>
      <c r="E1483" t="inlineStr">
        <is>
          <t>UPPVIDINGE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56861-2021</t>
        </is>
      </c>
      <c r="B1484" s="1" t="n">
        <v>44481.71842592592</v>
      </c>
      <c r="C1484" s="1" t="n">
        <v>45957</v>
      </c>
      <c r="D1484" t="inlineStr">
        <is>
          <t>KRONOBERGS LÄN</t>
        </is>
      </c>
      <c r="E1484" t="inlineStr">
        <is>
          <t>TINGSRYD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45054-2021</t>
        </is>
      </c>
      <c r="B1485" s="1" t="n">
        <v>44439</v>
      </c>
      <c r="C1485" s="1" t="n">
        <v>45957</v>
      </c>
      <c r="D1485" t="inlineStr">
        <is>
          <t>KRONOBERGS LÄN</t>
        </is>
      </c>
      <c r="E1485" t="inlineStr">
        <is>
          <t>VÄXJÖ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58220-2024</t>
        </is>
      </c>
      <c r="B1486" s="1" t="n">
        <v>45632.50561342593</v>
      </c>
      <c r="C1486" s="1" t="n">
        <v>45957</v>
      </c>
      <c r="D1486" t="inlineStr">
        <is>
          <t>KRONOBERGS LÄN</t>
        </is>
      </c>
      <c r="E1486" t="inlineStr">
        <is>
          <t>ÄLMHULT</t>
        </is>
      </c>
      <c r="G1486" t="n">
        <v>2.8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54673-2021</t>
        </is>
      </c>
      <c r="B1487" s="1" t="n">
        <v>44473</v>
      </c>
      <c r="C1487" s="1" t="n">
        <v>45957</v>
      </c>
      <c r="D1487" t="inlineStr">
        <is>
          <t>KRONOBERGS LÄN</t>
        </is>
      </c>
      <c r="E1487" t="inlineStr">
        <is>
          <t>VÄXJÖ</t>
        </is>
      </c>
      <c r="G1487" t="n">
        <v>3.5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8277-2024</t>
        </is>
      </c>
      <c r="B1488" s="1" t="n">
        <v>45352.37434027778</v>
      </c>
      <c r="C1488" s="1" t="n">
        <v>45957</v>
      </c>
      <c r="D1488" t="inlineStr">
        <is>
          <t>KRONOBERGS LÄN</t>
        </is>
      </c>
      <c r="E1488" t="inlineStr">
        <is>
          <t>MARKARYD</t>
        </is>
      </c>
      <c r="G1488" t="n">
        <v>2.1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50026-2022</t>
        </is>
      </c>
      <c r="B1489" s="1" t="n">
        <v>44865</v>
      </c>
      <c r="C1489" s="1" t="n">
        <v>45957</v>
      </c>
      <c r="D1489" t="inlineStr">
        <is>
          <t>KRONOBERGS LÄN</t>
        </is>
      </c>
      <c r="E1489" t="inlineStr">
        <is>
          <t>ÄLMHULT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57127-2023</t>
        </is>
      </c>
      <c r="B1490" s="1" t="n">
        <v>45245.37445601852</v>
      </c>
      <c r="C1490" s="1" t="n">
        <v>45957</v>
      </c>
      <c r="D1490" t="inlineStr">
        <is>
          <t>KRONOBERGS LÄN</t>
        </is>
      </c>
      <c r="E1490" t="inlineStr">
        <is>
          <t>UPPVIDINGE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3869-2025</t>
        </is>
      </c>
      <c r="B1491" s="1" t="n">
        <v>45684.32357638889</v>
      </c>
      <c r="C1491" s="1" t="n">
        <v>45957</v>
      </c>
      <c r="D1491" t="inlineStr">
        <is>
          <t>KRONOBERGS LÄN</t>
        </is>
      </c>
      <c r="E1491" t="inlineStr">
        <is>
          <t>ÄLMHULT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53317-2021</t>
        </is>
      </c>
      <c r="B1492" s="1" t="n">
        <v>44468</v>
      </c>
      <c r="C1492" s="1" t="n">
        <v>45957</v>
      </c>
      <c r="D1492" t="inlineStr">
        <is>
          <t>KRONOBERGS LÄN</t>
        </is>
      </c>
      <c r="E1492" t="inlineStr">
        <is>
          <t>TINGSRYD</t>
        </is>
      </c>
      <c r="G1492" t="n">
        <v>1.7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41421-2021</t>
        </is>
      </c>
      <c r="B1493" s="1" t="n">
        <v>44424</v>
      </c>
      <c r="C1493" s="1" t="n">
        <v>45957</v>
      </c>
      <c r="D1493" t="inlineStr">
        <is>
          <t>KRONOBERGS LÄN</t>
        </is>
      </c>
      <c r="E1493" t="inlineStr">
        <is>
          <t>LJUNGBY</t>
        </is>
      </c>
      <c r="G1493" t="n">
        <v>2.5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60520-2020</t>
        </is>
      </c>
      <c r="B1494" s="1" t="n">
        <v>44153</v>
      </c>
      <c r="C1494" s="1" t="n">
        <v>45957</v>
      </c>
      <c r="D1494" t="inlineStr">
        <is>
          <t>KRONOBERGS LÄN</t>
        </is>
      </c>
      <c r="E1494" t="inlineStr">
        <is>
          <t>UPPVIDINGE</t>
        </is>
      </c>
      <c r="G1494" t="n">
        <v>1.6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58134-2023</t>
        </is>
      </c>
      <c r="B1495" s="1" t="n">
        <v>45250.30325231481</v>
      </c>
      <c r="C1495" s="1" t="n">
        <v>45957</v>
      </c>
      <c r="D1495" t="inlineStr">
        <is>
          <t>KRONOBERGS LÄN</t>
        </is>
      </c>
      <c r="E1495" t="inlineStr">
        <is>
          <t>VÄXJÖ</t>
        </is>
      </c>
      <c r="G1495" t="n">
        <v>3.1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14868-2025</t>
        </is>
      </c>
      <c r="B1496" s="1" t="n">
        <v>45743</v>
      </c>
      <c r="C1496" s="1" t="n">
        <v>45957</v>
      </c>
      <c r="D1496" t="inlineStr">
        <is>
          <t>KRONOBERGS LÄN</t>
        </is>
      </c>
      <c r="E1496" t="inlineStr">
        <is>
          <t>VÄXJÖ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40298-2024</t>
        </is>
      </c>
      <c r="B1497" s="1" t="n">
        <v>45554.70358796296</v>
      </c>
      <c r="C1497" s="1" t="n">
        <v>45957</v>
      </c>
      <c r="D1497" t="inlineStr">
        <is>
          <t>KRONOBERGS LÄN</t>
        </is>
      </c>
      <c r="E1497" t="inlineStr">
        <is>
          <t>ALVESTA</t>
        </is>
      </c>
      <c r="G1497" t="n">
        <v>4.3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37721-2022</t>
        </is>
      </c>
      <c r="B1498" s="1" t="n">
        <v>44810.56070601852</v>
      </c>
      <c r="C1498" s="1" t="n">
        <v>45957</v>
      </c>
      <c r="D1498" t="inlineStr">
        <is>
          <t>KRONOBERGS LÄN</t>
        </is>
      </c>
      <c r="E1498" t="inlineStr">
        <is>
          <t>LJUNGBY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24856-2022</t>
        </is>
      </c>
      <c r="B1499" s="1" t="n">
        <v>44728.48572916666</v>
      </c>
      <c r="C1499" s="1" t="n">
        <v>45957</v>
      </c>
      <c r="D1499" t="inlineStr">
        <is>
          <t>KRONOBERGS LÄN</t>
        </is>
      </c>
      <c r="E1499" t="inlineStr">
        <is>
          <t>ALVESTA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1461-2025</t>
        </is>
      </c>
      <c r="B1500" s="1" t="n">
        <v>45670.35832175926</v>
      </c>
      <c r="C1500" s="1" t="n">
        <v>45957</v>
      </c>
      <c r="D1500" t="inlineStr">
        <is>
          <t>KRONOBERGS LÄN</t>
        </is>
      </c>
      <c r="E1500" t="inlineStr">
        <is>
          <t>MARKARYD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20075-2023</t>
        </is>
      </c>
      <c r="B1501" s="1" t="n">
        <v>45054.85400462963</v>
      </c>
      <c r="C1501" s="1" t="n">
        <v>45957</v>
      </c>
      <c r="D1501" t="inlineStr">
        <is>
          <t>KRONOBERGS LÄN</t>
        </is>
      </c>
      <c r="E1501" t="inlineStr">
        <is>
          <t>LJUNGBY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733-2024</t>
        </is>
      </c>
      <c r="B1502" s="1" t="n">
        <v>45300.4487962963</v>
      </c>
      <c r="C1502" s="1" t="n">
        <v>45957</v>
      </c>
      <c r="D1502" t="inlineStr">
        <is>
          <t>KRONOBERGS LÄN</t>
        </is>
      </c>
      <c r="E1502" t="inlineStr">
        <is>
          <t>TINGSRYD</t>
        </is>
      </c>
      <c r="G1502" t="n">
        <v>0.8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783-2024</t>
        </is>
      </c>
      <c r="B1503" s="1" t="n">
        <v>45300.55637731482</v>
      </c>
      <c r="C1503" s="1" t="n">
        <v>45957</v>
      </c>
      <c r="D1503" t="inlineStr">
        <is>
          <t>KRONOBERGS LÄN</t>
        </is>
      </c>
      <c r="E1503" t="inlineStr">
        <is>
          <t>VÄXJÖ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801-2024</t>
        </is>
      </c>
      <c r="B1504" s="1" t="n">
        <v>45300</v>
      </c>
      <c r="C1504" s="1" t="n">
        <v>45957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32046-2024</t>
        </is>
      </c>
      <c r="B1505" s="1" t="n">
        <v>45510</v>
      </c>
      <c r="C1505" s="1" t="n">
        <v>45957</v>
      </c>
      <c r="D1505" t="inlineStr">
        <is>
          <t>KRONOBERGS LÄN</t>
        </is>
      </c>
      <c r="E1505" t="inlineStr">
        <is>
          <t>LJUNGBY</t>
        </is>
      </c>
      <c r="G1505" t="n">
        <v>0.9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16357-2024</t>
        </is>
      </c>
      <c r="B1506" s="1" t="n">
        <v>45407.5844212963</v>
      </c>
      <c r="C1506" s="1" t="n">
        <v>45957</v>
      </c>
      <c r="D1506" t="inlineStr">
        <is>
          <t>KRONOBERGS LÄN</t>
        </is>
      </c>
      <c r="E1506" t="inlineStr">
        <is>
          <t>ALVESTA</t>
        </is>
      </c>
      <c r="G1506" t="n">
        <v>1.7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16360-2024</t>
        </is>
      </c>
      <c r="B1507" s="1" t="n">
        <v>45407.58672453704</v>
      </c>
      <c r="C1507" s="1" t="n">
        <v>45957</v>
      </c>
      <c r="D1507" t="inlineStr">
        <is>
          <t>KRONOBERGS LÄN</t>
        </is>
      </c>
      <c r="E1507" t="inlineStr">
        <is>
          <t>ALVESTA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37701-2022</t>
        </is>
      </c>
      <c r="B1508" s="1" t="n">
        <v>44810.52567129629</v>
      </c>
      <c r="C1508" s="1" t="n">
        <v>45957</v>
      </c>
      <c r="D1508" t="inlineStr">
        <is>
          <t>KRONOBERGS LÄN</t>
        </is>
      </c>
      <c r="E1508" t="inlineStr">
        <is>
          <t>LJUNGBY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66942-2020</t>
        </is>
      </c>
      <c r="B1509" s="1" t="n">
        <v>44180</v>
      </c>
      <c r="C1509" s="1" t="n">
        <v>45957</v>
      </c>
      <c r="D1509" t="inlineStr">
        <is>
          <t>KRONOBERGS LÄN</t>
        </is>
      </c>
      <c r="E1509" t="inlineStr">
        <is>
          <t>LJUNGBY</t>
        </is>
      </c>
      <c r="G1509" t="n">
        <v>2.8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28818-2022</t>
        </is>
      </c>
      <c r="B1510" s="1" t="n">
        <v>44749</v>
      </c>
      <c r="C1510" s="1" t="n">
        <v>45957</v>
      </c>
      <c r="D1510" t="inlineStr">
        <is>
          <t>KRONOBERGS LÄN</t>
        </is>
      </c>
      <c r="E1510" t="inlineStr">
        <is>
          <t>ALVESTA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1252-2024</t>
        </is>
      </c>
      <c r="B1511" s="1" t="n">
        <v>45302.78486111111</v>
      </c>
      <c r="C1511" s="1" t="n">
        <v>45957</v>
      </c>
      <c r="D1511" t="inlineStr">
        <is>
          <t>KRONOBERGS LÄN</t>
        </is>
      </c>
      <c r="E1511" t="inlineStr">
        <is>
          <t>VÄXJÖ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12906-2024</t>
        </is>
      </c>
      <c r="B1512" s="1" t="n">
        <v>45385.38657407407</v>
      </c>
      <c r="C1512" s="1" t="n">
        <v>45957</v>
      </c>
      <c r="D1512" t="inlineStr">
        <is>
          <t>KRONOBERGS LÄN</t>
        </is>
      </c>
      <c r="E1512" t="inlineStr">
        <is>
          <t>ALVESTA</t>
        </is>
      </c>
      <c r="G1512" t="n">
        <v>3.6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45522-2023</t>
        </is>
      </c>
      <c r="B1513" s="1" t="n">
        <v>45194.5039699074</v>
      </c>
      <c r="C1513" s="1" t="n">
        <v>45957</v>
      </c>
      <c r="D1513" t="inlineStr">
        <is>
          <t>KRONOBERGS LÄN</t>
        </is>
      </c>
      <c r="E1513" t="inlineStr">
        <is>
          <t>TINGSRYD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59099-2022</t>
        </is>
      </c>
      <c r="B1514" s="1" t="n">
        <v>44897</v>
      </c>
      <c r="C1514" s="1" t="n">
        <v>45957</v>
      </c>
      <c r="D1514" t="inlineStr">
        <is>
          <t>KRONOBERGS LÄN</t>
        </is>
      </c>
      <c r="E1514" t="inlineStr">
        <is>
          <t>ÄLMHULT</t>
        </is>
      </c>
      <c r="G1514" t="n">
        <v>4.3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63354-2021</t>
        </is>
      </c>
      <c r="B1515" s="1" t="n">
        <v>44508</v>
      </c>
      <c r="C1515" s="1" t="n">
        <v>45957</v>
      </c>
      <c r="D1515" t="inlineStr">
        <is>
          <t>KRONOBERGS LÄN</t>
        </is>
      </c>
      <c r="E1515" t="inlineStr">
        <is>
          <t>LJUNGBY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7402-2025</t>
        </is>
      </c>
      <c r="B1516" s="1" t="n">
        <v>45705.35732638889</v>
      </c>
      <c r="C1516" s="1" t="n">
        <v>45957</v>
      </c>
      <c r="D1516" t="inlineStr">
        <is>
          <t>KRONOBERGS LÄN</t>
        </is>
      </c>
      <c r="E1516" t="inlineStr">
        <is>
          <t>UPPVIDINGE</t>
        </is>
      </c>
      <c r="G1516" t="n">
        <v>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3240-2025</t>
        </is>
      </c>
      <c r="B1517" s="1" t="n">
        <v>45679.49804398148</v>
      </c>
      <c r="C1517" s="1" t="n">
        <v>45957</v>
      </c>
      <c r="D1517" t="inlineStr">
        <is>
          <t>KRONOBERGS LÄN</t>
        </is>
      </c>
      <c r="E1517" t="inlineStr">
        <is>
          <t>LJUNGBY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36724-2023</t>
        </is>
      </c>
      <c r="B1518" s="1" t="n">
        <v>45153</v>
      </c>
      <c r="C1518" s="1" t="n">
        <v>45957</v>
      </c>
      <c r="D1518" t="inlineStr">
        <is>
          <t>KRONOBERGS LÄN</t>
        </is>
      </c>
      <c r="E1518" t="inlineStr">
        <is>
          <t>VÄXJÖ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22441-2022</t>
        </is>
      </c>
      <c r="B1519" s="1" t="n">
        <v>44713.535</v>
      </c>
      <c r="C1519" s="1" t="n">
        <v>45957</v>
      </c>
      <c r="D1519" t="inlineStr">
        <is>
          <t>KRONOBERGS LÄN</t>
        </is>
      </c>
      <c r="E1519" t="inlineStr">
        <is>
          <t>VÄXJÖ</t>
        </is>
      </c>
      <c r="G1519" t="n">
        <v>0.7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2895-2021</t>
        </is>
      </c>
      <c r="B1520" s="1" t="n">
        <v>44216</v>
      </c>
      <c r="C1520" s="1" t="n">
        <v>45957</v>
      </c>
      <c r="D1520" t="inlineStr">
        <is>
          <t>KRONOBERGS LÄN</t>
        </is>
      </c>
      <c r="E1520" t="inlineStr">
        <is>
          <t>VÄXJÖ</t>
        </is>
      </c>
      <c r="F1520" t="inlineStr">
        <is>
          <t>Sveaskog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59509-2023</t>
        </is>
      </c>
      <c r="B1521" s="1" t="n">
        <v>45254.48099537037</v>
      </c>
      <c r="C1521" s="1" t="n">
        <v>45957</v>
      </c>
      <c r="D1521" t="inlineStr">
        <is>
          <t>KRONOBERGS LÄN</t>
        </is>
      </c>
      <c r="E1521" t="inlineStr">
        <is>
          <t>ÄLMHULT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53917-2022</t>
        </is>
      </c>
      <c r="B1522" s="1" t="n">
        <v>44880.8781712963</v>
      </c>
      <c r="C1522" s="1" t="n">
        <v>45957</v>
      </c>
      <c r="D1522" t="inlineStr">
        <is>
          <t>KRONOBERGS LÄN</t>
        </is>
      </c>
      <c r="E1522" t="inlineStr">
        <is>
          <t>ALVESTA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65151-2020</t>
        </is>
      </c>
      <c r="B1523" s="1" t="n">
        <v>44168</v>
      </c>
      <c r="C1523" s="1" t="n">
        <v>45957</v>
      </c>
      <c r="D1523" t="inlineStr">
        <is>
          <t>KRONOBERGS LÄN</t>
        </is>
      </c>
      <c r="E1523" t="inlineStr">
        <is>
          <t>TINGSRYD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64659-2020</t>
        </is>
      </c>
      <c r="B1524" s="1" t="n">
        <v>44169</v>
      </c>
      <c r="C1524" s="1" t="n">
        <v>45957</v>
      </c>
      <c r="D1524" t="inlineStr">
        <is>
          <t>KRONOBERGS LÄN</t>
        </is>
      </c>
      <c r="E1524" t="inlineStr">
        <is>
          <t>LJUNGBY</t>
        </is>
      </c>
      <c r="G1524" t="n">
        <v>0.4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49724-2022</t>
        </is>
      </c>
      <c r="B1525" s="1" t="n">
        <v>44859</v>
      </c>
      <c r="C1525" s="1" t="n">
        <v>45957</v>
      </c>
      <c r="D1525" t="inlineStr">
        <is>
          <t>KRONOBERGS LÄN</t>
        </is>
      </c>
      <c r="E1525" t="inlineStr">
        <is>
          <t>UPPVIDINGE</t>
        </is>
      </c>
      <c r="G1525" t="n">
        <v>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20121-2025</t>
        </is>
      </c>
      <c r="B1526" s="1" t="n">
        <v>45772.49033564814</v>
      </c>
      <c r="C1526" s="1" t="n">
        <v>45957</v>
      </c>
      <c r="D1526" t="inlineStr">
        <is>
          <t>KRONOBERGS LÄN</t>
        </is>
      </c>
      <c r="E1526" t="inlineStr">
        <is>
          <t>ALVESTA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61792-2020</t>
        </is>
      </c>
      <c r="B1527" s="1" t="n">
        <v>44158</v>
      </c>
      <c r="C1527" s="1" t="n">
        <v>45957</v>
      </c>
      <c r="D1527" t="inlineStr">
        <is>
          <t>KRONOBERGS LÄN</t>
        </is>
      </c>
      <c r="E1527" t="inlineStr">
        <is>
          <t>UPPVIDINGE</t>
        </is>
      </c>
      <c r="G1527" t="n">
        <v>1.9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8074-2025</t>
        </is>
      </c>
      <c r="B1528" s="1" t="n">
        <v>45707.64956018519</v>
      </c>
      <c r="C1528" s="1" t="n">
        <v>45957</v>
      </c>
      <c r="D1528" t="inlineStr">
        <is>
          <t>KRONOBERGS LÄN</t>
        </is>
      </c>
      <c r="E1528" t="inlineStr">
        <is>
          <t>LJUNGBY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8082-2025</t>
        </is>
      </c>
      <c r="B1529" s="1" t="n">
        <v>45707.66369212963</v>
      </c>
      <c r="C1529" s="1" t="n">
        <v>45957</v>
      </c>
      <c r="D1529" t="inlineStr">
        <is>
          <t>KRONOBERGS LÄN</t>
        </is>
      </c>
      <c r="E1529" t="inlineStr">
        <is>
          <t>LJUNGBY</t>
        </is>
      </c>
      <c r="G1529" t="n">
        <v>1.1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17388-2025</t>
        </is>
      </c>
      <c r="B1530" s="1" t="n">
        <v>45757.31876157408</v>
      </c>
      <c r="C1530" s="1" t="n">
        <v>45957</v>
      </c>
      <c r="D1530" t="inlineStr">
        <is>
          <t>KRONOBERGS LÄN</t>
        </is>
      </c>
      <c r="E1530" t="inlineStr">
        <is>
          <t>ÄLMHULT</t>
        </is>
      </c>
      <c r="G1530" t="n">
        <v>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17390-2025</t>
        </is>
      </c>
      <c r="B1531" s="1" t="n">
        <v>45757.32127314815</v>
      </c>
      <c r="C1531" s="1" t="n">
        <v>45957</v>
      </c>
      <c r="D1531" t="inlineStr">
        <is>
          <t>KRONOBERGS LÄN</t>
        </is>
      </c>
      <c r="E1531" t="inlineStr">
        <is>
          <t>TINGSRYD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37682-2021</t>
        </is>
      </c>
      <c r="B1532" s="1" t="n">
        <v>44400</v>
      </c>
      <c r="C1532" s="1" t="n">
        <v>45957</v>
      </c>
      <c r="D1532" t="inlineStr">
        <is>
          <t>KRONOBERGS LÄN</t>
        </is>
      </c>
      <c r="E1532" t="inlineStr">
        <is>
          <t>UPPVIDINGE</t>
        </is>
      </c>
      <c r="G1532" t="n">
        <v>2.7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62299-2020</t>
        </is>
      </c>
      <c r="B1533" s="1" t="n">
        <v>44160</v>
      </c>
      <c r="C1533" s="1" t="n">
        <v>45957</v>
      </c>
      <c r="D1533" t="inlineStr">
        <is>
          <t>KRONOBERGS LÄN</t>
        </is>
      </c>
      <c r="E1533" t="inlineStr">
        <is>
          <t>LJUNGBY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49037-2022</t>
        </is>
      </c>
      <c r="B1534" s="1" t="n">
        <v>44860.45040509259</v>
      </c>
      <c r="C1534" s="1" t="n">
        <v>45957</v>
      </c>
      <c r="D1534" t="inlineStr">
        <is>
          <t>KRONOBERGS LÄN</t>
        </is>
      </c>
      <c r="E1534" t="inlineStr">
        <is>
          <t>VÄXJÖ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15928-2025</t>
        </is>
      </c>
      <c r="B1535" s="1" t="n">
        <v>45749.46740740741</v>
      </c>
      <c r="C1535" s="1" t="n">
        <v>45957</v>
      </c>
      <c r="D1535" t="inlineStr">
        <is>
          <t>KRONOBERGS LÄN</t>
        </is>
      </c>
      <c r="E1535" t="inlineStr">
        <is>
          <t>UPPVIDINGE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15974-2025</t>
        </is>
      </c>
      <c r="B1536" s="1" t="n">
        <v>45749.56019675926</v>
      </c>
      <c r="C1536" s="1" t="n">
        <v>45957</v>
      </c>
      <c r="D1536" t="inlineStr">
        <is>
          <t>KRONOBERGS LÄN</t>
        </is>
      </c>
      <c r="E1536" t="inlineStr">
        <is>
          <t>LJUNGBY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24457-2023</t>
        </is>
      </c>
      <c r="B1537" s="1" t="n">
        <v>45082</v>
      </c>
      <c r="C1537" s="1" t="n">
        <v>45957</v>
      </c>
      <c r="D1537" t="inlineStr">
        <is>
          <t>KRONOBERGS LÄN</t>
        </is>
      </c>
      <c r="E1537" t="inlineStr">
        <is>
          <t>UPPVIDINGE</t>
        </is>
      </c>
      <c r="G1537" t="n">
        <v>0.4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59173-2023</t>
        </is>
      </c>
      <c r="B1538" s="1" t="n">
        <v>45253.43135416666</v>
      </c>
      <c r="C1538" s="1" t="n">
        <v>45957</v>
      </c>
      <c r="D1538" t="inlineStr">
        <is>
          <t>KRONOBERGS LÄN</t>
        </is>
      </c>
      <c r="E1538" t="inlineStr">
        <is>
          <t>LESSEBO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12513-2025</t>
        </is>
      </c>
      <c r="B1539" s="1" t="n">
        <v>45730.6487037037</v>
      </c>
      <c r="C1539" s="1" t="n">
        <v>45957</v>
      </c>
      <c r="D1539" t="inlineStr">
        <is>
          <t>KRONOBERGS LÄN</t>
        </is>
      </c>
      <c r="E1539" t="inlineStr">
        <is>
          <t>LJUNGBY</t>
        </is>
      </c>
      <c r="G1539" t="n">
        <v>3.2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12520-2025</t>
        </is>
      </c>
      <c r="B1540" s="1" t="n">
        <v>45730.66740740741</v>
      </c>
      <c r="C1540" s="1" t="n">
        <v>45957</v>
      </c>
      <c r="D1540" t="inlineStr">
        <is>
          <t>KRONOBERGS LÄN</t>
        </is>
      </c>
      <c r="E1540" t="inlineStr">
        <is>
          <t>MARKARYD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44492-2021</t>
        </is>
      </c>
      <c r="B1541" s="1" t="n">
        <v>44435</v>
      </c>
      <c r="C1541" s="1" t="n">
        <v>45957</v>
      </c>
      <c r="D1541" t="inlineStr">
        <is>
          <t>KRONOBERGS LÄN</t>
        </is>
      </c>
      <c r="E1541" t="inlineStr">
        <is>
          <t>TINGSRYD</t>
        </is>
      </c>
      <c r="G1541" t="n">
        <v>2.6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58287-2022</t>
        </is>
      </c>
      <c r="B1542" s="1" t="n">
        <v>44901.49873842593</v>
      </c>
      <c r="C1542" s="1" t="n">
        <v>45957</v>
      </c>
      <c r="D1542" t="inlineStr">
        <is>
          <t>KRONOBERGS LÄN</t>
        </is>
      </c>
      <c r="E1542" t="inlineStr">
        <is>
          <t>ALVESTA</t>
        </is>
      </c>
      <c r="G1542" t="n">
        <v>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58289-2022</t>
        </is>
      </c>
      <c r="B1543" s="1" t="n">
        <v>44901.5021875</v>
      </c>
      <c r="C1543" s="1" t="n">
        <v>45957</v>
      </c>
      <c r="D1543" t="inlineStr">
        <is>
          <t>KRONOBERGS LÄN</t>
        </is>
      </c>
      <c r="E1543" t="inlineStr">
        <is>
          <t>ALVESTA</t>
        </is>
      </c>
      <c r="G1543" t="n">
        <v>3.8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53445-2021</t>
        </is>
      </c>
      <c r="B1544" s="1" t="n">
        <v>44468.68219907407</v>
      </c>
      <c r="C1544" s="1" t="n">
        <v>45957</v>
      </c>
      <c r="D1544" t="inlineStr">
        <is>
          <t>KRONOBERGS LÄN</t>
        </is>
      </c>
      <c r="E1544" t="inlineStr">
        <is>
          <t>UPPVIDINGE</t>
        </is>
      </c>
      <c r="G1544" t="n">
        <v>5.9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3585-2023</t>
        </is>
      </c>
      <c r="B1545" s="1" t="n">
        <v>44950.55744212963</v>
      </c>
      <c r="C1545" s="1" t="n">
        <v>45957</v>
      </c>
      <c r="D1545" t="inlineStr">
        <is>
          <t>KRONOBERGS LÄN</t>
        </is>
      </c>
      <c r="E1545" t="inlineStr">
        <is>
          <t>TINGSRYD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8430-2025</t>
        </is>
      </c>
      <c r="B1546" s="1" t="n">
        <v>45709.42712962963</v>
      </c>
      <c r="C1546" s="1" t="n">
        <v>45957</v>
      </c>
      <c r="D1546" t="inlineStr">
        <is>
          <t>KRONOBERGS LÄN</t>
        </is>
      </c>
      <c r="E1546" t="inlineStr">
        <is>
          <t>UPPVIDINGE</t>
        </is>
      </c>
      <c r="F1546" t="inlineStr">
        <is>
          <t>Sveaskog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51065-2021</t>
        </is>
      </c>
      <c r="B1547" s="1" t="n">
        <v>44461.34996527778</v>
      </c>
      <c r="C1547" s="1" t="n">
        <v>45957</v>
      </c>
      <c r="D1547" t="inlineStr">
        <is>
          <t>KRONOBERGS LÄN</t>
        </is>
      </c>
      <c r="E1547" t="inlineStr">
        <is>
          <t>MARKARYD</t>
        </is>
      </c>
      <c r="G1547" t="n">
        <v>2.2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21406-2024</t>
        </is>
      </c>
      <c r="B1548" s="1" t="n">
        <v>45441</v>
      </c>
      <c r="C1548" s="1" t="n">
        <v>45957</v>
      </c>
      <c r="D1548" t="inlineStr">
        <is>
          <t>KRONOBERGS LÄN</t>
        </is>
      </c>
      <c r="E1548" t="inlineStr">
        <is>
          <t>LJUNGBY</t>
        </is>
      </c>
      <c r="G1548" t="n">
        <v>1.3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37151-2024</t>
        </is>
      </c>
      <c r="B1549" s="1" t="n">
        <v>45539.60321759259</v>
      </c>
      <c r="C1549" s="1" t="n">
        <v>45957</v>
      </c>
      <c r="D1549" t="inlineStr">
        <is>
          <t>KRONOBERGS LÄN</t>
        </is>
      </c>
      <c r="E1549" t="inlineStr">
        <is>
          <t>ÄLMHULT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31641-2024</t>
        </is>
      </c>
      <c r="B1550" s="1" t="n">
        <v>45506.59847222222</v>
      </c>
      <c r="C1550" s="1" t="n">
        <v>45957</v>
      </c>
      <c r="D1550" t="inlineStr">
        <is>
          <t>KRONOBERGS LÄN</t>
        </is>
      </c>
      <c r="E1550" t="inlineStr">
        <is>
          <t>UPPVIDINGE</t>
        </is>
      </c>
      <c r="G1550" t="n">
        <v>3.2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55752-2023</t>
        </is>
      </c>
      <c r="B1551" s="1" t="n">
        <v>45239</v>
      </c>
      <c r="C1551" s="1" t="n">
        <v>45957</v>
      </c>
      <c r="D1551" t="inlineStr">
        <is>
          <t>KRONOBERGS LÄN</t>
        </is>
      </c>
      <c r="E1551" t="inlineStr">
        <is>
          <t>LJUNGBY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27114-2024</t>
        </is>
      </c>
      <c r="B1552" s="1" t="n">
        <v>45471</v>
      </c>
      <c r="C1552" s="1" t="n">
        <v>45957</v>
      </c>
      <c r="D1552" t="inlineStr">
        <is>
          <t>KRONOBERGS LÄN</t>
        </is>
      </c>
      <c r="E1552" t="inlineStr">
        <is>
          <t>UPPVIDINGE</t>
        </is>
      </c>
      <c r="G1552" t="n">
        <v>1.4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4571-2024</t>
        </is>
      </c>
      <c r="B1553" s="1" t="n">
        <v>45327.82945601852</v>
      </c>
      <c r="C1553" s="1" t="n">
        <v>45957</v>
      </c>
      <c r="D1553" t="inlineStr">
        <is>
          <t>KRONOBERGS LÄN</t>
        </is>
      </c>
      <c r="E1553" t="inlineStr">
        <is>
          <t>TINGSRYD</t>
        </is>
      </c>
      <c r="F1553" t="inlineStr">
        <is>
          <t>Sveaskog</t>
        </is>
      </c>
      <c r="G1553" t="n">
        <v>3.2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59867-2022</t>
        </is>
      </c>
      <c r="B1554" s="1" t="n">
        <v>44908</v>
      </c>
      <c r="C1554" s="1" t="n">
        <v>45957</v>
      </c>
      <c r="D1554" t="inlineStr">
        <is>
          <t>KRONOBERGS LÄN</t>
        </is>
      </c>
      <c r="E1554" t="inlineStr">
        <is>
          <t>VÄXJÖ</t>
        </is>
      </c>
      <c r="G1554" t="n">
        <v>0.8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11686-2024</t>
        </is>
      </c>
      <c r="B1555" s="1" t="n">
        <v>45373.59099537037</v>
      </c>
      <c r="C1555" s="1" t="n">
        <v>45957</v>
      </c>
      <c r="D1555" t="inlineStr">
        <is>
          <t>KRONOBERGS LÄN</t>
        </is>
      </c>
      <c r="E1555" t="inlineStr">
        <is>
          <t>LJUNGBY</t>
        </is>
      </c>
      <c r="G1555" t="n">
        <v>2.2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40618-2024</t>
        </is>
      </c>
      <c r="B1556" s="1" t="n">
        <v>45557.51626157408</v>
      </c>
      <c r="C1556" s="1" t="n">
        <v>45957</v>
      </c>
      <c r="D1556" t="inlineStr">
        <is>
          <t>KRONOBERGS LÄN</t>
        </is>
      </c>
      <c r="E1556" t="inlineStr">
        <is>
          <t>VÄXJÖ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45741-2024</t>
        </is>
      </c>
      <c r="B1557" s="1" t="n">
        <v>45579.62326388889</v>
      </c>
      <c r="C1557" s="1" t="n">
        <v>45957</v>
      </c>
      <c r="D1557" t="inlineStr">
        <is>
          <t>KRONOBERGS LÄN</t>
        </is>
      </c>
      <c r="E1557" t="inlineStr">
        <is>
          <t>VÄXJÖ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17910-2025</t>
        </is>
      </c>
      <c r="B1558" s="1" t="n">
        <v>45758.73520833333</v>
      </c>
      <c r="C1558" s="1" t="n">
        <v>45957</v>
      </c>
      <c r="D1558" t="inlineStr">
        <is>
          <t>KRONOBERGS LÄN</t>
        </is>
      </c>
      <c r="E1558" t="inlineStr">
        <is>
          <t>LJUNGBY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12221-2024</t>
        </is>
      </c>
      <c r="B1559" s="1" t="n">
        <v>45378</v>
      </c>
      <c r="C1559" s="1" t="n">
        <v>45957</v>
      </c>
      <c r="D1559" t="inlineStr">
        <is>
          <t>KRONOBERGS LÄN</t>
        </is>
      </c>
      <c r="E1559" t="inlineStr">
        <is>
          <t>ALVESTA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12343-2024</t>
        </is>
      </c>
      <c r="B1560" s="1" t="n">
        <v>45378.75538194444</v>
      </c>
      <c r="C1560" s="1" t="n">
        <v>45957</v>
      </c>
      <c r="D1560" t="inlineStr">
        <is>
          <t>KRONOBERGS LÄN</t>
        </is>
      </c>
      <c r="E1560" t="inlineStr">
        <is>
          <t>MARKARYD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30124-2024</t>
        </is>
      </c>
      <c r="B1561" s="1" t="n">
        <v>45488</v>
      </c>
      <c r="C1561" s="1" t="n">
        <v>45957</v>
      </c>
      <c r="D1561" t="inlineStr">
        <is>
          <t>KRONOBERGS LÄN</t>
        </is>
      </c>
      <c r="E1561" t="inlineStr">
        <is>
          <t>ALVESTA</t>
        </is>
      </c>
      <c r="G1561" t="n">
        <v>3.4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57133-2022</t>
        </is>
      </c>
      <c r="B1562" s="1" t="n">
        <v>44895</v>
      </c>
      <c r="C1562" s="1" t="n">
        <v>45957</v>
      </c>
      <c r="D1562" t="inlineStr">
        <is>
          <t>KRONOBERGS LÄN</t>
        </is>
      </c>
      <c r="E1562" t="inlineStr">
        <is>
          <t>LJUNGBY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57144-2022</t>
        </is>
      </c>
      <c r="B1563" s="1" t="n">
        <v>44895</v>
      </c>
      <c r="C1563" s="1" t="n">
        <v>45957</v>
      </c>
      <c r="D1563" t="inlineStr">
        <is>
          <t>KRONOBERGS LÄN</t>
        </is>
      </c>
      <c r="E1563" t="inlineStr">
        <is>
          <t>LJUNGBY</t>
        </is>
      </c>
      <c r="G1563" t="n">
        <v>4.4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58686-2022</t>
        </is>
      </c>
      <c r="B1564" s="1" t="n">
        <v>44902.70481481482</v>
      </c>
      <c r="C1564" s="1" t="n">
        <v>45957</v>
      </c>
      <c r="D1564" t="inlineStr">
        <is>
          <t>KRONOBERGS LÄN</t>
        </is>
      </c>
      <c r="E1564" t="inlineStr">
        <is>
          <t>MARKARYD</t>
        </is>
      </c>
      <c r="G1564" t="n">
        <v>3.4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57157-2022</t>
        </is>
      </c>
      <c r="B1565" s="1" t="n">
        <v>44895.58759259259</v>
      </c>
      <c r="C1565" s="1" t="n">
        <v>45957</v>
      </c>
      <c r="D1565" t="inlineStr">
        <is>
          <t>KRONOBERGS LÄN</t>
        </is>
      </c>
      <c r="E1565" t="inlineStr">
        <is>
          <t>LJUNGBY</t>
        </is>
      </c>
      <c r="G1565" t="n">
        <v>2.2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42414-2021</t>
        </is>
      </c>
      <c r="B1566" s="1" t="n">
        <v>44427.54488425926</v>
      </c>
      <c r="C1566" s="1" t="n">
        <v>45957</v>
      </c>
      <c r="D1566" t="inlineStr">
        <is>
          <t>KRONOBERGS LÄN</t>
        </is>
      </c>
      <c r="E1566" t="inlineStr">
        <is>
          <t>TINGSRYD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57501-2024</t>
        </is>
      </c>
      <c r="B1567" s="1" t="n">
        <v>45630.3771412037</v>
      </c>
      <c r="C1567" s="1" t="n">
        <v>45957</v>
      </c>
      <c r="D1567" t="inlineStr">
        <is>
          <t>KRONOBERGS LÄN</t>
        </is>
      </c>
      <c r="E1567" t="inlineStr">
        <is>
          <t>ÄLMHULT</t>
        </is>
      </c>
      <c r="G1567" t="n">
        <v>1.2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10198-2025</t>
        </is>
      </c>
      <c r="B1568" s="1" t="n">
        <v>45719</v>
      </c>
      <c r="C1568" s="1" t="n">
        <v>45957</v>
      </c>
      <c r="D1568" t="inlineStr">
        <is>
          <t>KRONOBERGS LÄN</t>
        </is>
      </c>
      <c r="E1568" t="inlineStr">
        <is>
          <t>ALVESTA</t>
        </is>
      </c>
      <c r="G1568" t="n">
        <v>0.4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57606-2022</t>
        </is>
      </c>
      <c r="B1569" s="1" t="n">
        <v>44897</v>
      </c>
      <c r="C1569" s="1" t="n">
        <v>45957</v>
      </c>
      <c r="D1569" t="inlineStr">
        <is>
          <t>KRONOBERGS LÄN</t>
        </is>
      </c>
      <c r="E1569" t="inlineStr">
        <is>
          <t>VÄXJÖ</t>
        </is>
      </c>
      <c r="G1569" t="n">
        <v>3.6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20114-2022</t>
        </is>
      </c>
      <c r="B1570" s="1" t="n">
        <v>44698</v>
      </c>
      <c r="C1570" s="1" t="n">
        <v>45957</v>
      </c>
      <c r="D1570" t="inlineStr">
        <is>
          <t>KRONOBERGS LÄN</t>
        </is>
      </c>
      <c r="E1570" t="inlineStr">
        <is>
          <t>TINGSRYD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46616-2025</t>
        </is>
      </c>
      <c r="B1571" s="1" t="n">
        <v>45926.43168981482</v>
      </c>
      <c r="C1571" s="1" t="n">
        <v>45957</v>
      </c>
      <c r="D1571" t="inlineStr">
        <is>
          <t>KRONOBERGS LÄN</t>
        </is>
      </c>
      <c r="E1571" t="inlineStr">
        <is>
          <t>TINGSRYD</t>
        </is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50540-2023</t>
        </is>
      </c>
      <c r="B1572" s="1" t="n">
        <v>45217</v>
      </c>
      <c r="C1572" s="1" t="n">
        <v>45957</v>
      </c>
      <c r="D1572" t="inlineStr">
        <is>
          <t>KRONOBERGS LÄN</t>
        </is>
      </c>
      <c r="E1572" t="inlineStr">
        <is>
          <t>ÄLMHULT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35934-2024</t>
        </is>
      </c>
      <c r="B1573" s="1" t="n">
        <v>45533.45201388889</v>
      </c>
      <c r="C1573" s="1" t="n">
        <v>45957</v>
      </c>
      <c r="D1573" t="inlineStr">
        <is>
          <t>KRONOBERGS LÄN</t>
        </is>
      </c>
      <c r="E1573" t="inlineStr">
        <is>
          <t>VÄXJÖ</t>
        </is>
      </c>
      <c r="G1573" t="n">
        <v>5.6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23543-2023</t>
        </is>
      </c>
      <c r="B1574" s="1" t="n">
        <v>45077.3275462963</v>
      </c>
      <c r="C1574" s="1" t="n">
        <v>45957</v>
      </c>
      <c r="D1574" t="inlineStr">
        <is>
          <t>KRONOBERGS LÄN</t>
        </is>
      </c>
      <c r="E1574" t="inlineStr">
        <is>
          <t>MARKARYD</t>
        </is>
      </c>
      <c r="G1574" t="n">
        <v>3.6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19639-2024</t>
        </is>
      </c>
      <c r="B1575" s="1" t="n">
        <v>45432.37760416666</v>
      </c>
      <c r="C1575" s="1" t="n">
        <v>45957</v>
      </c>
      <c r="D1575" t="inlineStr">
        <is>
          <t>KRONOBERGS LÄN</t>
        </is>
      </c>
      <c r="E1575" t="inlineStr">
        <is>
          <t>TINGSRYD</t>
        </is>
      </c>
      <c r="G1575" t="n">
        <v>3.3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59803-2024</t>
        </is>
      </c>
      <c r="B1576" s="1" t="n">
        <v>45639.59918981481</v>
      </c>
      <c r="C1576" s="1" t="n">
        <v>45957</v>
      </c>
      <c r="D1576" t="inlineStr">
        <is>
          <t>KRONOBERGS LÄN</t>
        </is>
      </c>
      <c r="E1576" t="inlineStr">
        <is>
          <t>UPPVIDINGE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43140-2024</t>
        </is>
      </c>
      <c r="B1577" s="1" t="n">
        <v>45567.62038194444</v>
      </c>
      <c r="C1577" s="1" t="n">
        <v>45957</v>
      </c>
      <c r="D1577" t="inlineStr">
        <is>
          <t>KRONOBERGS LÄN</t>
        </is>
      </c>
      <c r="E1577" t="inlineStr">
        <is>
          <t>ÄLMHULT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3744-2025</t>
        </is>
      </c>
      <c r="B1578" s="1" t="n">
        <v>45681.57925925926</v>
      </c>
      <c r="C1578" s="1" t="n">
        <v>45957</v>
      </c>
      <c r="D1578" t="inlineStr">
        <is>
          <t>KRONOBERGS LÄN</t>
        </is>
      </c>
      <c r="E1578" t="inlineStr">
        <is>
          <t>TINGSRYD</t>
        </is>
      </c>
      <c r="G1578" t="n">
        <v>3.4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45579-2024</t>
        </is>
      </c>
      <c r="B1579" s="1" t="n">
        <v>45579</v>
      </c>
      <c r="C1579" s="1" t="n">
        <v>45957</v>
      </c>
      <c r="D1579" t="inlineStr">
        <is>
          <t>KRONOBERGS LÄN</t>
        </is>
      </c>
      <c r="E1579" t="inlineStr">
        <is>
          <t>VÄXJÖ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7154-2025</t>
        </is>
      </c>
      <c r="B1580" s="1" t="n">
        <v>45702.38599537037</v>
      </c>
      <c r="C1580" s="1" t="n">
        <v>45957</v>
      </c>
      <c r="D1580" t="inlineStr">
        <is>
          <t>KRONOBERGS LÄN</t>
        </is>
      </c>
      <c r="E1580" t="inlineStr">
        <is>
          <t>VÄXJÖ</t>
        </is>
      </c>
      <c r="G1580" t="n">
        <v>0.6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49237-2021</t>
        </is>
      </c>
      <c r="B1581" s="1" t="n">
        <v>44454</v>
      </c>
      <c r="C1581" s="1" t="n">
        <v>45957</v>
      </c>
      <c r="D1581" t="inlineStr">
        <is>
          <t>KRONOBERGS LÄN</t>
        </is>
      </c>
      <c r="E1581" t="inlineStr">
        <is>
          <t>LJUNGBY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21039-2023</t>
        </is>
      </c>
      <c r="B1582" s="1" t="n">
        <v>45061</v>
      </c>
      <c r="C1582" s="1" t="n">
        <v>45957</v>
      </c>
      <c r="D1582" t="inlineStr">
        <is>
          <t>KRONOBERGS LÄN</t>
        </is>
      </c>
      <c r="E1582" t="inlineStr">
        <is>
          <t>LJUNGBY</t>
        </is>
      </c>
      <c r="G1582" t="n">
        <v>4.3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15264-2024</t>
        </is>
      </c>
      <c r="B1583" s="1" t="n">
        <v>45400</v>
      </c>
      <c r="C1583" s="1" t="n">
        <v>45957</v>
      </c>
      <c r="D1583" t="inlineStr">
        <is>
          <t>KRONOBERGS LÄN</t>
        </is>
      </c>
      <c r="E1583" t="inlineStr">
        <is>
          <t>UPPVIDINGE</t>
        </is>
      </c>
      <c r="F1583" t="inlineStr">
        <is>
          <t>Sveaskog</t>
        </is>
      </c>
      <c r="G1583" t="n">
        <v>3.1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61632-2023</t>
        </is>
      </c>
      <c r="B1584" s="1" t="n">
        <v>45265.55729166666</v>
      </c>
      <c r="C1584" s="1" t="n">
        <v>45957</v>
      </c>
      <c r="D1584" t="inlineStr">
        <is>
          <t>KRONOBERGS LÄN</t>
        </is>
      </c>
      <c r="E1584" t="inlineStr">
        <is>
          <t>MARKARYD</t>
        </is>
      </c>
      <c r="G1584" t="n">
        <v>1.9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50892-2022</t>
        </is>
      </c>
      <c r="B1585" s="1" t="n">
        <v>44867</v>
      </c>
      <c r="C1585" s="1" t="n">
        <v>45957</v>
      </c>
      <c r="D1585" t="inlineStr">
        <is>
          <t>KRONOBERGS LÄN</t>
        </is>
      </c>
      <c r="E1585" t="inlineStr">
        <is>
          <t>LESSEBO</t>
        </is>
      </c>
      <c r="G1585" t="n">
        <v>1.9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54953-2020</t>
        </is>
      </c>
      <c r="B1586" s="1" t="n">
        <v>44129</v>
      </c>
      <c r="C1586" s="1" t="n">
        <v>45957</v>
      </c>
      <c r="D1586" t="inlineStr">
        <is>
          <t>KRONOBERGS LÄN</t>
        </is>
      </c>
      <c r="E1586" t="inlineStr">
        <is>
          <t>LJUNGBY</t>
        </is>
      </c>
      <c r="G1586" t="n">
        <v>0.9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5850-2024</t>
        </is>
      </c>
      <c r="B1587" s="1" t="n">
        <v>45335.63466435186</v>
      </c>
      <c r="C1587" s="1" t="n">
        <v>45957</v>
      </c>
      <c r="D1587" t="inlineStr">
        <is>
          <t>KRONOBERGS LÄN</t>
        </is>
      </c>
      <c r="E1587" t="inlineStr">
        <is>
          <t>UPPVIDINGE</t>
        </is>
      </c>
      <c r="F1587" t="inlineStr">
        <is>
          <t>Sveaskog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16838-2025</t>
        </is>
      </c>
      <c r="B1588" s="1" t="n">
        <v>45754.66629629629</v>
      </c>
      <c r="C1588" s="1" t="n">
        <v>45957</v>
      </c>
      <c r="D1588" t="inlineStr">
        <is>
          <t>KRONOBERGS LÄN</t>
        </is>
      </c>
      <c r="E1588" t="inlineStr">
        <is>
          <t>VÄXJÖ</t>
        </is>
      </c>
      <c r="G1588" t="n">
        <v>2.1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48860-2023</t>
        </is>
      </c>
      <c r="B1589" s="1" t="n">
        <v>45204</v>
      </c>
      <c r="C1589" s="1" t="n">
        <v>45957</v>
      </c>
      <c r="D1589" t="inlineStr">
        <is>
          <t>KRONOBERGS LÄN</t>
        </is>
      </c>
      <c r="E1589" t="inlineStr">
        <is>
          <t>VÄXJÖ</t>
        </is>
      </c>
      <c r="G1589" t="n">
        <v>1.4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18680-2023</t>
        </is>
      </c>
      <c r="B1590" s="1" t="n">
        <v>45043.59314814815</v>
      </c>
      <c r="C1590" s="1" t="n">
        <v>45957</v>
      </c>
      <c r="D1590" t="inlineStr">
        <is>
          <t>KRONOBERGS LÄN</t>
        </is>
      </c>
      <c r="E1590" t="inlineStr">
        <is>
          <t>ALVESTA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46927-2021</t>
        </is>
      </c>
      <c r="B1591" s="1" t="n">
        <v>44446.48659722223</v>
      </c>
      <c r="C1591" s="1" t="n">
        <v>45957</v>
      </c>
      <c r="D1591" t="inlineStr">
        <is>
          <t>KRONOBERGS LÄN</t>
        </is>
      </c>
      <c r="E1591" t="inlineStr">
        <is>
          <t>TINGSRYD</t>
        </is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13841-2025</t>
        </is>
      </c>
      <c r="B1592" s="1" t="n">
        <v>45737.55744212963</v>
      </c>
      <c r="C1592" s="1" t="n">
        <v>45957</v>
      </c>
      <c r="D1592" t="inlineStr">
        <is>
          <t>KRONOBERGS LÄN</t>
        </is>
      </c>
      <c r="E1592" t="inlineStr">
        <is>
          <t>VÄXJÖ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60038-2024</t>
        </is>
      </c>
      <c r="B1593" s="1" t="n">
        <v>45642.46802083333</v>
      </c>
      <c r="C1593" s="1" t="n">
        <v>45957</v>
      </c>
      <c r="D1593" t="inlineStr">
        <is>
          <t>KRONOBERGS LÄN</t>
        </is>
      </c>
      <c r="E1593" t="inlineStr">
        <is>
          <t>UPPVIDINGE</t>
        </is>
      </c>
      <c r="F1593" t="inlineStr">
        <is>
          <t>Sveaskog</t>
        </is>
      </c>
      <c r="G1593" t="n">
        <v>1.9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20111-2024</t>
        </is>
      </c>
      <c r="B1594" s="1" t="n">
        <v>45434.50174768519</v>
      </c>
      <c r="C1594" s="1" t="n">
        <v>45957</v>
      </c>
      <c r="D1594" t="inlineStr">
        <is>
          <t>KRONOBERGS LÄN</t>
        </is>
      </c>
      <c r="E1594" t="inlineStr">
        <is>
          <t>TINGSRYD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57336-2024</t>
        </is>
      </c>
      <c r="B1595" s="1" t="n">
        <v>45629</v>
      </c>
      <c r="C1595" s="1" t="n">
        <v>45957</v>
      </c>
      <c r="D1595" t="inlineStr">
        <is>
          <t>KRONOBERGS LÄN</t>
        </is>
      </c>
      <c r="E1595" t="inlineStr">
        <is>
          <t>LJUNGBY</t>
        </is>
      </c>
      <c r="G1595" t="n">
        <v>0.6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22969-2024</t>
        </is>
      </c>
      <c r="B1596" s="1" t="n">
        <v>45449.62283564815</v>
      </c>
      <c r="C1596" s="1" t="n">
        <v>45957</v>
      </c>
      <c r="D1596" t="inlineStr">
        <is>
          <t>KRONOBERGS LÄN</t>
        </is>
      </c>
      <c r="E1596" t="inlineStr">
        <is>
          <t>TINGSRYD</t>
        </is>
      </c>
      <c r="G1596" t="n">
        <v>0.3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22970-2024</t>
        </is>
      </c>
      <c r="B1597" s="1" t="n">
        <v>45449.62583333333</v>
      </c>
      <c r="C1597" s="1" t="n">
        <v>45957</v>
      </c>
      <c r="D1597" t="inlineStr">
        <is>
          <t>KRONOBERGS LÄN</t>
        </is>
      </c>
      <c r="E1597" t="inlineStr">
        <is>
          <t>TINGSRYD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50916-2023</t>
        </is>
      </c>
      <c r="B1598" s="1" t="n">
        <v>45218.430625</v>
      </c>
      <c r="C1598" s="1" t="n">
        <v>45957</v>
      </c>
      <c r="D1598" t="inlineStr">
        <is>
          <t>KRONOBERGS LÄN</t>
        </is>
      </c>
      <c r="E1598" t="inlineStr">
        <is>
          <t>MARKARYD</t>
        </is>
      </c>
      <c r="G1598" t="n">
        <v>5.4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19219-2024</t>
        </is>
      </c>
      <c r="B1599" s="1" t="n">
        <v>45428</v>
      </c>
      <c r="C1599" s="1" t="n">
        <v>45957</v>
      </c>
      <c r="D1599" t="inlineStr">
        <is>
          <t>KRONOBERGS LÄN</t>
        </is>
      </c>
      <c r="E1599" t="inlineStr">
        <is>
          <t>MARKARYD</t>
        </is>
      </c>
      <c r="F1599" t="inlineStr">
        <is>
          <t>Sveaskog</t>
        </is>
      </c>
      <c r="G1599" t="n">
        <v>5.7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19223-2024</t>
        </is>
      </c>
      <c r="B1600" s="1" t="n">
        <v>45428.55619212963</v>
      </c>
      <c r="C1600" s="1" t="n">
        <v>45957</v>
      </c>
      <c r="D1600" t="inlineStr">
        <is>
          <t>KRONOBERGS LÄN</t>
        </is>
      </c>
      <c r="E1600" t="inlineStr">
        <is>
          <t>UPPVIDINGE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47232-2023</t>
        </is>
      </c>
      <c r="B1601" s="1" t="n">
        <v>45202.38372685185</v>
      </c>
      <c r="C1601" s="1" t="n">
        <v>45957</v>
      </c>
      <c r="D1601" t="inlineStr">
        <is>
          <t>KRONOBERGS LÄN</t>
        </is>
      </c>
      <c r="E1601" t="inlineStr">
        <is>
          <t>LJUNGBY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34267-2023</t>
        </is>
      </c>
      <c r="B1602" s="1" t="n">
        <v>45128</v>
      </c>
      <c r="C1602" s="1" t="n">
        <v>45957</v>
      </c>
      <c r="D1602" t="inlineStr">
        <is>
          <t>KRONOBERGS LÄN</t>
        </is>
      </c>
      <c r="E1602" t="inlineStr">
        <is>
          <t>ALVESTA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16487-2024</t>
        </is>
      </c>
      <c r="B1603" s="1" t="n">
        <v>45408.34063657407</v>
      </c>
      <c r="C1603" s="1" t="n">
        <v>45957</v>
      </c>
      <c r="D1603" t="inlineStr">
        <is>
          <t>KRONOBERGS LÄN</t>
        </is>
      </c>
      <c r="E1603" t="inlineStr">
        <is>
          <t>TINGSRYD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37113-2021</t>
        </is>
      </c>
      <c r="B1604" s="1" t="n">
        <v>44393</v>
      </c>
      <c r="C1604" s="1" t="n">
        <v>45957</v>
      </c>
      <c r="D1604" t="inlineStr">
        <is>
          <t>KRONOBERGS LÄN</t>
        </is>
      </c>
      <c r="E1604" t="inlineStr">
        <is>
          <t>VÄXJÖ</t>
        </is>
      </c>
      <c r="G1604" t="n">
        <v>1.3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12688-2024</t>
        </is>
      </c>
      <c r="B1605" s="1" t="n">
        <v>45384.42409722223</v>
      </c>
      <c r="C1605" s="1" t="n">
        <v>45957</v>
      </c>
      <c r="D1605" t="inlineStr">
        <is>
          <t>KRONOBERGS LÄN</t>
        </is>
      </c>
      <c r="E1605" t="inlineStr">
        <is>
          <t>UPPVIDINGE</t>
        </is>
      </c>
      <c r="G1605" t="n">
        <v>1.6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2899-2024</t>
        </is>
      </c>
      <c r="B1606" s="1" t="n">
        <v>45315.51804398148</v>
      </c>
      <c r="C1606" s="1" t="n">
        <v>45957</v>
      </c>
      <c r="D1606" t="inlineStr">
        <is>
          <t>KRONOBERGS LÄN</t>
        </is>
      </c>
      <c r="E1606" t="inlineStr">
        <is>
          <t>ÄLMHULT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54728-2022</t>
        </is>
      </c>
      <c r="B1607" s="1" t="n">
        <v>44883.55409722222</v>
      </c>
      <c r="C1607" s="1" t="n">
        <v>45957</v>
      </c>
      <c r="D1607" t="inlineStr">
        <is>
          <t>KRONOBERGS LÄN</t>
        </is>
      </c>
      <c r="E1607" t="inlineStr">
        <is>
          <t>TINGSRYD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24219-2024</t>
        </is>
      </c>
      <c r="B1608" s="1" t="n">
        <v>45457</v>
      </c>
      <c r="C1608" s="1" t="n">
        <v>45957</v>
      </c>
      <c r="D1608" t="inlineStr">
        <is>
          <t>KRONOBERGS LÄN</t>
        </is>
      </c>
      <c r="E1608" t="inlineStr">
        <is>
          <t>ÄLMHULT</t>
        </is>
      </c>
      <c r="G1608" t="n">
        <v>8.9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116-2023</t>
        </is>
      </c>
      <c r="B1609" s="1" t="n">
        <v>44928.49351851852</v>
      </c>
      <c r="C1609" s="1" t="n">
        <v>45957</v>
      </c>
      <c r="D1609" t="inlineStr">
        <is>
          <t>KRONOBERGS LÄN</t>
        </is>
      </c>
      <c r="E1609" t="inlineStr">
        <is>
          <t>ÄLMHULT</t>
        </is>
      </c>
      <c r="G1609" t="n">
        <v>2.5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12422-2023</t>
        </is>
      </c>
      <c r="B1610" s="1" t="n">
        <v>44999</v>
      </c>
      <c r="C1610" s="1" t="n">
        <v>45957</v>
      </c>
      <c r="D1610" t="inlineStr">
        <is>
          <t>KRONOBERGS LÄN</t>
        </is>
      </c>
      <c r="E1610" t="inlineStr">
        <is>
          <t>MARKARYD</t>
        </is>
      </c>
      <c r="G1610" t="n">
        <v>4.9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62361-2022</t>
        </is>
      </c>
      <c r="B1611" s="1" t="n">
        <v>44923</v>
      </c>
      <c r="C1611" s="1" t="n">
        <v>45957</v>
      </c>
      <c r="D1611" t="inlineStr">
        <is>
          <t>KRONOBERGS LÄN</t>
        </is>
      </c>
      <c r="E1611" t="inlineStr">
        <is>
          <t>LJUNGBY</t>
        </is>
      </c>
      <c r="G1611" t="n">
        <v>0.9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15581-2025</t>
        </is>
      </c>
      <c r="B1612" s="1" t="n">
        <v>45747.79938657407</v>
      </c>
      <c r="C1612" s="1" t="n">
        <v>45957</v>
      </c>
      <c r="D1612" t="inlineStr">
        <is>
          <t>KRONOBERGS LÄN</t>
        </is>
      </c>
      <c r="E1612" t="inlineStr">
        <is>
          <t>LJUNGBY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48937-2023</t>
        </is>
      </c>
      <c r="B1613" s="1" t="n">
        <v>45209</v>
      </c>
      <c r="C1613" s="1" t="n">
        <v>45957</v>
      </c>
      <c r="D1613" t="inlineStr">
        <is>
          <t>KRONOBERGS LÄN</t>
        </is>
      </c>
      <c r="E1613" t="inlineStr">
        <is>
          <t>ÄLMHULT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39122-2023</t>
        </is>
      </c>
      <c r="B1614" s="1" t="n">
        <v>45165.53953703704</v>
      </c>
      <c r="C1614" s="1" t="n">
        <v>45957</v>
      </c>
      <c r="D1614" t="inlineStr">
        <is>
          <t>KRONOBERGS LÄN</t>
        </is>
      </c>
      <c r="E1614" t="inlineStr">
        <is>
          <t>VÄXJÖ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46628-2025</t>
        </is>
      </c>
      <c r="B1615" s="1" t="n">
        <v>45926.45256944445</v>
      </c>
      <c r="C1615" s="1" t="n">
        <v>45957</v>
      </c>
      <c r="D1615" t="inlineStr">
        <is>
          <t>KRONOBERGS LÄN</t>
        </is>
      </c>
      <c r="E1615" t="inlineStr">
        <is>
          <t>VÄXJÖ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12866-2025</t>
        </is>
      </c>
      <c r="B1616" s="1" t="n">
        <v>45733.67344907407</v>
      </c>
      <c r="C1616" s="1" t="n">
        <v>45957</v>
      </c>
      <c r="D1616" t="inlineStr">
        <is>
          <t>KRONOBERGS LÄN</t>
        </is>
      </c>
      <c r="E1616" t="inlineStr">
        <is>
          <t>ÄLMHULT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54722-2023</t>
        </is>
      </c>
      <c r="B1617" s="1" t="n">
        <v>45229</v>
      </c>
      <c r="C1617" s="1" t="n">
        <v>45957</v>
      </c>
      <c r="D1617" t="inlineStr">
        <is>
          <t>KRONOBERGS LÄN</t>
        </is>
      </c>
      <c r="E1617" t="inlineStr">
        <is>
          <t>TINGSRYD</t>
        </is>
      </c>
      <c r="G1617" t="n">
        <v>1.9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7797-2024</t>
        </is>
      </c>
      <c r="B1618" s="1" t="n">
        <v>45349.62076388889</v>
      </c>
      <c r="C1618" s="1" t="n">
        <v>45957</v>
      </c>
      <c r="D1618" t="inlineStr">
        <is>
          <t>KRONOBERGS LÄN</t>
        </is>
      </c>
      <c r="E1618" t="inlineStr">
        <is>
          <t>TINGSRYD</t>
        </is>
      </c>
      <c r="G1618" t="n">
        <v>3.1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38668-2025</t>
        </is>
      </c>
      <c r="B1619" s="1" t="n">
        <v>45884.62045138889</v>
      </c>
      <c r="C1619" s="1" t="n">
        <v>45957</v>
      </c>
      <c r="D1619" t="inlineStr">
        <is>
          <t>KRONOBERGS LÄN</t>
        </is>
      </c>
      <c r="E1619" t="inlineStr">
        <is>
          <t>LJUNGBY</t>
        </is>
      </c>
      <c r="G1619" t="n">
        <v>1.4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38385-2022</t>
        </is>
      </c>
      <c r="B1620" s="1" t="n">
        <v>44812</v>
      </c>
      <c r="C1620" s="1" t="n">
        <v>45957</v>
      </c>
      <c r="D1620" t="inlineStr">
        <is>
          <t>KRONOBERGS LÄN</t>
        </is>
      </c>
      <c r="E1620" t="inlineStr">
        <is>
          <t>ALVESTA</t>
        </is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46289-2025</t>
        </is>
      </c>
      <c r="B1621" s="1" t="n">
        <v>45925.38702546297</v>
      </c>
      <c r="C1621" s="1" t="n">
        <v>45957</v>
      </c>
      <c r="D1621" t="inlineStr">
        <is>
          <t>KRONOBERGS LÄN</t>
        </is>
      </c>
      <c r="E1621" t="inlineStr">
        <is>
          <t>TINGSRYD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14737-2024</t>
        </is>
      </c>
      <c r="B1622" s="1" t="n">
        <v>45397.59635416666</v>
      </c>
      <c r="C1622" s="1" t="n">
        <v>45957</v>
      </c>
      <c r="D1622" t="inlineStr">
        <is>
          <t>KRONOBERGS LÄN</t>
        </is>
      </c>
      <c r="E1622" t="inlineStr">
        <is>
          <t>VÄXJÖ</t>
        </is>
      </c>
      <c r="G1622" t="n">
        <v>3.5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42686-2023</t>
        </is>
      </c>
      <c r="B1623" s="1" t="n">
        <v>45181.58791666666</v>
      </c>
      <c r="C1623" s="1" t="n">
        <v>45957</v>
      </c>
      <c r="D1623" t="inlineStr">
        <is>
          <t>KRONOBERGS LÄN</t>
        </is>
      </c>
      <c r="E1623" t="inlineStr">
        <is>
          <t>LJUNGBY</t>
        </is>
      </c>
      <c r="G1623" t="n">
        <v>3.4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17782-2024</t>
        </is>
      </c>
      <c r="B1624" s="1" t="n">
        <v>45418.67614583333</v>
      </c>
      <c r="C1624" s="1" t="n">
        <v>45957</v>
      </c>
      <c r="D1624" t="inlineStr">
        <is>
          <t>KRONOBERGS LÄN</t>
        </is>
      </c>
      <c r="E1624" t="inlineStr">
        <is>
          <t>ALVESTA</t>
        </is>
      </c>
      <c r="G1624" t="n">
        <v>2.4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54355-2021</t>
        </is>
      </c>
      <c r="B1625" s="1" t="n">
        <v>44470</v>
      </c>
      <c r="C1625" s="1" t="n">
        <v>45957</v>
      </c>
      <c r="D1625" t="inlineStr">
        <is>
          <t>KRONOBERGS LÄN</t>
        </is>
      </c>
      <c r="E1625" t="inlineStr">
        <is>
          <t>UPPVIDINGE</t>
        </is>
      </c>
      <c r="G1625" t="n">
        <v>1.5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60041-2024</t>
        </is>
      </c>
      <c r="B1626" s="1" t="n">
        <v>45642.47061342592</v>
      </c>
      <c r="C1626" s="1" t="n">
        <v>45957</v>
      </c>
      <c r="D1626" t="inlineStr">
        <is>
          <t>KRONOBERGS LÄN</t>
        </is>
      </c>
      <c r="E1626" t="inlineStr">
        <is>
          <t>UPPVIDINGE</t>
        </is>
      </c>
      <c r="F1626" t="inlineStr">
        <is>
          <t>Sveaskog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47537-2022</t>
        </is>
      </c>
      <c r="B1627" s="1" t="n">
        <v>44853.81195601852</v>
      </c>
      <c r="C1627" s="1" t="n">
        <v>45957</v>
      </c>
      <c r="D1627" t="inlineStr">
        <is>
          <t>KRONOBERGS LÄN</t>
        </is>
      </c>
      <c r="E1627" t="inlineStr">
        <is>
          <t>ÄLMHULT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1251-2024</t>
        </is>
      </c>
      <c r="B1628" s="1" t="n">
        <v>45302.78386574074</v>
      </c>
      <c r="C1628" s="1" t="n">
        <v>45957</v>
      </c>
      <c r="D1628" t="inlineStr">
        <is>
          <t>KRONOBERGS LÄN</t>
        </is>
      </c>
      <c r="E1628" t="inlineStr">
        <is>
          <t>VÄXJÖ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63444-2023</t>
        </is>
      </c>
      <c r="B1629" s="1" t="n">
        <v>45274.60413194444</v>
      </c>
      <c r="C1629" s="1" t="n">
        <v>45957</v>
      </c>
      <c r="D1629" t="inlineStr">
        <is>
          <t>KRONOBERGS LÄN</t>
        </is>
      </c>
      <c r="E1629" t="inlineStr">
        <is>
          <t>TINGSRYD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12851-2024</t>
        </is>
      </c>
      <c r="B1630" s="1" t="n">
        <v>45384.89954861111</v>
      </c>
      <c r="C1630" s="1" t="n">
        <v>45957</v>
      </c>
      <c r="D1630" t="inlineStr">
        <is>
          <t>KRONOBERGS LÄN</t>
        </is>
      </c>
      <c r="E1630" t="inlineStr">
        <is>
          <t>ÄLMHULT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45838-2022</t>
        </is>
      </c>
      <c r="B1631" s="1" t="n">
        <v>44846.52234953704</v>
      </c>
      <c r="C1631" s="1" t="n">
        <v>45957</v>
      </c>
      <c r="D1631" t="inlineStr">
        <is>
          <t>KRONOBERGS LÄN</t>
        </is>
      </c>
      <c r="E1631" t="inlineStr">
        <is>
          <t>LESSEBO</t>
        </is>
      </c>
      <c r="G1631" t="n">
        <v>4.4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3573-2025</t>
        </is>
      </c>
      <c r="B1632" s="1" t="n">
        <v>45680.71556712963</v>
      </c>
      <c r="C1632" s="1" t="n">
        <v>45957</v>
      </c>
      <c r="D1632" t="inlineStr">
        <is>
          <t>KRONOBERGS LÄN</t>
        </is>
      </c>
      <c r="E1632" t="inlineStr">
        <is>
          <t>ÄLMHULT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13325-2024</t>
        </is>
      </c>
      <c r="B1633" s="1" t="n">
        <v>45386.86743055555</v>
      </c>
      <c r="C1633" s="1" t="n">
        <v>45957</v>
      </c>
      <c r="D1633" t="inlineStr">
        <is>
          <t>KRONOBERGS LÄN</t>
        </is>
      </c>
      <c r="E1633" t="inlineStr">
        <is>
          <t>VÄXJÖ</t>
        </is>
      </c>
      <c r="G1633" t="n">
        <v>0.8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45857-2022</t>
        </is>
      </c>
      <c r="B1634" s="1" t="n">
        <v>44846.55085648148</v>
      </c>
      <c r="C1634" s="1" t="n">
        <v>45957</v>
      </c>
      <c r="D1634" t="inlineStr">
        <is>
          <t>KRONOBERGS LÄN</t>
        </is>
      </c>
      <c r="E1634" t="inlineStr">
        <is>
          <t>LJUNGBY</t>
        </is>
      </c>
      <c r="G1634" t="n">
        <v>7.4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6094-2024</t>
        </is>
      </c>
      <c r="B1635" s="1" t="n">
        <v>45337</v>
      </c>
      <c r="C1635" s="1" t="n">
        <v>45957</v>
      </c>
      <c r="D1635" t="inlineStr">
        <is>
          <t>KRONOBERGS LÄN</t>
        </is>
      </c>
      <c r="E1635" t="inlineStr">
        <is>
          <t>ALVESTA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13579-2024</t>
        </is>
      </c>
      <c r="B1636" s="1" t="n">
        <v>45389</v>
      </c>
      <c r="C1636" s="1" t="n">
        <v>45957</v>
      </c>
      <c r="D1636" t="inlineStr">
        <is>
          <t>KRONOBERGS LÄN</t>
        </is>
      </c>
      <c r="E1636" t="inlineStr">
        <is>
          <t>UPPVIDINGE</t>
        </is>
      </c>
      <c r="G1636" t="n">
        <v>4.4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52737-2021</t>
        </is>
      </c>
      <c r="B1637" s="1" t="n">
        <v>44467.30171296297</v>
      </c>
      <c r="C1637" s="1" t="n">
        <v>45957</v>
      </c>
      <c r="D1637" t="inlineStr">
        <is>
          <t>KRONOBERGS LÄN</t>
        </is>
      </c>
      <c r="E1637" t="inlineStr">
        <is>
          <t>MARKARYD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14400-2024</t>
        </is>
      </c>
      <c r="B1638" s="1" t="n">
        <v>45394.34818287037</v>
      </c>
      <c r="C1638" s="1" t="n">
        <v>45957</v>
      </c>
      <c r="D1638" t="inlineStr">
        <is>
          <t>KRONOBERGS LÄN</t>
        </is>
      </c>
      <c r="E1638" t="inlineStr">
        <is>
          <t>TINGSRYD</t>
        </is>
      </c>
      <c r="G1638" t="n">
        <v>0.8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48282-2022</t>
        </is>
      </c>
      <c r="B1639" s="1" t="n">
        <v>44858</v>
      </c>
      <c r="C1639" s="1" t="n">
        <v>45957</v>
      </c>
      <c r="D1639" t="inlineStr">
        <is>
          <t>KRONOBERGS LÄN</t>
        </is>
      </c>
      <c r="E1639" t="inlineStr">
        <is>
          <t>ÄLMHULT</t>
        </is>
      </c>
      <c r="G1639" t="n">
        <v>14.2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13875-2024</t>
        </is>
      </c>
      <c r="B1640" s="1" t="n">
        <v>45391.59185185185</v>
      </c>
      <c r="C1640" s="1" t="n">
        <v>45957</v>
      </c>
      <c r="D1640" t="inlineStr">
        <is>
          <t>KRONOBERGS LÄN</t>
        </is>
      </c>
      <c r="E1640" t="inlineStr">
        <is>
          <t>UPPVIDINGE</t>
        </is>
      </c>
      <c r="G1640" t="n">
        <v>2.4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7121-2023</t>
        </is>
      </c>
      <c r="B1641" s="1" t="n">
        <v>44970.40100694444</v>
      </c>
      <c r="C1641" s="1" t="n">
        <v>45957</v>
      </c>
      <c r="D1641" t="inlineStr">
        <is>
          <t>KRONOBERGS LÄN</t>
        </is>
      </c>
      <c r="E1641" t="inlineStr">
        <is>
          <t>MARKARYD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50186-2024</t>
        </is>
      </c>
      <c r="B1642" s="1" t="n">
        <v>45600.47440972222</v>
      </c>
      <c r="C1642" s="1" t="n">
        <v>45957</v>
      </c>
      <c r="D1642" t="inlineStr">
        <is>
          <t>KRONOBERGS LÄN</t>
        </is>
      </c>
      <c r="E1642" t="inlineStr">
        <is>
          <t>UPPVIDINGE</t>
        </is>
      </c>
      <c r="G1642" t="n">
        <v>0.7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39501-2024</t>
        </is>
      </c>
      <c r="B1643" s="1" t="n">
        <v>45551</v>
      </c>
      <c r="C1643" s="1" t="n">
        <v>45957</v>
      </c>
      <c r="D1643" t="inlineStr">
        <is>
          <t>KRONOBERGS LÄN</t>
        </is>
      </c>
      <c r="E1643" t="inlineStr">
        <is>
          <t>ALVESTA</t>
        </is>
      </c>
      <c r="G1643" t="n">
        <v>1.2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20681-2025</t>
        </is>
      </c>
      <c r="B1644" s="1" t="n">
        <v>45776.44914351852</v>
      </c>
      <c r="C1644" s="1" t="n">
        <v>45957</v>
      </c>
      <c r="D1644" t="inlineStr">
        <is>
          <t>KRONOBERGS LÄN</t>
        </is>
      </c>
      <c r="E1644" t="inlineStr">
        <is>
          <t>LESSEBO</t>
        </is>
      </c>
      <c r="F1644" t="inlineStr">
        <is>
          <t>Sveaskog</t>
        </is>
      </c>
      <c r="G1644" t="n">
        <v>1.3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53487-2023</t>
        </is>
      </c>
      <c r="B1645" s="1" t="n">
        <v>45230.35402777778</v>
      </c>
      <c r="C1645" s="1" t="n">
        <v>45957</v>
      </c>
      <c r="D1645" t="inlineStr">
        <is>
          <t>KRONOBERGS LÄN</t>
        </is>
      </c>
      <c r="E1645" t="inlineStr">
        <is>
          <t>MARKARYD</t>
        </is>
      </c>
      <c r="G1645" t="n">
        <v>2.2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63191-2023</t>
        </is>
      </c>
      <c r="B1646" s="1" t="n">
        <v>45273</v>
      </c>
      <c r="C1646" s="1" t="n">
        <v>45957</v>
      </c>
      <c r="D1646" t="inlineStr">
        <is>
          <t>KRONOBERGS LÄN</t>
        </is>
      </c>
      <c r="E1646" t="inlineStr">
        <is>
          <t>UPPVIDINGE</t>
        </is>
      </c>
      <c r="G1646" t="n">
        <v>2.2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20607-2025</t>
        </is>
      </c>
      <c r="B1647" s="1" t="n">
        <v>45775.87377314815</v>
      </c>
      <c r="C1647" s="1" t="n">
        <v>45957</v>
      </c>
      <c r="D1647" t="inlineStr">
        <is>
          <t>KRONOBERGS LÄN</t>
        </is>
      </c>
      <c r="E1647" t="inlineStr">
        <is>
          <t>LJUNGBY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1563-2025</t>
        </is>
      </c>
      <c r="B1648" s="1" t="n">
        <v>45670</v>
      </c>
      <c r="C1648" s="1" t="n">
        <v>45957</v>
      </c>
      <c r="D1648" t="inlineStr">
        <is>
          <t>KRONOBERGS LÄN</t>
        </is>
      </c>
      <c r="E1648" t="inlineStr">
        <is>
          <t>TINGSRYD</t>
        </is>
      </c>
      <c r="G1648" t="n">
        <v>4.1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13973-2024</t>
        </is>
      </c>
      <c r="B1649" s="1" t="n">
        <v>45392.38908564814</v>
      </c>
      <c r="C1649" s="1" t="n">
        <v>45957</v>
      </c>
      <c r="D1649" t="inlineStr">
        <is>
          <t>KRONOBERGS LÄN</t>
        </is>
      </c>
      <c r="E1649" t="inlineStr">
        <is>
          <t>VÄXJÖ</t>
        </is>
      </c>
      <c r="F1649" t="inlineStr">
        <is>
          <t>Sveaskog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13977-2024</t>
        </is>
      </c>
      <c r="B1650" s="1" t="n">
        <v>45392.39731481481</v>
      </c>
      <c r="C1650" s="1" t="n">
        <v>45957</v>
      </c>
      <c r="D1650" t="inlineStr">
        <is>
          <t>KRONOBERGS LÄN</t>
        </is>
      </c>
      <c r="E1650" t="inlineStr">
        <is>
          <t>VÄXJÖ</t>
        </is>
      </c>
      <c r="F1650" t="inlineStr">
        <is>
          <t>Sveaskog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22436-2024</t>
        </is>
      </c>
      <c r="B1651" s="1" t="n">
        <v>45446</v>
      </c>
      <c r="C1651" s="1" t="n">
        <v>45957</v>
      </c>
      <c r="D1651" t="inlineStr">
        <is>
          <t>KRONOBERGS LÄN</t>
        </is>
      </c>
      <c r="E1651" t="inlineStr">
        <is>
          <t>VÄXJÖ</t>
        </is>
      </c>
      <c r="F1651" t="inlineStr">
        <is>
          <t>Övriga Aktiebolag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38457-2025</t>
        </is>
      </c>
      <c r="B1652" s="1" t="n">
        <v>45883.70913194444</v>
      </c>
      <c r="C1652" s="1" t="n">
        <v>45957</v>
      </c>
      <c r="D1652" t="inlineStr">
        <is>
          <t>KRONOBERGS LÄN</t>
        </is>
      </c>
      <c r="E1652" t="inlineStr">
        <is>
          <t>ÄLMHULT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42087-2024</t>
        </is>
      </c>
      <c r="B1653" s="1" t="n">
        <v>45562.33819444444</v>
      </c>
      <c r="C1653" s="1" t="n">
        <v>45957</v>
      </c>
      <c r="D1653" t="inlineStr">
        <is>
          <t>KRONOBERGS LÄN</t>
        </is>
      </c>
      <c r="E1653" t="inlineStr">
        <is>
          <t>TINGSRYD</t>
        </is>
      </c>
      <c r="G1653" t="n">
        <v>0.7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31121-2023</t>
        </is>
      </c>
      <c r="B1654" s="1" t="n">
        <v>45113</v>
      </c>
      <c r="C1654" s="1" t="n">
        <v>45957</v>
      </c>
      <c r="D1654" t="inlineStr">
        <is>
          <t>KRONOBERGS LÄN</t>
        </is>
      </c>
      <c r="E1654" t="inlineStr">
        <is>
          <t>ALVESTA</t>
        </is>
      </c>
      <c r="G1654" t="n">
        <v>1.1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17936-2024</t>
        </is>
      </c>
      <c r="B1655" s="1" t="n">
        <v>45419.61716435185</v>
      </c>
      <c r="C1655" s="1" t="n">
        <v>45957</v>
      </c>
      <c r="D1655" t="inlineStr">
        <is>
          <t>KRONOBERGS LÄN</t>
        </is>
      </c>
      <c r="E1655" t="inlineStr">
        <is>
          <t>TINGSRYD</t>
        </is>
      </c>
      <c r="G1655" t="n">
        <v>3.5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57310-2022</t>
        </is>
      </c>
      <c r="B1656" s="1" t="n">
        <v>44896.30818287037</v>
      </c>
      <c r="C1656" s="1" t="n">
        <v>45957</v>
      </c>
      <c r="D1656" t="inlineStr">
        <is>
          <t>KRONOBERGS LÄN</t>
        </is>
      </c>
      <c r="E1656" t="inlineStr">
        <is>
          <t>LJUNGBY</t>
        </is>
      </c>
      <c r="G1656" t="n">
        <v>0.7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63095-2020</t>
        </is>
      </c>
      <c r="B1657" s="1" t="n">
        <v>44162</v>
      </c>
      <c r="C1657" s="1" t="n">
        <v>45957</v>
      </c>
      <c r="D1657" t="inlineStr">
        <is>
          <t>KRONOBERGS LÄN</t>
        </is>
      </c>
      <c r="E1657" t="inlineStr">
        <is>
          <t>UPPVIDINGE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43497-2023</t>
        </is>
      </c>
      <c r="B1658" s="1" t="n">
        <v>45181</v>
      </c>
      <c r="C1658" s="1" t="n">
        <v>45957</v>
      </c>
      <c r="D1658" t="inlineStr">
        <is>
          <t>KRONOBERGS LÄN</t>
        </is>
      </c>
      <c r="E1658" t="inlineStr">
        <is>
          <t>UPPVIDINGE</t>
        </is>
      </c>
      <c r="F1658" t="inlineStr">
        <is>
          <t>Kyrkan</t>
        </is>
      </c>
      <c r="G1658" t="n">
        <v>6.1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57206-2024</t>
        </is>
      </c>
      <c r="B1659" s="1" t="n">
        <v>45629</v>
      </c>
      <c r="C1659" s="1" t="n">
        <v>45957</v>
      </c>
      <c r="D1659" t="inlineStr">
        <is>
          <t>KRONOBERGS LÄN</t>
        </is>
      </c>
      <c r="E1659" t="inlineStr">
        <is>
          <t>LJUNGBY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33326-2024</t>
        </is>
      </c>
      <c r="B1660" s="1" t="n">
        <v>45519</v>
      </c>
      <c r="C1660" s="1" t="n">
        <v>45957</v>
      </c>
      <c r="D1660" t="inlineStr">
        <is>
          <t>KRONOBERGS LÄN</t>
        </is>
      </c>
      <c r="E1660" t="inlineStr">
        <is>
          <t>TINGSRYD</t>
        </is>
      </c>
      <c r="G1660" t="n">
        <v>10.6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413-2025</t>
        </is>
      </c>
      <c r="B1661" s="1" t="n">
        <v>45663</v>
      </c>
      <c r="C1661" s="1" t="n">
        <v>45957</v>
      </c>
      <c r="D1661" t="inlineStr">
        <is>
          <t>KRONOBERGS LÄN</t>
        </is>
      </c>
      <c r="E1661" t="inlineStr">
        <is>
          <t>ÄLMHULT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50852-2024</t>
        </is>
      </c>
      <c r="B1662" s="1" t="n">
        <v>45601</v>
      </c>
      <c r="C1662" s="1" t="n">
        <v>45957</v>
      </c>
      <c r="D1662" t="inlineStr">
        <is>
          <t>KRONOBERGS LÄN</t>
        </is>
      </c>
      <c r="E1662" t="inlineStr">
        <is>
          <t>UPPVIDINGE</t>
        </is>
      </c>
      <c r="G1662" t="n">
        <v>2.3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44743-2024</t>
        </is>
      </c>
      <c r="B1663" s="1" t="n">
        <v>45574.59706018519</v>
      </c>
      <c r="C1663" s="1" t="n">
        <v>45957</v>
      </c>
      <c r="D1663" t="inlineStr">
        <is>
          <t>KRONOBERGS LÄN</t>
        </is>
      </c>
      <c r="E1663" t="inlineStr">
        <is>
          <t>TINGSRYD</t>
        </is>
      </c>
      <c r="G1663" t="n">
        <v>1.1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47427-2023</t>
        </is>
      </c>
      <c r="B1664" s="1" t="n">
        <v>45197</v>
      </c>
      <c r="C1664" s="1" t="n">
        <v>45957</v>
      </c>
      <c r="D1664" t="inlineStr">
        <is>
          <t>KRONOBERGS LÄN</t>
        </is>
      </c>
      <c r="E1664" t="inlineStr">
        <is>
          <t>LJUNGBY</t>
        </is>
      </c>
      <c r="G1664" t="n">
        <v>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51905-2024</t>
        </is>
      </c>
      <c r="B1665" s="1" t="n">
        <v>45607.59543981482</v>
      </c>
      <c r="C1665" s="1" t="n">
        <v>45957</v>
      </c>
      <c r="D1665" t="inlineStr">
        <is>
          <t>KRONOBERGS LÄN</t>
        </is>
      </c>
      <c r="E1665" t="inlineStr">
        <is>
          <t>MARKARYD</t>
        </is>
      </c>
      <c r="G1665" t="n">
        <v>4.3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25589-2023</t>
        </is>
      </c>
      <c r="B1666" s="1" t="n">
        <v>45089.63065972222</v>
      </c>
      <c r="C1666" s="1" t="n">
        <v>45957</v>
      </c>
      <c r="D1666" t="inlineStr">
        <is>
          <t>KRONOBERGS LÄN</t>
        </is>
      </c>
      <c r="E1666" t="inlineStr">
        <is>
          <t>TINGSRYD</t>
        </is>
      </c>
      <c r="G1666" t="n">
        <v>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50798-2024</t>
        </is>
      </c>
      <c r="B1667" s="1" t="n">
        <v>45602.49121527778</v>
      </c>
      <c r="C1667" s="1" t="n">
        <v>45957</v>
      </c>
      <c r="D1667" t="inlineStr">
        <is>
          <t>KRONOBERGS LÄN</t>
        </is>
      </c>
      <c r="E1667" t="inlineStr">
        <is>
          <t>TINGSRYD</t>
        </is>
      </c>
      <c r="G1667" t="n">
        <v>1.1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32712-2024</t>
        </is>
      </c>
      <c r="B1668" s="1" t="n">
        <v>45516.37174768518</v>
      </c>
      <c r="C1668" s="1" t="n">
        <v>45957</v>
      </c>
      <c r="D1668" t="inlineStr">
        <is>
          <t>KRONOBERGS LÄN</t>
        </is>
      </c>
      <c r="E1668" t="inlineStr">
        <is>
          <t>UPPVIDINGE</t>
        </is>
      </c>
      <c r="G1668" t="n">
        <v>4.8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46576-2023</t>
        </is>
      </c>
      <c r="B1669" s="1" t="n">
        <v>45194</v>
      </c>
      <c r="C1669" s="1" t="n">
        <v>45957</v>
      </c>
      <c r="D1669" t="inlineStr">
        <is>
          <t>KRONOBERGS LÄN</t>
        </is>
      </c>
      <c r="E1669" t="inlineStr">
        <is>
          <t>VÄXJÖ</t>
        </is>
      </c>
      <c r="G1669" t="n">
        <v>2.5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32963-2024</t>
        </is>
      </c>
      <c r="B1670" s="1" t="n">
        <v>45517.38890046296</v>
      </c>
      <c r="C1670" s="1" t="n">
        <v>45957</v>
      </c>
      <c r="D1670" t="inlineStr">
        <is>
          <t>KRONOBERGS LÄN</t>
        </is>
      </c>
      <c r="E1670" t="inlineStr">
        <is>
          <t>UPPVIDINGE</t>
        </is>
      </c>
      <c r="G1670" t="n">
        <v>4.9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51990-2024</t>
        </is>
      </c>
      <c r="B1671" s="1" t="n">
        <v>45607.69770833333</v>
      </c>
      <c r="C1671" s="1" t="n">
        <v>45957</v>
      </c>
      <c r="D1671" t="inlineStr">
        <is>
          <t>KRONOBERGS LÄN</t>
        </is>
      </c>
      <c r="E1671" t="inlineStr">
        <is>
          <t>LESSEBO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16342-2024</t>
        </is>
      </c>
      <c r="B1672" s="1" t="n">
        <v>45407.56440972222</v>
      </c>
      <c r="C1672" s="1" t="n">
        <v>45957</v>
      </c>
      <c r="D1672" t="inlineStr">
        <is>
          <t>KRONOBERGS LÄN</t>
        </is>
      </c>
      <c r="E1672" t="inlineStr">
        <is>
          <t>TINGSRYD</t>
        </is>
      </c>
      <c r="G1672" t="n">
        <v>3.4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16351-2024</t>
        </is>
      </c>
      <c r="B1673" s="1" t="n">
        <v>45407.5766087963</v>
      </c>
      <c r="C1673" s="1" t="n">
        <v>45957</v>
      </c>
      <c r="D1673" t="inlineStr">
        <is>
          <t>KRONOBERGS LÄN</t>
        </is>
      </c>
      <c r="E1673" t="inlineStr">
        <is>
          <t>UPPVIDINGE</t>
        </is>
      </c>
      <c r="G1673" t="n">
        <v>4.6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12950-2024</t>
        </is>
      </c>
      <c r="B1674" s="1" t="n">
        <v>45385</v>
      </c>
      <c r="C1674" s="1" t="n">
        <v>45957</v>
      </c>
      <c r="D1674" t="inlineStr">
        <is>
          <t>KRONOBERGS LÄN</t>
        </is>
      </c>
      <c r="E1674" t="inlineStr">
        <is>
          <t>UPPVIDINGE</t>
        </is>
      </c>
      <c r="F1674" t="inlineStr">
        <is>
          <t>Sveaskog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12917-2024</t>
        </is>
      </c>
      <c r="B1675" s="1" t="n">
        <v>45385.44060185185</v>
      </c>
      <c r="C1675" s="1" t="n">
        <v>45957</v>
      </c>
      <c r="D1675" t="inlineStr">
        <is>
          <t>KRONOBERGS LÄN</t>
        </is>
      </c>
      <c r="E1675" t="inlineStr">
        <is>
          <t>ALVESTA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36373-2024</t>
        </is>
      </c>
      <c r="B1676" s="1" t="n">
        <v>45534.67689814815</v>
      </c>
      <c r="C1676" s="1" t="n">
        <v>45957</v>
      </c>
      <c r="D1676" t="inlineStr">
        <is>
          <t>KRONOBERGS LÄN</t>
        </is>
      </c>
      <c r="E1676" t="inlineStr">
        <is>
          <t>LJUNGBY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38895-2024</t>
        </is>
      </c>
      <c r="B1677" s="1" t="n">
        <v>45547.67628472222</v>
      </c>
      <c r="C1677" s="1" t="n">
        <v>45957</v>
      </c>
      <c r="D1677" t="inlineStr">
        <is>
          <t>KRONOBERGS LÄN</t>
        </is>
      </c>
      <c r="E1677" t="inlineStr">
        <is>
          <t>VÄXJÖ</t>
        </is>
      </c>
      <c r="G1677" t="n">
        <v>3.1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15573-2025</t>
        </is>
      </c>
      <c r="B1678" s="1" t="n">
        <v>45747.78493055556</v>
      </c>
      <c r="C1678" s="1" t="n">
        <v>45957</v>
      </c>
      <c r="D1678" t="inlineStr">
        <is>
          <t>KRONOBERGS LÄN</t>
        </is>
      </c>
      <c r="E1678" t="inlineStr">
        <is>
          <t>LJUNGBY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1481-2023</t>
        </is>
      </c>
      <c r="B1679" s="1" t="n">
        <v>44937</v>
      </c>
      <c r="C1679" s="1" t="n">
        <v>45957</v>
      </c>
      <c r="D1679" t="inlineStr">
        <is>
          <t>KRONOBERGS LÄN</t>
        </is>
      </c>
      <c r="E1679" t="inlineStr">
        <is>
          <t>UPPVIDINGE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1482-2023</t>
        </is>
      </c>
      <c r="B1680" s="1" t="n">
        <v>44937.46436342593</v>
      </c>
      <c r="C1680" s="1" t="n">
        <v>45957</v>
      </c>
      <c r="D1680" t="inlineStr">
        <is>
          <t>KRONOBERGS LÄN</t>
        </is>
      </c>
      <c r="E1680" t="inlineStr">
        <is>
          <t>UPPVIDINGE</t>
        </is>
      </c>
      <c r="G1680" t="n">
        <v>0.9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40566-2024</t>
        </is>
      </c>
      <c r="B1681" s="1" t="n">
        <v>45555.66891203704</v>
      </c>
      <c r="C1681" s="1" t="n">
        <v>45957</v>
      </c>
      <c r="D1681" t="inlineStr">
        <is>
          <t>KRONOBERGS LÄN</t>
        </is>
      </c>
      <c r="E1681" t="inlineStr">
        <is>
          <t>ALVESTA</t>
        </is>
      </c>
      <c r="G1681" t="n">
        <v>0.9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39125-2023</t>
        </is>
      </c>
      <c r="B1682" s="1" t="n">
        <v>45165.69200231481</v>
      </c>
      <c r="C1682" s="1" t="n">
        <v>45957</v>
      </c>
      <c r="D1682" t="inlineStr">
        <is>
          <t>KRONOBERGS LÄN</t>
        </is>
      </c>
      <c r="E1682" t="inlineStr">
        <is>
          <t>VÄXJÖ</t>
        </is>
      </c>
      <c r="G1682" t="n">
        <v>3.7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40622-2024</t>
        </is>
      </c>
      <c r="B1683" s="1" t="n">
        <v>45557.57826388889</v>
      </c>
      <c r="C1683" s="1" t="n">
        <v>45957</v>
      </c>
      <c r="D1683" t="inlineStr">
        <is>
          <t>KRONOBERGS LÄN</t>
        </is>
      </c>
      <c r="E1683" t="inlineStr">
        <is>
          <t>VÄXJÖ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40650-2024</t>
        </is>
      </c>
      <c r="B1684" s="1" t="n">
        <v>45558.33003472222</v>
      </c>
      <c r="C1684" s="1" t="n">
        <v>45957</v>
      </c>
      <c r="D1684" t="inlineStr">
        <is>
          <t>KRONOBERGS LÄN</t>
        </is>
      </c>
      <c r="E1684" t="inlineStr">
        <is>
          <t>MARKARYD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20608-2025</t>
        </is>
      </c>
      <c r="B1685" s="1" t="n">
        <v>45775.87576388889</v>
      </c>
      <c r="C1685" s="1" t="n">
        <v>45957</v>
      </c>
      <c r="D1685" t="inlineStr">
        <is>
          <t>KRONOBERGS LÄN</t>
        </is>
      </c>
      <c r="E1685" t="inlineStr">
        <is>
          <t>LJUNGBY</t>
        </is>
      </c>
      <c r="G1685" t="n">
        <v>1.9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64966-2020</t>
        </is>
      </c>
      <c r="B1686" s="1" t="n">
        <v>44172</v>
      </c>
      <c r="C1686" s="1" t="n">
        <v>45957</v>
      </c>
      <c r="D1686" t="inlineStr">
        <is>
          <t>KRONOBERGS LÄN</t>
        </is>
      </c>
      <c r="E1686" t="inlineStr">
        <is>
          <t>LESSEBO</t>
        </is>
      </c>
      <c r="G1686" t="n">
        <v>5.2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188-2023</t>
        </is>
      </c>
      <c r="B1687" s="1" t="n">
        <v>44928</v>
      </c>
      <c r="C1687" s="1" t="n">
        <v>45957</v>
      </c>
      <c r="D1687" t="inlineStr">
        <is>
          <t>KRONOBERGS LÄN</t>
        </is>
      </c>
      <c r="E1687" t="inlineStr">
        <is>
          <t>VÄXJÖ</t>
        </is>
      </c>
      <c r="G1687" t="n">
        <v>7.3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57870-2020</t>
        </is>
      </c>
      <c r="B1688" s="1" t="n">
        <v>44141.52871527777</v>
      </c>
      <c r="C1688" s="1" t="n">
        <v>45957</v>
      </c>
      <c r="D1688" t="inlineStr">
        <is>
          <t>KRONOBERGS LÄN</t>
        </is>
      </c>
      <c r="E1688" t="inlineStr">
        <is>
          <t>ALVESTA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68387-2021</t>
        </is>
      </c>
      <c r="B1689" s="1" t="n">
        <v>44526</v>
      </c>
      <c r="C1689" s="1" t="n">
        <v>45957</v>
      </c>
      <c r="D1689" t="inlineStr">
        <is>
          <t>KRONOBERGS LÄN</t>
        </is>
      </c>
      <c r="E1689" t="inlineStr">
        <is>
          <t>UPPVIDINGE</t>
        </is>
      </c>
      <c r="F1689" t="inlineStr">
        <is>
          <t>Kyrkan</t>
        </is>
      </c>
      <c r="G1689" t="n">
        <v>10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3307-2024</t>
        </is>
      </c>
      <c r="B1690" s="1" t="n">
        <v>45317</v>
      </c>
      <c r="C1690" s="1" t="n">
        <v>45957</v>
      </c>
      <c r="D1690" t="inlineStr">
        <is>
          <t>KRONOBERGS LÄN</t>
        </is>
      </c>
      <c r="E1690" t="inlineStr">
        <is>
          <t>ÄLMHULT</t>
        </is>
      </c>
      <c r="G1690" t="n">
        <v>9.1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64743-2020</t>
        </is>
      </c>
      <c r="B1691" s="1" t="n">
        <v>44169</v>
      </c>
      <c r="C1691" s="1" t="n">
        <v>45957</v>
      </c>
      <c r="D1691" t="inlineStr">
        <is>
          <t>KRONOBERGS LÄN</t>
        </is>
      </c>
      <c r="E1691" t="inlineStr">
        <is>
          <t>VÄXJÖ</t>
        </is>
      </c>
      <c r="G1691" t="n">
        <v>1.9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20863-2025</t>
        </is>
      </c>
      <c r="B1692" s="1" t="n">
        <v>45777.34246527778</v>
      </c>
      <c r="C1692" s="1" t="n">
        <v>45957</v>
      </c>
      <c r="D1692" t="inlineStr">
        <is>
          <t>KRONOBERGS LÄN</t>
        </is>
      </c>
      <c r="E1692" t="inlineStr">
        <is>
          <t>TINGSRYD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41598-2024</t>
        </is>
      </c>
      <c r="B1693" s="1" t="n">
        <v>45560.5765625</v>
      </c>
      <c r="C1693" s="1" t="n">
        <v>45957</v>
      </c>
      <c r="D1693" t="inlineStr">
        <is>
          <t>KRONOBERGS LÄN</t>
        </is>
      </c>
      <c r="E1693" t="inlineStr">
        <is>
          <t>LESSEBO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46111-2024</t>
        </is>
      </c>
      <c r="B1694" s="1" t="n">
        <v>45581.38583333333</v>
      </c>
      <c r="C1694" s="1" t="n">
        <v>45957</v>
      </c>
      <c r="D1694" t="inlineStr">
        <is>
          <t>KRONOBERGS LÄN</t>
        </is>
      </c>
      <c r="E1694" t="inlineStr">
        <is>
          <t>MARKARYD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55107-2021</t>
        </is>
      </c>
      <c r="B1695" s="1" t="n">
        <v>44474</v>
      </c>
      <c r="C1695" s="1" t="n">
        <v>45957</v>
      </c>
      <c r="D1695" t="inlineStr">
        <is>
          <t>KRONOBERGS LÄN</t>
        </is>
      </c>
      <c r="E1695" t="inlineStr">
        <is>
          <t>MARKARYD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21011-2025</t>
        </is>
      </c>
      <c r="B1696" s="1" t="n">
        <v>45777.49822916667</v>
      </c>
      <c r="C1696" s="1" t="n">
        <v>45957</v>
      </c>
      <c r="D1696" t="inlineStr">
        <is>
          <t>KRONOBERGS LÄN</t>
        </is>
      </c>
      <c r="E1696" t="inlineStr">
        <is>
          <t>VÄXJÖ</t>
        </is>
      </c>
      <c r="F1696" t="inlineStr">
        <is>
          <t>Sveaskog</t>
        </is>
      </c>
      <c r="G1696" t="n">
        <v>1.6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61283-2022</t>
        </is>
      </c>
      <c r="B1697" s="1" t="n">
        <v>44915.61844907407</v>
      </c>
      <c r="C1697" s="1" t="n">
        <v>45957</v>
      </c>
      <c r="D1697" t="inlineStr">
        <is>
          <t>KRONOBERGS LÄN</t>
        </is>
      </c>
      <c r="E1697" t="inlineStr">
        <is>
          <t>MARKARYD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33526-2024</t>
        </is>
      </c>
      <c r="B1698" s="1" t="n">
        <v>45519.66887731481</v>
      </c>
      <c r="C1698" s="1" t="n">
        <v>45957</v>
      </c>
      <c r="D1698" t="inlineStr">
        <is>
          <t>KRONOBERGS LÄN</t>
        </is>
      </c>
      <c r="E1698" t="inlineStr">
        <is>
          <t>VÄXJÖ</t>
        </is>
      </c>
      <c r="G1698" t="n">
        <v>2.1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57514-2020</t>
        </is>
      </c>
      <c r="B1699" s="1" t="n">
        <v>44140</v>
      </c>
      <c r="C1699" s="1" t="n">
        <v>45957</v>
      </c>
      <c r="D1699" t="inlineStr">
        <is>
          <t>KRONOBERGS LÄN</t>
        </is>
      </c>
      <c r="E1699" t="inlineStr">
        <is>
          <t>UPPVIDINGE</t>
        </is>
      </c>
      <c r="G1699" t="n">
        <v>7.2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57531-2020</t>
        </is>
      </c>
      <c r="B1700" s="1" t="n">
        <v>44140</v>
      </c>
      <c r="C1700" s="1" t="n">
        <v>45957</v>
      </c>
      <c r="D1700" t="inlineStr">
        <is>
          <t>KRONOBERGS LÄN</t>
        </is>
      </c>
      <c r="E1700" t="inlineStr">
        <is>
          <t>UPPVIDINGE</t>
        </is>
      </c>
      <c r="G1700" t="n">
        <v>9.800000000000001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35102-2024</t>
        </is>
      </c>
      <c r="B1701" s="1" t="n">
        <v>45529.48386574074</v>
      </c>
      <c r="C1701" s="1" t="n">
        <v>45957</v>
      </c>
      <c r="D1701" t="inlineStr">
        <is>
          <t>KRONOBERGS LÄN</t>
        </is>
      </c>
      <c r="E1701" t="inlineStr">
        <is>
          <t>ÄLMHULT</t>
        </is>
      </c>
      <c r="G1701" t="n">
        <v>1.1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23909-2023</t>
        </is>
      </c>
      <c r="B1702" s="1" t="n">
        <v>45078.55971064815</v>
      </c>
      <c r="C1702" s="1" t="n">
        <v>45957</v>
      </c>
      <c r="D1702" t="inlineStr">
        <is>
          <t>KRONOBERGS LÄN</t>
        </is>
      </c>
      <c r="E1702" t="inlineStr">
        <is>
          <t>ALVESTA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11014-2023</t>
        </is>
      </c>
      <c r="B1703" s="1" t="n">
        <v>44986</v>
      </c>
      <c r="C1703" s="1" t="n">
        <v>45957</v>
      </c>
      <c r="D1703" t="inlineStr">
        <is>
          <t>KRONOBERGS LÄN</t>
        </is>
      </c>
      <c r="E1703" t="inlineStr">
        <is>
          <t>ÄLMHULT</t>
        </is>
      </c>
      <c r="F1703" t="inlineStr">
        <is>
          <t>Kyrkan</t>
        </is>
      </c>
      <c r="G1703" t="n">
        <v>1.7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40264-2023</t>
        </is>
      </c>
      <c r="B1704" s="1" t="n">
        <v>45169.53290509259</v>
      </c>
      <c r="C1704" s="1" t="n">
        <v>45957</v>
      </c>
      <c r="D1704" t="inlineStr">
        <is>
          <t>KRONOBERGS LÄN</t>
        </is>
      </c>
      <c r="E1704" t="inlineStr">
        <is>
          <t>ÄLMHULT</t>
        </is>
      </c>
      <c r="G1704" t="n">
        <v>2.1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53766-2024</t>
        </is>
      </c>
      <c r="B1705" s="1" t="n">
        <v>45615.52241898148</v>
      </c>
      <c r="C1705" s="1" t="n">
        <v>45957</v>
      </c>
      <c r="D1705" t="inlineStr">
        <is>
          <t>KRONOBERGS LÄN</t>
        </is>
      </c>
      <c r="E1705" t="inlineStr">
        <is>
          <t>TINGSRYD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11079-2023</t>
        </is>
      </c>
      <c r="B1706" s="1" t="n">
        <v>44986</v>
      </c>
      <c r="C1706" s="1" t="n">
        <v>45957</v>
      </c>
      <c r="D1706" t="inlineStr">
        <is>
          <t>KRONOBERGS LÄN</t>
        </is>
      </c>
      <c r="E1706" t="inlineStr">
        <is>
          <t>VÄXJÖ</t>
        </is>
      </c>
      <c r="G1706" t="n">
        <v>7.3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23958-2023</t>
        </is>
      </c>
      <c r="B1707" s="1" t="n">
        <v>45075</v>
      </c>
      <c r="C1707" s="1" t="n">
        <v>45957</v>
      </c>
      <c r="D1707" t="inlineStr">
        <is>
          <t>KRONOBERGS LÄN</t>
        </is>
      </c>
      <c r="E1707" t="inlineStr">
        <is>
          <t>TINGSRYD</t>
        </is>
      </c>
      <c r="F1707" t="inlineStr">
        <is>
          <t>Kyrkan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21010-2025</t>
        </is>
      </c>
      <c r="B1708" s="1" t="n">
        <v>45777.49708333334</v>
      </c>
      <c r="C1708" s="1" t="n">
        <v>45957</v>
      </c>
      <c r="D1708" t="inlineStr">
        <is>
          <t>KRONOBERGS LÄN</t>
        </is>
      </c>
      <c r="E1708" t="inlineStr">
        <is>
          <t>VÄXJÖ</t>
        </is>
      </c>
      <c r="F1708" t="inlineStr">
        <is>
          <t>Sveaskog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20840-2025</t>
        </is>
      </c>
      <c r="B1709" s="1" t="n">
        <v>45776.86851851852</v>
      </c>
      <c r="C1709" s="1" t="n">
        <v>45957</v>
      </c>
      <c r="D1709" t="inlineStr">
        <is>
          <t>KRONOBERGS LÄN</t>
        </is>
      </c>
      <c r="E1709" t="inlineStr">
        <is>
          <t>ÄLMHULT</t>
        </is>
      </c>
      <c r="G1709" t="n">
        <v>3.4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33114-2023</t>
        </is>
      </c>
      <c r="B1710" s="1" t="n">
        <v>45126</v>
      </c>
      <c r="C1710" s="1" t="n">
        <v>45957</v>
      </c>
      <c r="D1710" t="inlineStr">
        <is>
          <t>KRONOBERGS LÄN</t>
        </is>
      </c>
      <c r="E1710" t="inlineStr">
        <is>
          <t>LJUNGBY</t>
        </is>
      </c>
      <c r="G1710" t="n">
        <v>0.8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73549-2021</t>
        </is>
      </c>
      <c r="B1711" s="1" t="n">
        <v>44551</v>
      </c>
      <c r="C1711" s="1" t="n">
        <v>45957</v>
      </c>
      <c r="D1711" t="inlineStr">
        <is>
          <t>KRONOBERGS LÄN</t>
        </is>
      </c>
      <c r="E1711" t="inlineStr">
        <is>
          <t>LJUNGBY</t>
        </is>
      </c>
      <c r="G1711" t="n">
        <v>1.5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20852-2025</t>
        </is>
      </c>
      <c r="B1712" s="1" t="n">
        <v>45777.3215625</v>
      </c>
      <c r="C1712" s="1" t="n">
        <v>45957</v>
      </c>
      <c r="D1712" t="inlineStr">
        <is>
          <t>KRONOBERGS LÄN</t>
        </is>
      </c>
      <c r="E1712" t="inlineStr">
        <is>
          <t>LESSEBO</t>
        </is>
      </c>
      <c r="F1712" t="inlineStr">
        <is>
          <t>Sveaskog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20855-2025</t>
        </is>
      </c>
      <c r="B1713" s="1" t="n">
        <v>45777.32519675926</v>
      </c>
      <c r="C1713" s="1" t="n">
        <v>45957</v>
      </c>
      <c r="D1713" t="inlineStr">
        <is>
          <t>KRONOBERGS LÄN</t>
        </is>
      </c>
      <c r="E1713" t="inlineStr">
        <is>
          <t>LESSEBO</t>
        </is>
      </c>
      <c r="F1713" t="inlineStr">
        <is>
          <t>Sveaskog</t>
        </is>
      </c>
      <c r="G1713" t="n">
        <v>2.7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20856-2025</t>
        </is>
      </c>
      <c r="B1714" s="1" t="n">
        <v>45777.32569444444</v>
      </c>
      <c r="C1714" s="1" t="n">
        <v>45957</v>
      </c>
      <c r="D1714" t="inlineStr">
        <is>
          <t>KRONOBERGS LÄN</t>
        </is>
      </c>
      <c r="E1714" t="inlineStr">
        <is>
          <t>LESSEBO</t>
        </is>
      </c>
      <c r="F1714" t="inlineStr">
        <is>
          <t>Sveaskog</t>
        </is>
      </c>
      <c r="G1714" t="n">
        <v>2.7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20859-2025</t>
        </is>
      </c>
      <c r="B1715" s="1" t="n">
        <v>45777.32798611111</v>
      </c>
      <c r="C1715" s="1" t="n">
        <v>45957</v>
      </c>
      <c r="D1715" t="inlineStr">
        <is>
          <t>KRONOBERGS LÄN</t>
        </is>
      </c>
      <c r="E1715" t="inlineStr">
        <is>
          <t>LESSEBO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32121-2023</t>
        </is>
      </c>
      <c r="B1716" s="1" t="n">
        <v>45119.63947916667</v>
      </c>
      <c r="C1716" s="1" t="n">
        <v>45957</v>
      </c>
      <c r="D1716" t="inlineStr">
        <is>
          <t>KRONOBERGS LÄN</t>
        </is>
      </c>
      <c r="E1716" t="inlineStr">
        <is>
          <t>LJUNGBY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20877-2025</t>
        </is>
      </c>
      <c r="B1717" s="1" t="n">
        <v>45777.35261574074</v>
      </c>
      <c r="C1717" s="1" t="n">
        <v>45957</v>
      </c>
      <c r="D1717" t="inlineStr">
        <is>
          <t>KRONOBERGS LÄN</t>
        </is>
      </c>
      <c r="E1717" t="inlineStr">
        <is>
          <t>LESSEBO</t>
        </is>
      </c>
      <c r="F1717" t="inlineStr">
        <is>
          <t>Sveaskog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8702-2025</t>
        </is>
      </c>
      <c r="B1718" s="1" t="n">
        <v>45712.48501157408</v>
      </c>
      <c r="C1718" s="1" t="n">
        <v>45957</v>
      </c>
      <c r="D1718" t="inlineStr">
        <is>
          <t>KRONOBERGS LÄN</t>
        </is>
      </c>
      <c r="E1718" t="inlineStr">
        <is>
          <t>VÄXJÖ</t>
        </is>
      </c>
      <c r="G1718" t="n">
        <v>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30056-2023</t>
        </is>
      </c>
      <c r="B1719" s="1" t="n">
        <v>45110</v>
      </c>
      <c r="C1719" s="1" t="n">
        <v>45957</v>
      </c>
      <c r="D1719" t="inlineStr">
        <is>
          <t>KRONOBERGS LÄN</t>
        </is>
      </c>
      <c r="E1719" t="inlineStr">
        <is>
          <t>TINGSRYD</t>
        </is>
      </c>
      <c r="G1719" t="n">
        <v>1.5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3081-2023</t>
        </is>
      </c>
      <c r="B1720" s="1" t="n">
        <v>44946.42413194444</v>
      </c>
      <c r="C1720" s="1" t="n">
        <v>45957</v>
      </c>
      <c r="D1720" t="inlineStr">
        <is>
          <t>KRONOBERGS LÄN</t>
        </is>
      </c>
      <c r="E1720" t="inlineStr">
        <is>
          <t>LJUNGBY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20860-2025</t>
        </is>
      </c>
      <c r="B1721" s="1" t="n">
        <v>45777.32888888889</v>
      </c>
      <c r="C1721" s="1" t="n">
        <v>45957</v>
      </c>
      <c r="D1721" t="inlineStr">
        <is>
          <t>KRONOBERGS LÄN</t>
        </is>
      </c>
      <c r="E1721" t="inlineStr">
        <is>
          <t>LESSEBO</t>
        </is>
      </c>
      <c r="F1721" t="inlineStr">
        <is>
          <t>Sveaskog</t>
        </is>
      </c>
      <c r="G1721" t="n">
        <v>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8374-2025</t>
        </is>
      </c>
      <c r="B1722" s="1" t="n">
        <v>45709.33226851852</v>
      </c>
      <c r="C1722" s="1" t="n">
        <v>45957</v>
      </c>
      <c r="D1722" t="inlineStr">
        <is>
          <t>KRONOBERGS LÄN</t>
        </is>
      </c>
      <c r="E1722" t="inlineStr">
        <is>
          <t>UPPVIDINGE</t>
        </is>
      </c>
      <c r="F1722" t="inlineStr">
        <is>
          <t>Sveaskog</t>
        </is>
      </c>
      <c r="G1722" t="n">
        <v>4.2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67363-2020</t>
        </is>
      </c>
      <c r="B1723" s="1" t="n">
        <v>44181</v>
      </c>
      <c r="C1723" s="1" t="n">
        <v>45957</v>
      </c>
      <c r="D1723" t="inlineStr">
        <is>
          <t>KRONOBERGS LÄN</t>
        </is>
      </c>
      <c r="E1723" t="inlineStr">
        <is>
          <t>TINGSRYD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8245-2025</t>
        </is>
      </c>
      <c r="B1724" s="1" t="n">
        <v>45708.48537037037</v>
      </c>
      <c r="C1724" s="1" t="n">
        <v>45957</v>
      </c>
      <c r="D1724" t="inlineStr">
        <is>
          <t>KRONOBERGS LÄN</t>
        </is>
      </c>
      <c r="E1724" t="inlineStr">
        <is>
          <t>LJUNGBY</t>
        </is>
      </c>
      <c r="G1724" t="n">
        <v>5.7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21008-2025</t>
        </is>
      </c>
      <c r="B1725" s="1" t="n">
        <v>45777.49614583333</v>
      </c>
      <c r="C1725" s="1" t="n">
        <v>45957</v>
      </c>
      <c r="D1725" t="inlineStr">
        <is>
          <t>KRONOBERGS LÄN</t>
        </is>
      </c>
      <c r="E1725" t="inlineStr">
        <is>
          <t>VÄXJÖ</t>
        </is>
      </c>
      <c r="F1725" t="inlineStr">
        <is>
          <t>Sveaskog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29739-2023</t>
        </is>
      </c>
      <c r="B1726" s="1" t="n">
        <v>45107.45663194444</v>
      </c>
      <c r="C1726" s="1" t="n">
        <v>45957</v>
      </c>
      <c r="D1726" t="inlineStr">
        <is>
          <t>KRONOBERGS LÄN</t>
        </is>
      </c>
      <c r="E1726" t="inlineStr">
        <is>
          <t>TINGSRYD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38172-2023</t>
        </is>
      </c>
      <c r="B1727" s="1" t="n">
        <v>45161</v>
      </c>
      <c r="C1727" s="1" t="n">
        <v>45957</v>
      </c>
      <c r="D1727" t="inlineStr">
        <is>
          <t>KRONOBERGS LÄN</t>
        </is>
      </c>
      <c r="E1727" t="inlineStr">
        <is>
          <t>VÄXJÖ</t>
        </is>
      </c>
      <c r="G1727" t="n">
        <v>1.1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8174-2025</t>
        </is>
      </c>
      <c r="B1728" s="1" t="n">
        <v>45708</v>
      </c>
      <c r="C1728" s="1" t="n">
        <v>45957</v>
      </c>
      <c r="D1728" t="inlineStr">
        <is>
          <t>KRONOBERGS LÄN</t>
        </is>
      </c>
      <c r="E1728" t="inlineStr">
        <is>
          <t>LESSEBO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25594-2023</t>
        </is>
      </c>
      <c r="B1729" s="1" t="n">
        <v>45089.63690972222</v>
      </c>
      <c r="C1729" s="1" t="n">
        <v>45957</v>
      </c>
      <c r="D1729" t="inlineStr">
        <is>
          <t>KRONOBERGS LÄN</t>
        </is>
      </c>
      <c r="E1729" t="inlineStr">
        <is>
          <t>TINGSRYD</t>
        </is>
      </c>
      <c r="G1729" t="n">
        <v>3.2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25636-2023</t>
        </is>
      </c>
      <c r="B1730" s="1" t="n">
        <v>45089.71939814815</v>
      </c>
      <c r="C1730" s="1" t="n">
        <v>45957</v>
      </c>
      <c r="D1730" t="inlineStr">
        <is>
          <t>KRONOBERGS LÄN</t>
        </is>
      </c>
      <c r="E1730" t="inlineStr">
        <is>
          <t>ÄLMHULT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58494-2023</t>
        </is>
      </c>
      <c r="B1731" s="1" t="n">
        <v>45251.34717592593</v>
      </c>
      <c r="C1731" s="1" t="n">
        <v>45957</v>
      </c>
      <c r="D1731" t="inlineStr">
        <is>
          <t>KRONOBERGS LÄN</t>
        </is>
      </c>
      <c r="E1731" t="inlineStr">
        <is>
          <t>ÄLMHULT</t>
        </is>
      </c>
      <c r="G1731" t="n">
        <v>3.3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34543-2023</t>
        </is>
      </c>
      <c r="B1732" s="1" t="n">
        <v>45140</v>
      </c>
      <c r="C1732" s="1" t="n">
        <v>45957</v>
      </c>
      <c r="D1732" t="inlineStr">
        <is>
          <t>KRONOBERGS LÄN</t>
        </is>
      </c>
      <c r="E1732" t="inlineStr">
        <is>
          <t>UPPVIDINGE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33352-2023</t>
        </is>
      </c>
      <c r="B1733" s="1" t="n">
        <v>45117</v>
      </c>
      <c r="C1733" s="1" t="n">
        <v>45957</v>
      </c>
      <c r="D1733" t="inlineStr">
        <is>
          <t>KRONOBERGS LÄN</t>
        </is>
      </c>
      <c r="E1733" t="inlineStr">
        <is>
          <t>TINGSRYD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33360-2023</t>
        </is>
      </c>
      <c r="B1734" s="1" t="n">
        <v>45117</v>
      </c>
      <c r="C1734" s="1" t="n">
        <v>45957</v>
      </c>
      <c r="D1734" t="inlineStr">
        <is>
          <t>KRONOBERGS LÄN</t>
        </is>
      </c>
      <c r="E1734" t="inlineStr">
        <is>
          <t>TINGSRYD</t>
        </is>
      </c>
      <c r="G1734" t="n">
        <v>4.6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21039-2025</t>
        </is>
      </c>
      <c r="B1735" s="1" t="n">
        <v>45777.54184027778</v>
      </c>
      <c r="C1735" s="1" t="n">
        <v>45957</v>
      </c>
      <c r="D1735" t="inlineStr">
        <is>
          <t>KRONOBERGS LÄN</t>
        </is>
      </c>
      <c r="E1735" t="inlineStr">
        <is>
          <t>TINGSRYD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21042-2025</t>
        </is>
      </c>
      <c r="B1736" s="1" t="n">
        <v>45777.54693287037</v>
      </c>
      <c r="C1736" s="1" t="n">
        <v>45957</v>
      </c>
      <c r="D1736" t="inlineStr">
        <is>
          <t>KRONOBERGS LÄN</t>
        </is>
      </c>
      <c r="E1736" t="inlineStr">
        <is>
          <t>TINGSRYD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21119-2025</t>
        </is>
      </c>
      <c r="B1737" s="1" t="n">
        <v>45777.73621527778</v>
      </c>
      <c r="C1737" s="1" t="n">
        <v>45957</v>
      </c>
      <c r="D1737" t="inlineStr">
        <is>
          <t>KRONOBERGS LÄN</t>
        </is>
      </c>
      <c r="E1737" t="inlineStr">
        <is>
          <t>LJUNGBY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63838-2023</t>
        </is>
      </c>
      <c r="B1738" s="1" t="n">
        <v>45278.46920138889</v>
      </c>
      <c r="C1738" s="1" t="n">
        <v>45957</v>
      </c>
      <c r="D1738" t="inlineStr">
        <is>
          <t>KRONOBERGS LÄN</t>
        </is>
      </c>
      <c r="E1738" t="inlineStr">
        <is>
          <t>TINGSRYD</t>
        </is>
      </c>
      <c r="G1738" t="n">
        <v>6.7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21115-2025</t>
        </is>
      </c>
      <c r="B1739" s="1" t="n">
        <v>45777.72737268519</v>
      </c>
      <c r="C1739" s="1" t="n">
        <v>45957</v>
      </c>
      <c r="D1739" t="inlineStr">
        <is>
          <t>KRONOBERGS LÄN</t>
        </is>
      </c>
      <c r="E1739" t="inlineStr">
        <is>
          <t>LJUNGBY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413-2024</t>
        </is>
      </c>
      <c r="B1740" s="1" t="n">
        <v>45296</v>
      </c>
      <c r="C1740" s="1" t="n">
        <v>45957</v>
      </c>
      <c r="D1740" t="inlineStr">
        <is>
          <t>KRONOBERGS LÄN</t>
        </is>
      </c>
      <c r="E1740" t="inlineStr">
        <is>
          <t>ALVESTA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20824-2023</t>
        </is>
      </c>
      <c r="B1741" s="1" t="n">
        <v>45058</v>
      </c>
      <c r="C1741" s="1" t="n">
        <v>45957</v>
      </c>
      <c r="D1741" t="inlineStr">
        <is>
          <t>KRONOBERGS LÄN</t>
        </is>
      </c>
      <c r="E1741" t="inlineStr">
        <is>
          <t>LESSEBO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5368-2023</t>
        </is>
      </c>
      <c r="B1742" s="1" t="n">
        <v>44959</v>
      </c>
      <c r="C1742" s="1" t="n">
        <v>45957</v>
      </c>
      <c r="D1742" t="inlineStr">
        <is>
          <t>KRONOBERGS LÄN</t>
        </is>
      </c>
      <c r="E1742" t="inlineStr">
        <is>
          <t>LJUNGBY</t>
        </is>
      </c>
      <c r="F1742" t="inlineStr">
        <is>
          <t>Sveaskog</t>
        </is>
      </c>
      <c r="G1742" t="n">
        <v>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64193-2023</t>
        </is>
      </c>
      <c r="B1743" s="1" t="n">
        <v>45279.67762731481</v>
      </c>
      <c r="C1743" s="1" t="n">
        <v>45957</v>
      </c>
      <c r="D1743" t="inlineStr">
        <is>
          <t>KRONOBERGS LÄN</t>
        </is>
      </c>
      <c r="E1743" t="inlineStr">
        <is>
          <t>VÄXJÖ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19712-2024</t>
        </is>
      </c>
      <c r="B1744" s="1" t="n">
        <v>45432.55671296296</v>
      </c>
      <c r="C1744" s="1" t="n">
        <v>45957</v>
      </c>
      <c r="D1744" t="inlineStr">
        <is>
          <t>KRONOBERGS LÄN</t>
        </is>
      </c>
      <c r="E1744" t="inlineStr">
        <is>
          <t>VÄXJÖ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9677-2025</t>
        </is>
      </c>
      <c r="B1745" s="1" t="n">
        <v>45716.34298611111</v>
      </c>
      <c r="C1745" s="1" t="n">
        <v>45957</v>
      </c>
      <c r="D1745" t="inlineStr">
        <is>
          <t>KRONOBERGS LÄN</t>
        </is>
      </c>
      <c r="E1745" t="inlineStr">
        <is>
          <t>UPPVIDINGE</t>
        </is>
      </c>
      <c r="F1745" t="inlineStr">
        <is>
          <t>Sveaskog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25242-2024</t>
        </is>
      </c>
      <c r="B1746" s="1" t="n">
        <v>45462.60291666666</v>
      </c>
      <c r="C1746" s="1" t="n">
        <v>45957</v>
      </c>
      <c r="D1746" t="inlineStr">
        <is>
          <t>KRONOBERGS LÄN</t>
        </is>
      </c>
      <c r="E1746" t="inlineStr">
        <is>
          <t>ÄLMHULT</t>
        </is>
      </c>
      <c r="G1746" t="n">
        <v>1.9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35797-2024</t>
        </is>
      </c>
      <c r="B1747" s="1" t="n">
        <v>45532.63335648148</v>
      </c>
      <c r="C1747" s="1" t="n">
        <v>45957</v>
      </c>
      <c r="D1747" t="inlineStr">
        <is>
          <t>KRONOBERGS LÄN</t>
        </is>
      </c>
      <c r="E1747" t="inlineStr">
        <is>
          <t>MARKARYD</t>
        </is>
      </c>
      <c r="G1747" t="n">
        <v>4.9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35902-2024</t>
        </is>
      </c>
      <c r="B1748" s="1" t="n">
        <v>45533.40498842593</v>
      </c>
      <c r="C1748" s="1" t="n">
        <v>45957</v>
      </c>
      <c r="D1748" t="inlineStr">
        <is>
          <t>KRONOBERGS LÄN</t>
        </is>
      </c>
      <c r="E1748" t="inlineStr">
        <is>
          <t>VÄXJÖ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15749-2021</t>
        </is>
      </c>
      <c r="B1749" s="1" t="n">
        <v>44286.50398148148</v>
      </c>
      <c r="C1749" s="1" t="n">
        <v>45957</v>
      </c>
      <c r="D1749" t="inlineStr">
        <is>
          <t>KRONOBERGS LÄN</t>
        </is>
      </c>
      <c r="E1749" t="inlineStr">
        <is>
          <t>VÄXJÖ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21308-2025</t>
        </is>
      </c>
      <c r="B1750" s="1" t="n">
        <v>45781.41818287037</v>
      </c>
      <c r="C1750" s="1" t="n">
        <v>45957</v>
      </c>
      <c r="D1750" t="inlineStr">
        <is>
          <t>KRONOBERGS LÄN</t>
        </is>
      </c>
      <c r="E1750" t="inlineStr">
        <is>
          <t>ÄLMHULT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61439-2024</t>
        </is>
      </c>
      <c r="B1751" s="1" t="n">
        <v>45646.46565972222</v>
      </c>
      <c r="C1751" s="1" t="n">
        <v>45957</v>
      </c>
      <c r="D1751" t="inlineStr">
        <is>
          <t>KRONOBERGS LÄN</t>
        </is>
      </c>
      <c r="E1751" t="inlineStr">
        <is>
          <t>LESSEBO</t>
        </is>
      </c>
      <c r="G1751" t="n">
        <v>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15171-2025</t>
        </is>
      </c>
      <c r="B1752" s="1" t="n">
        <v>45744.50616898148</v>
      </c>
      <c r="C1752" s="1" t="n">
        <v>45957</v>
      </c>
      <c r="D1752" t="inlineStr">
        <is>
          <t>KRONOBERGS LÄN</t>
        </is>
      </c>
      <c r="E1752" t="inlineStr">
        <is>
          <t>ALVESTA</t>
        </is>
      </c>
      <c r="G1752" t="n">
        <v>0.5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24884-2024</t>
        </is>
      </c>
      <c r="B1753" s="1" t="n">
        <v>45461</v>
      </c>
      <c r="C1753" s="1" t="n">
        <v>45957</v>
      </c>
      <c r="D1753" t="inlineStr">
        <is>
          <t>KRONOBERGS LÄN</t>
        </is>
      </c>
      <c r="E1753" t="inlineStr">
        <is>
          <t>LJUNGBY</t>
        </is>
      </c>
      <c r="G1753" t="n">
        <v>0.4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21275-2024</t>
        </is>
      </c>
      <c r="B1754" s="1" t="n">
        <v>45440.6484375</v>
      </c>
      <c r="C1754" s="1" t="n">
        <v>45957</v>
      </c>
      <c r="D1754" t="inlineStr">
        <is>
          <t>KRONOBERGS LÄN</t>
        </is>
      </c>
      <c r="E1754" t="inlineStr">
        <is>
          <t>UPPVIDINGE</t>
        </is>
      </c>
      <c r="G1754" t="n">
        <v>4.2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9676-2025</t>
        </is>
      </c>
      <c r="B1755" s="1" t="n">
        <v>45716.34217592593</v>
      </c>
      <c r="C1755" s="1" t="n">
        <v>45957</v>
      </c>
      <c r="D1755" t="inlineStr">
        <is>
          <t>KRONOBERGS LÄN</t>
        </is>
      </c>
      <c r="E1755" t="inlineStr">
        <is>
          <t>UPPVIDINGE</t>
        </is>
      </c>
      <c r="F1755" t="inlineStr">
        <is>
          <t>Sveaskog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9680-2025</t>
        </is>
      </c>
      <c r="B1756" s="1" t="n">
        <v>45716.34775462963</v>
      </c>
      <c r="C1756" s="1" t="n">
        <v>45957</v>
      </c>
      <c r="D1756" t="inlineStr">
        <is>
          <t>KRONOBERGS LÄN</t>
        </is>
      </c>
      <c r="E1756" t="inlineStr">
        <is>
          <t>UPPVIDINGE</t>
        </is>
      </c>
      <c r="F1756" t="inlineStr">
        <is>
          <t>Sveaskog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1540-2023</t>
        </is>
      </c>
      <c r="B1757" s="1" t="n">
        <v>44935</v>
      </c>
      <c r="C1757" s="1" t="n">
        <v>45957</v>
      </c>
      <c r="D1757" t="inlineStr">
        <is>
          <t>KRONOBERGS LÄN</t>
        </is>
      </c>
      <c r="E1757" t="inlineStr">
        <is>
          <t>ALVESTA</t>
        </is>
      </c>
      <c r="G1757" t="n">
        <v>1.3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21297-2025</t>
        </is>
      </c>
      <c r="B1758" s="1" t="n">
        <v>45780.85372685185</v>
      </c>
      <c r="C1758" s="1" t="n">
        <v>45957</v>
      </c>
      <c r="D1758" t="inlineStr">
        <is>
          <t>KRONOBERGS LÄN</t>
        </is>
      </c>
      <c r="E1758" t="inlineStr">
        <is>
          <t>VÄXJÖ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21298-2025</t>
        </is>
      </c>
      <c r="B1759" s="1" t="n">
        <v>45780.85699074074</v>
      </c>
      <c r="C1759" s="1" t="n">
        <v>45957</v>
      </c>
      <c r="D1759" t="inlineStr">
        <is>
          <t>KRONOBERGS LÄN</t>
        </is>
      </c>
      <c r="E1759" t="inlineStr">
        <is>
          <t>VÄXJÖ</t>
        </is>
      </c>
      <c r="G1759" t="n">
        <v>0.4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21300-2025</t>
        </is>
      </c>
      <c r="B1760" s="1" t="n">
        <v>45780.87196759259</v>
      </c>
      <c r="C1760" s="1" t="n">
        <v>45957</v>
      </c>
      <c r="D1760" t="inlineStr">
        <is>
          <t>KRONOBERGS LÄN</t>
        </is>
      </c>
      <c r="E1760" t="inlineStr">
        <is>
          <t>VÄXJÖ</t>
        </is>
      </c>
      <c r="G1760" t="n">
        <v>0.7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20892-2024</t>
        </is>
      </c>
      <c r="B1761" s="1" t="n">
        <v>45439.46385416666</v>
      </c>
      <c r="C1761" s="1" t="n">
        <v>45957</v>
      </c>
      <c r="D1761" t="inlineStr">
        <is>
          <t>KRONOBERGS LÄN</t>
        </is>
      </c>
      <c r="E1761" t="inlineStr">
        <is>
          <t>TINGSRYD</t>
        </is>
      </c>
      <c r="G1761" t="n">
        <v>0.8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21299-2025</t>
        </is>
      </c>
      <c r="B1762" s="1" t="n">
        <v>45780.86326388889</v>
      </c>
      <c r="C1762" s="1" t="n">
        <v>45957</v>
      </c>
      <c r="D1762" t="inlineStr">
        <is>
          <t>KRONOBERGS LÄN</t>
        </is>
      </c>
      <c r="E1762" t="inlineStr">
        <is>
          <t>VÄXJÖ</t>
        </is>
      </c>
      <c r="G1762" t="n">
        <v>1.4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60588-2020</t>
        </is>
      </c>
      <c r="B1763" s="1" t="n">
        <v>44153</v>
      </c>
      <c r="C1763" s="1" t="n">
        <v>45957</v>
      </c>
      <c r="D1763" t="inlineStr">
        <is>
          <t>KRONOBERGS LÄN</t>
        </is>
      </c>
      <c r="E1763" t="inlineStr">
        <is>
          <t>ÄLMHULT</t>
        </is>
      </c>
      <c r="G1763" t="n">
        <v>1.1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24171-2024</t>
        </is>
      </c>
      <c r="B1764" s="1" t="n">
        <v>45456.73114583334</v>
      </c>
      <c r="C1764" s="1" t="n">
        <v>45957</v>
      </c>
      <c r="D1764" t="inlineStr">
        <is>
          <t>KRONOBERGS LÄN</t>
        </is>
      </c>
      <c r="E1764" t="inlineStr">
        <is>
          <t>LESSEBO</t>
        </is>
      </c>
      <c r="G1764" t="n">
        <v>1.9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21508-2025</t>
        </is>
      </c>
      <c r="B1765" s="1" t="n">
        <v>45782.62265046296</v>
      </c>
      <c r="C1765" s="1" t="n">
        <v>45957</v>
      </c>
      <c r="D1765" t="inlineStr">
        <is>
          <t>KRONOBERGS LÄN</t>
        </is>
      </c>
      <c r="E1765" t="inlineStr">
        <is>
          <t>TINGSRYD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24478-2024</t>
        </is>
      </c>
      <c r="B1766" s="1" t="n">
        <v>45459.32884259259</v>
      </c>
      <c r="C1766" s="1" t="n">
        <v>45957</v>
      </c>
      <c r="D1766" t="inlineStr">
        <is>
          <t>KRONOBERGS LÄN</t>
        </is>
      </c>
      <c r="E1766" t="inlineStr">
        <is>
          <t>LESSEBO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25989-2024</t>
        </is>
      </c>
      <c r="B1767" s="1" t="n">
        <v>45467</v>
      </c>
      <c r="C1767" s="1" t="n">
        <v>45957</v>
      </c>
      <c r="D1767" t="inlineStr">
        <is>
          <t>KRONOBERGS LÄN</t>
        </is>
      </c>
      <c r="E1767" t="inlineStr">
        <is>
          <t>TINGSRYD</t>
        </is>
      </c>
      <c r="G1767" t="n">
        <v>3.9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25992-2024</t>
        </is>
      </c>
      <c r="B1768" s="1" t="n">
        <v>45467</v>
      </c>
      <c r="C1768" s="1" t="n">
        <v>45957</v>
      </c>
      <c r="D1768" t="inlineStr">
        <is>
          <t>KRONOBERGS LÄN</t>
        </is>
      </c>
      <c r="E1768" t="inlineStr">
        <is>
          <t>TINGSRYD</t>
        </is>
      </c>
      <c r="G1768" t="n">
        <v>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25993-2024</t>
        </is>
      </c>
      <c r="B1769" s="1" t="n">
        <v>45467</v>
      </c>
      <c r="C1769" s="1" t="n">
        <v>45957</v>
      </c>
      <c r="D1769" t="inlineStr">
        <is>
          <t>KRONOBERGS LÄN</t>
        </is>
      </c>
      <c r="E1769" t="inlineStr">
        <is>
          <t>TINGSRYD</t>
        </is>
      </c>
      <c r="G1769" t="n">
        <v>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21317-2025</t>
        </is>
      </c>
      <c r="B1770" s="1" t="n">
        <v>45782.33971064815</v>
      </c>
      <c r="C1770" s="1" t="n">
        <v>45957</v>
      </c>
      <c r="D1770" t="inlineStr">
        <is>
          <t>KRONOBERGS LÄN</t>
        </is>
      </c>
      <c r="E1770" t="inlineStr">
        <is>
          <t>LJUNGBY</t>
        </is>
      </c>
      <c r="F1770" t="inlineStr">
        <is>
          <t>Sveaskog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23861-2024</t>
        </is>
      </c>
      <c r="B1771" s="1" t="n">
        <v>45455.58665509259</v>
      </c>
      <c r="C1771" s="1" t="n">
        <v>45957</v>
      </c>
      <c r="D1771" t="inlineStr">
        <is>
          <t>KRONOBERGS LÄN</t>
        </is>
      </c>
      <c r="E1771" t="inlineStr">
        <is>
          <t>TINGSRYD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21506-2025</t>
        </is>
      </c>
      <c r="B1772" s="1" t="n">
        <v>45782.61675925926</v>
      </c>
      <c r="C1772" s="1" t="n">
        <v>45957</v>
      </c>
      <c r="D1772" t="inlineStr">
        <is>
          <t>KRONOBERGS LÄN</t>
        </is>
      </c>
      <c r="E1772" t="inlineStr">
        <is>
          <t>TINGSRYD</t>
        </is>
      </c>
      <c r="G1772" t="n">
        <v>1.7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21526-2025</t>
        </is>
      </c>
      <c r="B1773" s="1" t="n">
        <v>45782.64549768518</v>
      </c>
      <c r="C1773" s="1" t="n">
        <v>45957</v>
      </c>
      <c r="D1773" t="inlineStr">
        <is>
          <t>KRONOBERGS LÄN</t>
        </is>
      </c>
      <c r="E1773" t="inlineStr">
        <is>
          <t>VÄXJÖ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67569-2020</t>
        </is>
      </c>
      <c r="B1774" s="1" t="n">
        <v>44181</v>
      </c>
      <c r="C1774" s="1" t="n">
        <v>45957</v>
      </c>
      <c r="D1774" t="inlineStr">
        <is>
          <t>KRONOBERGS LÄN</t>
        </is>
      </c>
      <c r="E1774" t="inlineStr">
        <is>
          <t>LJUNGBY</t>
        </is>
      </c>
      <c r="G1774" t="n">
        <v>0.3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21532-2025</t>
        </is>
      </c>
      <c r="B1775" s="1" t="n">
        <v>45782.65293981481</v>
      </c>
      <c r="C1775" s="1" t="n">
        <v>45957</v>
      </c>
      <c r="D1775" t="inlineStr">
        <is>
          <t>KRONOBERGS LÄN</t>
        </is>
      </c>
      <c r="E1775" t="inlineStr">
        <is>
          <t>VÄXJÖ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50031-2022</t>
        </is>
      </c>
      <c r="B1776" s="1" t="n">
        <v>44865</v>
      </c>
      <c r="C1776" s="1" t="n">
        <v>45957</v>
      </c>
      <c r="D1776" t="inlineStr">
        <is>
          <t>KRONOBERGS LÄN</t>
        </is>
      </c>
      <c r="E1776" t="inlineStr">
        <is>
          <t>ÄLMHULT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42685-2021</t>
        </is>
      </c>
      <c r="B1777" s="1" t="n">
        <v>44428</v>
      </c>
      <c r="C1777" s="1" t="n">
        <v>45957</v>
      </c>
      <c r="D1777" t="inlineStr">
        <is>
          <t>KRONOBERGS LÄN</t>
        </is>
      </c>
      <c r="E1777" t="inlineStr">
        <is>
          <t>VÄXJÖ</t>
        </is>
      </c>
      <c r="G1777" t="n">
        <v>3.4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4995-2021</t>
        </is>
      </c>
      <c r="B1778" s="1" t="n">
        <v>44228</v>
      </c>
      <c r="C1778" s="1" t="n">
        <v>45957</v>
      </c>
      <c r="D1778" t="inlineStr">
        <is>
          <t>KRONOBERGS LÄN</t>
        </is>
      </c>
      <c r="E1778" t="inlineStr">
        <is>
          <t>LJUNGBY</t>
        </is>
      </c>
      <c r="G1778" t="n">
        <v>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21301-2025</t>
        </is>
      </c>
      <c r="B1779" s="1" t="n">
        <v>45780.88527777778</v>
      </c>
      <c r="C1779" s="1" t="n">
        <v>45957</v>
      </c>
      <c r="D1779" t="inlineStr">
        <is>
          <t>KRONOBERGS LÄN</t>
        </is>
      </c>
      <c r="E1779" t="inlineStr">
        <is>
          <t>VÄXJÖ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21306-2025</t>
        </is>
      </c>
      <c r="B1780" s="1" t="n">
        <v>45781.41056712963</v>
      </c>
      <c r="C1780" s="1" t="n">
        <v>45957</v>
      </c>
      <c r="D1780" t="inlineStr">
        <is>
          <t>KRONOBERGS LÄN</t>
        </is>
      </c>
      <c r="E1780" t="inlineStr">
        <is>
          <t>ÄLMHULT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3271-2024</t>
        </is>
      </c>
      <c r="B1781" s="1" t="n">
        <v>45317</v>
      </c>
      <c r="C1781" s="1" t="n">
        <v>45957</v>
      </c>
      <c r="D1781" t="inlineStr">
        <is>
          <t>KRONOBERGS LÄN</t>
        </is>
      </c>
      <c r="E1781" t="inlineStr">
        <is>
          <t>LJUNGBY</t>
        </is>
      </c>
      <c r="G1781" t="n">
        <v>1.5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7190-2024</t>
        </is>
      </c>
      <c r="B1782" s="1" t="n">
        <v>45344</v>
      </c>
      <c r="C1782" s="1" t="n">
        <v>45957</v>
      </c>
      <c r="D1782" t="inlineStr">
        <is>
          <t>KRONOBERGS LÄN</t>
        </is>
      </c>
      <c r="E1782" t="inlineStr">
        <is>
          <t>MARKARYD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3365-2024</t>
        </is>
      </c>
      <c r="B1783" s="1" t="n">
        <v>45317.65170138889</v>
      </c>
      <c r="C1783" s="1" t="n">
        <v>45957</v>
      </c>
      <c r="D1783" t="inlineStr">
        <is>
          <t>KRONOBERGS LÄN</t>
        </is>
      </c>
      <c r="E1783" t="inlineStr">
        <is>
          <t>VÄXJÖ</t>
        </is>
      </c>
      <c r="G1783" t="n">
        <v>1.1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2072-2024</t>
        </is>
      </c>
      <c r="B1784" s="1" t="n">
        <v>45309.33142361111</v>
      </c>
      <c r="C1784" s="1" t="n">
        <v>45957</v>
      </c>
      <c r="D1784" t="inlineStr">
        <is>
          <t>KRONOBERGS LÄN</t>
        </is>
      </c>
      <c r="E1784" t="inlineStr">
        <is>
          <t>ÄLMHULT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62262-2020</t>
        </is>
      </c>
      <c r="B1785" s="1" t="n">
        <v>44160</v>
      </c>
      <c r="C1785" s="1" t="n">
        <v>45957</v>
      </c>
      <c r="D1785" t="inlineStr">
        <is>
          <t>KRONOBERGS LÄN</t>
        </is>
      </c>
      <c r="E1785" t="inlineStr">
        <is>
          <t>LJUNGBY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21931-2025</t>
        </is>
      </c>
      <c r="B1786" s="1" t="n">
        <v>45784.56236111111</v>
      </c>
      <c r="C1786" s="1" t="n">
        <v>45957</v>
      </c>
      <c r="D1786" t="inlineStr">
        <is>
          <t>KRONOBERGS LÄN</t>
        </is>
      </c>
      <c r="E1786" t="inlineStr">
        <is>
          <t>VÄXJÖ</t>
        </is>
      </c>
      <c r="F1786" t="inlineStr">
        <is>
          <t>Kommuner</t>
        </is>
      </c>
      <c r="G1786" t="n">
        <v>2.4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18376-2025</t>
        </is>
      </c>
      <c r="B1787" s="1" t="n">
        <v>45762.57465277778</v>
      </c>
      <c r="C1787" s="1" t="n">
        <v>45957</v>
      </c>
      <c r="D1787" t="inlineStr">
        <is>
          <t>KRONOBERGS LÄN</t>
        </is>
      </c>
      <c r="E1787" t="inlineStr">
        <is>
          <t>VÄXJÖ</t>
        </is>
      </c>
      <c r="F1787" t="inlineStr">
        <is>
          <t>Sveaskog</t>
        </is>
      </c>
      <c r="G1787" t="n">
        <v>1.4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30600-2024</t>
        </is>
      </c>
      <c r="B1788" s="1" t="n">
        <v>45493.63009259259</v>
      </c>
      <c r="C1788" s="1" t="n">
        <v>45957</v>
      </c>
      <c r="D1788" t="inlineStr">
        <is>
          <t>KRONOBERGS LÄN</t>
        </is>
      </c>
      <c r="E1788" t="inlineStr">
        <is>
          <t>LESSEBO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21696-2025</t>
        </is>
      </c>
      <c r="B1789" s="1" t="n">
        <v>45783.50890046296</v>
      </c>
      <c r="C1789" s="1" t="n">
        <v>45957</v>
      </c>
      <c r="D1789" t="inlineStr">
        <is>
          <t>KRONOBERGS LÄN</t>
        </is>
      </c>
      <c r="E1789" t="inlineStr">
        <is>
          <t>MARKARYD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21709-2025</t>
        </is>
      </c>
      <c r="B1790" s="1" t="n">
        <v>45783</v>
      </c>
      <c r="C1790" s="1" t="n">
        <v>45957</v>
      </c>
      <c r="D1790" t="inlineStr">
        <is>
          <t>KRONOBERGS LÄN</t>
        </is>
      </c>
      <c r="E1790" t="inlineStr">
        <is>
          <t>ALVESTA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59124-2022</t>
        </is>
      </c>
      <c r="B1791" s="1" t="n">
        <v>44897</v>
      </c>
      <c r="C1791" s="1" t="n">
        <v>45957</v>
      </c>
      <c r="D1791" t="inlineStr">
        <is>
          <t>KRONOBERGS LÄN</t>
        </is>
      </c>
      <c r="E1791" t="inlineStr">
        <is>
          <t>ÄLMHULT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65106-2023</t>
        </is>
      </c>
      <c r="B1792" s="1" t="n">
        <v>45288.44112268519</v>
      </c>
      <c r="C1792" s="1" t="n">
        <v>45957</v>
      </c>
      <c r="D1792" t="inlineStr">
        <is>
          <t>KRONOBERGS LÄN</t>
        </is>
      </c>
      <c r="E1792" t="inlineStr">
        <is>
          <t>VÄXJÖ</t>
        </is>
      </c>
      <c r="G1792" t="n">
        <v>5.1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172-2023</t>
        </is>
      </c>
      <c r="B1793" s="1" t="n">
        <v>44928.57497685185</v>
      </c>
      <c r="C1793" s="1" t="n">
        <v>45957</v>
      </c>
      <c r="D1793" t="inlineStr">
        <is>
          <t>KRONOBERGS LÄN</t>
        </is>
      </c>
      <c r="E1793" t="inlineStr">
        <is>
          <t>TINGSRYD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29140-2024</t>
        </is>
      </c>
      <c r="B1794" s="1" t="n">
        <v>45482.41107638889</v>
      </c>
      <c r="C1794" s="1" t="n">
        <v>45957</v>
      </c>
      <c r="D1794" t="inlineStr">
        <is>
          <t>KRONOBERGS LÄN</t>
        </is>
      </c>
      <c r="E1794" t="inlineStr">
        <is>
          <t>VÄXJÖ</t>
        </is>
      </c>
      <c r="G1794" t="n">
        <v>2.1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54872-2023</t>
        </is>
      </c>
      <c r="B1795" s="1" t="n">
        <v>45236.61423611111</v>
      </c>
      <c r="C1795" s="1" t="n">
        <v>45957</v>
      </c>
      <c r="D1795" t="inlineStr">
        <is>
          <t>KRONOBERGS LÄN</t>
        </is>
      </c>
      <c r="E1795" t="inlineStr">
        <is>
          <t>VÄXJÖ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54956-2023</t>
        </is>
      </c>
      <c r="B1796" s="1" t="n">
        <v>45236</v>
      </c>
      <c r="C1796" s="1" t="n">
        <v>45957</v>
      </c>
      <c r="D1796" t="inlineStr">
        <is>
          <t>KRONOBERGS LÄN</t>
        </is>
      </c>
      <c r="E1796" t="inlineStr">
        <is>
          <t>LJUNGBY</t>
        </is>
      </c>
      <c r="G1796" t="n">
        <v>19.8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30778-2023</t>
        </is>
      </c>
      <c r="B1797" s="1" t="n">
        <v>45112</v>
      </c>
      <c r="C1797" s="1" t="n">
        <v>45957</v>
      </c>
      <c r="D1797" t="inlineStr">
        <is>
          <t>KRONOBERGS LÄN</t>
        </is>
      </c>
      <c r="E1797" t="inlineStr">
        <is>
          <t>LJUNGBY</t>
        </is>
      </c>
      <c r="G1797" t="n">
        <v>1.2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30789-2023</t>
        </is>
      </c>
      <c r="B1798" s="1" t="n">
        <v>45112</v>
      </c>
      <c r="C1798" s="1" t="n">
        <v>45957</v>
      </c>
      <c r="D1798" t="inlineStr">
        <is>
          <t>KRONOBERGS LÄN</t>
        </is>
      </c>
      <c r="E1798" t="inlineStr">
        <is>
          <t>VÄXJÖ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13147-2024</t>
        </is>
      </c>
      <c r="B1799" s="1" t="n">
        <v>45386.35322916666</v>
      </c>
      <c r="C1799" s="1" t="n">
        <v>45957</v>
      </c>
      <c r="D1799" t="inlineStr">
        <is>
          <t>KRONOBERGS LÄN</t>
        </is>
      </c>
      <c r="E1799" t="inlineStr">
        <is>
          <t>UPPVIDINGE</t>
        </is>
      </c>
      <c r="F1799" t="inlineStr">
        <is>
          <t>Sveaskog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52501-2024</t>
        </is>
      </c>
      <c r="B1800" s="1" t="n">
        <v>45609.58574074074</v>
      </c>
      <c r="C1800" s="1" t="n">
        <v>45957</v>
      </c>
      <c r="D1800" t="inlineStr">
        <is>
          <t>KRONOBERGS LÄN</t>
        </is>
      </c>
      <c r="E1800" t="inlineStr">
        <is>
          <t>MARKARYD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52554-2024</t>
        </is>
      </c>
      <c r="B1801" s="1" t="n">
        <v>45609.64653935185</v>
      </c>
      <c r="C1801" s="1" t="n">
        <v>45957</v>
      </c>
      <c r="D1801" t="inlineStr">
        <is>
          <t>KRONOBERGS LÄN</t>
        </is>
      </c>
      <c r="E1801" t="inlineStr">
        <is>
          <t>MARKARYD</t>
        </is>
      </c>
      <c r="G1801" t="n">
        <v>1.8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48145-2021</t>
        </is>
      </c>
      <c r="B1802" s="1" t="n">
        <v>44449</v>
      </c>
      <c r="C1802" s="1" t="n">
        <v>45957</v>
      </c>
      <c r="D1802" t="inlineStr">
        <is>
          <t>KRONOBERGS LÄN</t>
        </is>
      </c>
      <c r="E1802" t="inlineStr">
        <is>
          <t>ÄLMHULT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38519-2024</t>
        </is>
      </c>
      <c r="B1803" s="1" t="n">
        <v>45546</v>
      </c>
      <c r="C1803" s="1" t="n">
        <v>45957</v>
      </c>
      <c r="D1803" t="inlineStr">
        <is>
          <t>KRONOBERGS LÄN</t>
        </is>
      </c>
      <c r="E1803" t="inlineStr">
        <is>
          <t>VÄXJÖ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21882-2025</t>
        </is>
      </c>
      <c r="B1804" s="1" t="n">
        <v>45784.41361111111</v>
      </c>
      <c r="C1804" s="1" t="n">
        <v>45957</v>
      </c>
      <c r="D1804" t="inlineStr">
        <is>
          <t>KRONOBERGS LÄN</t>
        </is>
      </c>
      <c r="E1804" t="inlineStr">
        <is>
          <t>ALVESTA</t>
        </is>
      </c>
      <c r="G1804" t="n">
        <v>0.9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54116-2024</t>
        </is>
      </c>
      <c r="B1805" s="1" t="n">
        <v>45616.56194444445</v>
      </c>
      <c r="C1805" s="1" t="n">
        <v>45957</v>
      </c>
      <c r="D1805" t="inlineStr">
        <is>
          <t>KRONOBERGS LÄN</t>
        </is>
      </c>
      <c r="E1805" t="inlineStr">
        <is>
          <t>ALVESTA</t>
        </is>
      </c>
      <c r="G1805" t="n">
        <v>2.3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6722-2025</t>
        </is>
      </c>
      <c r="B1806" s="1" t="n">
        <v>45700.57885416667</v>
      </c>
      <c r="C1806" s="1" t="n">
        <v>45957</v>
      </c>
      <c r="D1806" t="inlineStr">
        <is>
          <t>KRONOBERGS LÄN</t>
        </is>
      </c>
      <c r="E1806" t="inlineStr">
        <is>
          <t>ALVESTA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58946-2023</t>
        </is>
      </c>
      <c r="B1807" s="1" t="n">
        <v>45252.57751157408</v>
      </c>
      <c r="C1807" s="1" t="n">
        <v>45957</v>
      </c>
      <c r="D1807" t="inlineStr">
        <is>
          <t>KRONOBERGS LÄN</t>
        </is>
      </c>
      <c r="E1807" t="inlineStr">
        <is>
          <t>TINGSRYD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21913-2025</t>
        </is>
      </c>
      <c r="B1808" s="1" t="n">
        <v>45784.48793981481</v>
      </c>
      <c r="C1808" s="1" t="n">
        <v>45957</v>
      </c>
      <c r="D1808" t="inlineStr">
        <is>
          <t>KRONOBERGS LÄN</t>
        </is>
      </c>
      <c r="E1808" t="inlineStr">
        <is>
          <t>TINGSRYD</t>
        </is>
      </c>
      <c r="G1808" t="n">
        <v>3.1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21917-2025</t>
        </is>
      </c>
      <c r="B1809" s="1" t="n">
        <v>45784.5059837963</v>
      </c>
      <c r="C1809" s="1" t="n">
        <v>45957</v>
      </c>
      <c r="D1809" t="inlineStr">
        <is>
          <t>KRONOBERGS LÄN</t>
        </is>
      </c>
      <c r="E1809" t="inlineStr">
        <is>
          <t>LESSEBO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40511-2022</t>
        </is>
      </c>
      <c r="B1810" s="1" t="n">
        <v>44823.61398148148</v>
      </c>
      <c r="C1810" s="1" t="n">
        <v>45957</v>
      </c>
      <c r="D1810" t="inlineStr">
        <is>
          <t>KRONOBERGS LÄN</t>
        </is>
      </c>
      <c r="E1810" t="inlineStr">
        <is>
          <t>LJUNGBY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44093-2022</t>
        </is>
      </c>
      <c r="B1811" s="1" t="n">
        <v>44839</v>
      </c>
      <c r="C1811" s="1" t="n">
        <v>45957</v>
      </c>
      <c r="D1811" t="inlineStr">
        <is>
          <t>KRONOBERGS LÄN</t>
        </is>
      </c>
      <c r="E1811" t="inlineStr">
        <is>
          <t>ALVESTA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56266-2024</t>
        </is>
      </c>
      <c r="B1812" s="1" t="n">
        <v>45624.65733796296</v>
      </c>
      <c r="C1812" s="1" t="n">
        <v>45957</v>
      </c>
      <c r="D1812" t="inlineStr">
        <is>
          <t>KRONOBERGS LÄN</t>
        </is>
      </c>
      <c r="E1812" t="inlineStr">
        <is>
          <t>ÄLMHULT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28218-2024</t>
        </is>
      </c>
      <c r="B1813" s="1" t="n">
        <v>45477.36792824074</v>
      </c>
      <c r="C1813" s="1" t="n">
        <v>45957</v>
      </c>
      <c r="D1813" t="inlineStr">
        <is>
          <t>KRONOBERGS LÄN</t>
        </is>
      </c>
      <c r="E1813" t="inlineStr">
        <is>
          <t>VÄXJÖ</t>
        </is>
      </c>
      <c r="F1813" t="inlineStr">
        <is>
          <t>Sveaskog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28220-2024</t>
        </is>
      </c>
      <c r="B1814" s="1" t="n">
        <v>45477.3696412037</v>
      </c>
      <c r="C1814" s="1" t="n">
        <v>45957</v>
      </c>
      <c r="D1814" t="inlineStr">
        <is>
          <t>KRONOBERGS LÄN</t>
        </is>
      </c>
      <c r="E1814" t="inlineStr">
        <is>
          <t>TINGSRYD</t>
        </is>
      </c>
      <c r="G1814" t="n">
        <v>2.2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25988-2024</t>
        </is>
      </c>
      <c r="B1815" s="1" t="n">
        <v>45467</v>
      </c>
      <c r="C1815" s="1" t="n">
        <v>45957</v>
      </c>
      <c r="D1815" t="inlineStr">
        <is>
          <t>KRONOBERGS LÄN</t>
        </is>
      </c>
      <c r="E1815" t="inlineStr">
        <is>
          <t>ALVESTA</t>
        </is>
      </c>
      <c r="G1815" t="n">
        <v>3.2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61626-2023</t>
        </is>
      </c>
      <c r="B1816" s="1" t="n">
        <v>45265.54988425926</v>
      </c>
      <c r="C1816" s="1" t="n">
        <v>45957</v>
      </c>
      <c r="D1816" t="inlineStr">
        <is>
          <t>KRONOBERGS LÄN</t>
        </is>
      </c>
      <c r="E1816" t="inlineStr">
        <is>
          <t>MARKARYD</t>
        </is>
      </c>
      <c r="G1816" t="n">
        <v>0.8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61631-2023</t>
        </is>
      </c>
      <c r="B1817" s="1" t="n">
        <v>45265.55644675926</v>
      </c>
      <c r="C1817" s="1" t="n">
        <v>45957</v>
      </c>
      <c r="D1817" t="inlineStr">
        <is>
          <t>KRONOBERGS LÄN</t>
        </is>
      </c>
      <c r="E1817" t="inlineStr">
        <is>
          <t>MARKARYD</t>
        </is>
      </c>
      <c r="G1817" t="n">
        <v>1.8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7703-2021</t>
        </is>
      </c>
      <c r="B1818" s="1" t="n">
        <v>44242.47204861111</v>
      </c>
      <c r="C1818" s="1" t="n">
        <v>45957</v>
      </c>
      <c r="D1818" t="inlineStr">
        <is>
          <t>KRONOBERGS LÄN</t>
        </is>
      </c>
      <c r="E1818" t="inlineStr">
        <is>
          <t>MARKARYD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61820-2022</t>
        </is>
      </c>
      <c r="B1819" s="1" t="n">
        <v>44917.58131944444</v>
      </c>
      <c r="C1819" s="1" t="n">
        <v>45957</v>
      </c>
      <c r="D1819" t="inlineStr">
        <is>
          <t>KRONOBERGS LÄN</t>
        </is>
      </c>
      <c r="E1819" t="inlineStr">
        <is>
          <t>UPPVIDINGE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4017-2024</t>
        </is>
      </c>
      <c r="B1820" s="1" t="n">
        <v>45323</v>
      </c>
      <c r="C1820" s="1" t="n">
        <v>45957</v>
      </c>
      <c r="D1820" t="inlineStr">
        <is>
          <t>KRONOBERGS LÄN</t>
        </is>
      </c>
      <c r="E1820" t="inlineStr">
        <is>
          <t>LJUNGBY</t>
        </is>
      </c>
      <c r="F1820" t="inlineStr">
        <is>
          <t>Kommuner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63102-2023</t>
        </is>
      </c>
      <c r="B1821" s="1" t="n">
        <v>45273</v>
      </c>
      <c r="C1821" s="1" t="n">
        <v>45957</v>
      </c>
      <c r="D1821" t="inlineStr">
        <is>
          <t>KRONOBERGS LÄN</t>
        </is>
      </c>
      <c r="E1821" t="inlineStr">
        <is>
          <t>VÄXJÖ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6814-2021</t>
        </is>
      </c>
      <c r="B1822" s="1" t="n">
        <v>44237</v>
      </c>
      <c r="C1822" s="1" t="n">
        <v>45957</v>
      </c>
      <c r="D1822" t="inlineStr">
        <is>
          <t>KRONOBERGS LÄN</t>
        </is>
      </c>
      <c r="E1822" t="inlineStr">
        <is>
          <t>VÄXJÖ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44855-2021</t>
        </is>
      </c>
      <c r="B1823" s="1" t="n">
        <v>44438</v>
      </c>
      <c r="C1823" s="1" t="n">
        <v>45957</v>
      </c>
      <c r="D1823" t="inlineStr">
        <is>
          <t>KRONOBERGS LÄN</t>
        </is>
      </c>
      <c r="E1823" t="inlineStr">
        <is>
          <t>ÄLMHULT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6812-2024</t>
        </is>
      </c>
      <c r="B1824" s="1" t="n">
        <v>45342.58723379629</v>
      </c>
      <c r="C1824" s="1" t="n">
        <v>45957</v>
      </c>
      <c r="D1824" t="inlineStr">
        <is>
          <t>KRONOBERGS LÄN</t>
        </is>
      </c>
      <c r="E1824" t="inlineStr">
        <is>
          <t>ALVESTA</t>
        </is>
      </c>
      <c r="G1824" t="n">
        <v>1.4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35997-2024</t>
        </is>
      </c>
      <c r="B1825" s="1" t="n">
        <v>45533.54414351852</v>
      </c>
      <c r="C1825" s="1" t="n">
        <v>45957</v>
      </c>
      <c r="D1825" t="inlineStr">
        <is>
          <t>KRONOBERGS LÄN</t>
        </is>
      </c>
      <c r="E1825" t="inlineStr">
        <is>
          <t>TINGSRYD</t>
        </is>
      </c>
      <c r="G1825" t="n">
        <v>4.4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36000-2024</t>
        </is>
      </c>
      <c r="B1826" s="1" t="n">
        <v>45533.54564814815</v>
      </c>
      <c r="C1826" s="1" t="n">
        <v>45957</v>
      </c>
      <c r="D1826" t="inlineStr">
        <is>
          <t>KRONOBERGS LÄN</t>
        </is>
      </c>
      <c r="E1826" t="inlineStr">
        <is>
          <t>ÄLMHULT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58747-2022</t>
        </is>
      </c>
      <c r="B1827" s="1" t="n">
        <v>44903.32229166666</v>
      </c>
      <c r="C1827" s="1" t="n">
        <v>45957</v>
      </c>
      <c r="D1827" t="inlineStr">
        <is>
          <t>KRONOBERGS LÄN</t>
        </is>
      </c>
      <c r="E1827" t="inlineStr">
        <is>
          <t>TINGSRYD</t>
        </is>
      </c>
      <c r="G1827" t="n">
        <v>1.4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11787-2024</t>
        </is>
      </c>
      <c r="B1828" s="1" t="n">
        <v>45374.78101851852</v>
      </c>
      <c r="C1828" s="1" t="n">
        <v>45957</v>
      </c>
      <c r="D1828" t="inlineStr">
        <is>
          <t>KRONOBERGS LÄN</t>
        </is>
      </c>
      <c r="E1828" t="inlineStr">
        <is>
          <t>ÄLMHULT</t>
        </is>
      </c>
      <c r="G1828" t="n">
        <v>2.3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38396-2025</t>
        </is>
      </c>
      <c r="B1829" s="1" t="n">
        <v>45883.58010416666</v>
      </c>
      <c r="C1829" s="1" t="n">
        <v>45957</v>
      </c>
      <c r="D1829" t="inlineStr">
        <is>
          <t>KRONOBERGS LÄN</t>
        </is>
      </c>
      <c r="E1829" t="inlineStr">
        <is>
          <t>VÄXJÖ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5730-2023</t>
        </is>
      </c>
      <c r="B1830" s="1" t="n">
        <v>44962</v>
      </c>
      <c r="C1830" s="1" t="n">
        <v>45957</v>
      </c>
      <c r="D1830" t="inlineStr">
        <is>
          <t>KRONOBERGS LÄN</t>
        </is>
      </c>
      <c r="E1830" t="inlineStr">
        <is>
          <t>ÄLMHULT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38860-2024</t>
        </is>
      </c>
      <c r="B1831" s="1" t="n">
        <v>45547.62819444444</v>
      </c>
      <c r="C1831" s="1" t="n">
        <v>45957</v>
      </c>
      <c r="D1831" t="inlineStr">
        <is>
          <t>KRONOBERGS LÄN</t>
        </is>
      </c>
      <c r="E1831" t="inlineStr">
        <is>
          <t>UPPVIDINGE</t>
        </is>
      </c>
      <c r="G1831" t="n">
        <v>0.3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11515-2025</t>
        </is>
      </c>
      <c r="B1832" s="1" t="n">
        <v>45726.88268518518</v>
      </c>
      <c r="C1832" s="1" t="n">
        <v>45957</v>
      </c>
      <c r="D1832" t="inlineStr">
        <is>
          <t>KRONOBERGS LÄN</t>
        </is>
      </c>
      <c r="E1832" t="inlineStr">
        <is>
          <t>ALVESTA</t>
        </is>
      </c>
      <c r="G1832" t="n">
        <v>2.2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61117-2023</t>
        </is>
      </c>
      <c r="B1833" s="1" t="n">
        <v>45261</v>
      </c>
      <c r="C1833" s="1" t="n">
        <v>45957</v>
      </c>
      <c r="D1833" t="inlineStr">
        <is>
          <t>KRONOBERGS LÄN</t>
        </is>
      </c>
      <c r="E1833" t="inlineStr">
        <is>
          <t>TINGSRYD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21805-2025</t>
        </is>
      </c>
      <c r="B1834" s="1" t="n">
        <v>45783.7002662037</v>
      </c>
      <c r="C1834" s="1" t="n">
        <v>45957</v>
      </c>
      <c r="D1834" t="inlineStr">
        <is>
          <t>KRONOBERGS LÄN</t>
        </is>
      </c>
      <c r="E1834" t="inlineStr">
        <is>
          <t>LJUNGBY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21807-2025</t>
        </is>
      </c>
      <c r="B1835" s="1" t="n">
        <v>45783.70811342593</v>
      </c>
      <c r="C1835" s="1" t="n">
        <v>45957</v>
      </c>
      <c r="D1835" t="inlineStr">
        <is>
          <t>KRONOBERGS LÄN</t>
        </is>
      </c>
      <c r="E1835" t="inlineStr">
        <is>
          <t>LJUNGBY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21926-2025</t>
        </is>
      </c>
      <c r="B1836" s="1" t="n">
        <v>45784.54696759259</v>
      </c>
      <c r="C1836" s="1" t="n">
        <v>45957</v>
      </c>
      <c r="D1836" t="inlineStr">
        <is>
          <t>KRONOBERGS LÄN</t>
        </is>
      </c>
      <c r="E1836" t="inlineStr">
        <is>
          <t>MARKARYD</t>
        </is>
      </c>
      <c r="G1836" t="n">
        <v>3.2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21809-2025</t>
        </is>
      </c>
      <c r="B1837" s="1" t="n">
        <v>45783.71136574074</v>
      </c>
      <c r="C1837" s="1" t="n">
        <v>45957</v>
      </c>
      <c r="D1837" t="inlineStr">
        <is>
          <t>KRONOBERGS LÄN</t>
        </is>
      </c>
      <c r="E1837" t="inlineStr">
        <is>
          <t>LJUNGBY</t>
        </is>
      </c>
      <c r="G1837" t="n">
        <v>0.6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38859-2024</t>
        </is>
      </c>
      <c r="B1838" s="1" t="n">
        <v>45547.62703703704</v>
      </c>
      <c r="C1838" s="1" t="n">
        <v>45957</v>
      </c>
      <c r="D1838" t="inlineStr">
        <is>
          <t>KRONOBERGS LÄN</t>
        </is>
      </c>
      <c r="E1838" t="inlineStr">
        <is>
          <t>UPPVIDINGE</t>
        </is>
      </c>
      <c r="G1838" t="n">
        <v>0.2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21695-2025</t>
        </is>
      </c>
      <c r="B1839" s="1" t="n">
        <v>45783.50424768519</v>
      </c>
      <c r="C1839" s="1" t="n">
        <v>45957</v>
      </c>
      <c r="D1839" t="inlineStr">
        <is>
          <t>KRONOBERGS LÄN</t>
        </is>
      </c>
      <c r="E1839" t="inlineStr">
        <is>
          <t>VÄXJÖ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20621-2024</t>
        </is>
      </c>
      <c r="B1840" s="1" t="n">
        <v>45436.46103009259</v>
      </c>
      <c r="C1840" s="1" t="n">
        <v>45957</v>
      </c>
      <c r="D1840" t="inlineStr">
        <is>
          <t>KRONOBERGS LÄN</t>
        </is>
      </c>
      <c r="E1840" t="inlineStr">
        <is>
          <t>VÄXJÖ</t>
        </is>
      </c>
      <c r="G1840" t="n">
        <v>1.6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20628-2024</t>
        </is>
      </c>
      <c r="B1841" s="1" t="n">
        <v>45436.47261574074</v>
      </c>
      <c r="C1841" s="1" t="n">
        <v>45957</v>
      </c>
      <c r="D1841" t="inlineStr">
        <is>
          <t>KRONOBERGS LÄN</t>
        </is>
      </c>
      <c r="E1841" t="inlineStr">
        <is>
          <t>ALVESTA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39850-2024</t>
        </is>
      </c>
      <c r="B1842" s="1" t="n">
        <v>45553.43114583333</v>
      </c>
      <c r="C1842" s="1" t="n">
        <v>45957</v>
      </c>
      <c r="D1842" t="inlineStr">
        <is>
          <t>KRONOBERGS LÄN</t>
        </is>
      </c>
      <c r="E1842" t="inlineStr">
        <is>
          <t>TINGSRYD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17610-2025</t>
        </is>
      </c>
      <c r="B1843" s="1" t="n">
        <v>45757.77708333333</v>
      </c>
      <c r="C1843" s="1" t="n">
        <v>45957</v>
      </c>
      <c r="D1843" t="inlineStr">
        <is>
          <t>KRONOBERGS LÄN</t>
        </is>
      </c>
      <c r="E1843" t="inlineStr">
        <is>
          <t>LESSEBO</t>
        </is>
      </c>
      <c r="F1843" t="inlineStr">
        <is>
          <t>Sveaskog</t>
        </is>
      </c>
      <c r="G1843" t="n">
        <v>0.7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21951-2025</t>
        </is>
      </c>
      <c r="B1844" s="1" t="n">
        <v>45784.59821759259</v>
      </c>
      <c r="C1844" s="1" t="n">
        <v>45957</v>
      </c>
      <c r="D1844" t="inlineStr">
        <is>
          <t>KRONOBERGS LÄN</t>
        </is>
      </c>
      <c r="E1844" t="inlineStr">
        <is>
          <t>LESSEBO</t>
        </is>
      </c>
      <c r="F1844" t="inlineStr">
        <is>
          <t>Kommuner</t>
        </is>
      </c>
      <c r="G1844" t="n">
        <v>3.8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28640-2023</t>
        </is>
      </c>
      <c r="B1845" s="1" t="n">
        <v>45103</v>
      </c>
      <c r="C1845" s="1" t="n">
        <v>45957</v>
      </c>
      <c r="D1845" t="inlineStr">
        <is>
          <t>KRONOBERGS LÄN</t>
        </is>
      </c>
      <c r="E1845" t="inlineStr">
        <is>
          <t>TINGSRYD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21813-2025</t>
        </is>
      </c>
      <c r="B1846" s="1" t="n">
        <v>45783.71869212963</v>
      </c>
      <c r="C1846" s="1" t="n">
        <v>45957</v>
      </c>
      <c r="D1846" t="inlineStr">
        <is>
          <t>KRONOBERGS LÄN</t>
        </is>
      </c>
      <c r="E1846" t="inlineStr">
        <is>
          <t>LJUNGBY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21816-2025</t>
        </is>
      </c>
      <c r="B1847" s="1" t="n">
        <v>45783.7308912037</v>
      </c>
      <c r="C1847" s="1" t="n">
        <v>45957</v>
      </c>
      <c r="D1847" t="inlineStr">
        <is>
          <t>KRONOBERGS LÄN</t>
        </is>
      </c>
      <c r="E1847" t="inlineStr">
        <is>
          <t>LJUNGBY</t>
        </is>
      </c>
      <c r="G1847" t="n">
        <v>0.3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29477-2023</t>
        </is>
      </c>
      <c r="B1848" s="1" t="n">
        <v>45106.5721875</v>
      </c>
      <c r="C1848" s="1" t="n">
        <v>45957</v>
      </c>
      <c r="D1848" t="inlineStr">
        <is>
          <t>KRONOBERGS LÄN</t>
        </is>
      </c>
      <c r="E1848" t="inlineStr">
        <is>
          <t>VÄXJÖ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43308-2023</t>
        </is>
      </c>
      <c r="B1849" s="1" t="n">
        <v>45183.60244212963</v>
      </c>
      <c r="C1849" s="1" t="n">
        <v>45957</v>
      </c>
      <c r="D1849" t="inlineStr">
        <is>
          <t>KRONOBERGS LÄN</t>
        </is>
      </c>
      <c r="E1849" t="inlineStr">
        <is>
          <t>TINGSRYD</t>
        </is>
      </c>
      <c r="G1849" t="n">
        <v>3.7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28124-2023</t>
        </is>
      </c>
      <c r="B1850" s="1" t="n">
        <v>45099</v>
      </c>
      <c r="C1850" s="1" t="n">
        <v>45957</v>
      </c>
      <c r="D1850" t="inlineStr">
        <is>
          <t>KRONOBERGS LÄN</t>
        </is>
      </c>
      <c r="E1850" t="inlineStr">
        <is>
          <t>LJUNGBY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20609-2024</t>
        </is>
      </c>
      <c r="B1851" s="1" t="n">
        <v>45436.4487962963</v>
      </c>
      <c r="C1851" s="1" t="n">
        <v>45957</v>
      </c>
      <c r="D1851" t="inlineStr">
        <is>
          <t>KRONOBERGS LÄN</t>
        </is>
      </c>
      <c r="E1851" t="inlineStr">
        <is>
          <t>ALVESTA</t>
        </is>
      </c>
      <c r="G1851" t="n">
        <v>0.9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36235-2024</t>
        </is>
      </c>
      <c r="B1852" s="1" t="n">
        <v>45534.49916666667</v>
      </c>
      <c r="C1852" s="1" t="n">
        <v>45957</v>
      </c>
      <c r="D1852" t="inlineStr">
        <is>
          <t>KRONOBERGS LÄN</t>
        </is>
      </c>
      <c r="E1852" t="inlineStr">
        <is>
          <t>VÄXJÖ</t>
        </is>
      </c>
      <c r="G1852" t="n">
        <v>1.4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21914-2025</t>
        </is>
      </c>
      <c r="B1853" s="1" t="n">
        <v>45784.4921412037</v>
      </c>
      <c r="C1853" s="1" t="n">
        <v>45957</v>
      </c>
      <c r="D1853" t="inlineStr">
        <is>
          <t>KRONOBERGS LÄN</t>
        </is>
      </c>
      <c r="E1853" t="inlineStr">
        <is>
          <t>TINGSRYD</t>
        </is>
      </c>
      <c r="G1853" t="n">
        <v>4.9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21923-2025</t>
        </is>
      </c>
      <c r="B1854" s="1" t="n">
        <v>45784.54361111111</v>
      </c>
      <c r="C1854" s="1" t="n">
        <v>45957</v>
      </c>
      <c r="D1854" t="inlineStr">
        <is>
          <t>KRONOBERGS LÄN</t>
        </is>
      </c>
      <c r="E1854" t="inlineStr">
        <is>
          <t>MARKARYD</t>
        </is>
      </c>
      <c r="G1854" t="n">
        <v>1.4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46221-2025</t>
        </is>
      </c>
      <c r="B1855" s="1" t="n">
        <v>45924.8712037037</v>
      </c>
      <c r="C1855" s="1" t="n">
        <v>45957</v>
      </c>
      <c r="D1855" t="inlineStr">
        <is>
          <t>KRONOBERGS LÄN</t>
        </is>
      </c>
      <c r="E1855" t="inlineStr">
        <is>
          <t>LJUNGBY</t>
        </is>
      </c>
      <c r="G1855" t="n">
        <v>0.8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46228-2025</t>
        </is>
      </c>
      <c r="B1856" s="1" t="n">
        <v>45924.93190972223</v>
      </c>
      <c r="C1856" s="1" t="n">
        <v>45957</v>
      </c>
      <c r="D1856" t="inlineStr">
        <is>
          <t>KRONOBERGS LÄN</t>
        </is>
      </c>
      <c r="E1856" t="inlineStr">
        <is>
          <t>LJUNGBY</t>
        </is>
      </c>
      <c r="G1856" t="n">
        <v>0.7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43988-2022</t>
        </is>
      </c>
      <c r="B1857" s="1" t="n">
        <v>44838</v>
      </c>
      <c r="C1857" s="1" t="n">
        <v>45957</v>
      </c>
      <c r="D1857" t="inlineStr">
        <is>
          <t>KRONOBERGS LÄN</t>
        </is>
      </c>
      <c r="E1857" t="inlineStr">
        <is>
          <t>UPPVIDINGE</t>
        </is>
      </c>
      <c r="G1857" t="n">
        <v>12.2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7911-2023</t>
        </is>
      </c>
      <c r="B1858" s="1" t="n">
        <v>44973</v>
      </c>
      <c r="C1858" s="1" t="n">
        <v>45957</v>
      </c>
      <c r="D1858" t="inlineStr">
        <is>
          <t>KRONOBERGS LÄN</t>
        </is>
      </c>
      <c r="E1858" t="inlineStr">
        <is>
          <t>ÄLMHULT</t>
        </is>
      </c>
      <c r="G1858" t="n">
        <v>1.6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38148-2023</t>
        </is>
      </c>
      <c r="B1859" s="1" t="n">
        <v>45161</v>
      </c>
      <c r="C1859" s="1" t="n">
        <v>45957</v>
      </c>
      <c r="D1859" t="inlineStr">
        <is>
          <t>KRONOBERGS LÄN</t>
        </is>
      </c>
      <c r="E1859" t="inlineStr">
        <is>
          <t>LJUNGBY</t>
        </is>
      </c>
      <c r="G1859" t="n">
        <v>2.9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15673-2023</t>
        </is>
      </c>
      <c r="B1860" s="1" t="n">
        <v>45021</v>
      </c>
      <c r="C1860" s="1" t="n">
        <v>45957</v>
      </c>
      <c r="D1860" t="inlineStr">
        <is>
          <t>KRONOBERGS LÄN</t>
        </is>
      </c>
      <c r="E1860" t="inlineStr">
        <is>
          <t>LJUNGBY</t>
        </is>
      </c>
      <c r="G1860" t="n">
        <v>2.5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52497-2024</t>
        </is>
      </c>
      <c r="B1861" s="1" t="n">
        <v>45609.57759259259</v>
      </c>
      <c r="C1861" s="1" t="n">
        <v>45957</v>
      </c>
      <c r="D1861" t="inlineStr">
        <is>
          <t>KRONOBERGS LÄN</t>
        </is>
      </c>
      <c r="E1861" t="inlineStr">
        <is>
          <t>MARKARYD</t>
        </is>
      </c>
      <c r="G1861" t="n">
        <v>1.8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59269-2024</t>
        </is>
      </c>
      <c r="B1862" s="1" t="n">
        <v>45637.61474537037</v>
      </c>
      <c r="C1862" s="1" t="n">
        <v>45957</v>
      </c>
      <c r="D1862" t="inlineStr">
        <is>
          <t>KRONOBERGS LÄN</t>
        </is>
      </c>
      <c r="E1862" t="inlineStr">
        <is>
          <t>MARKARYD</t>
        </is>
      </c>
      <c r="F1862" t="inlineStr">
        <is>
          <t>Övriga Aktiebolag</t>
        </is>
      </c>
      <c r="G1862" t="n">
        <v>3.7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21674-2025</t>
        </is>
      </c>
      <c r="B1863" s="1" t="n">
        <v>45783.47896990741</v>
      </c>
      <c r="C1863" s="1" t="n">
        <v>45957</v>
      </c>
      <c r="D1863" t="inlineStr">
        <is>
          <t>KRONOBERGS LÄN</t>
        </is>
      </c>
      <c r="E1863" t="inlineStr">
        <is>
          <t>UPPVIDINGE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21819-2025</t>
        </is>
      </c>
      <c r="B1864" s="1" t="n">
        <v>45783.74034722222</v>
      </c>
      <c r="C1864" s="1" t="n">
        <v>45957</v>
      </c>
      <c r="D1864" t="inlineStr">
        <is>
          <t>KRONOBERGS LÄN</t>
        </is>
      </c>
      <c r="E1864" t="inlineStr">
        <is>
          <t>LJUNGBY</t>
        </is>
      </c>
      <c r="G1864" t="n">
        <v>0.6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28731-2024</t>
        </is>
      </c>
      <c r="B1865" s="1" t="n">
        <v>45478.56365740741</v>
      </c>
      <c r="C1865" s="1" t="n">
        <v>45957</v>
      </c>
      <c r="D1865" t="inlineStr">
        <is>
          <t>KRONOBERGS LÄN</t>
        </is>
      </c>
      <c r="E1865" t="inlineStr">
        <is>
          <t>VÄXJÖ</t>
        </is>
      </c>
      <c r="G1865" t="n">
        <v>0.9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23288-2024</t>
        </is>
      </c>
      <c r="B1866" s="1" t="n">
        <v>45453.42097222222</v>
      </c>
      <c r="C1866" s="1" t="n">
        <v>45957</v>
      </c>
      <c r="D1866" t="inlineStr">
        <is>
          <t>KRONOBERGS LÄN</t>
        </is>
      </c>
      <c r="E1866" t="inlineStr">
        <is>
          <t>MARKARYD</t>
        </is>
      </c>
      <c r="G1866" t="n">
        <v>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22012-2025</t>
        </is>
      </c>
      <c r="B1867" s="1" t="n">
        <v>45784.74020833334</v>
      </c>
      <c r="C1867" s="1" t="n">
        <v>45957</v>
      </c>
      <c r="D1867" t="inlineStr">
        <is>
          <t>KRONOBERGS LÄN</t>
        </is>
      </c>
      <c r="E1867" t="inlineStr">
        <is>
          <t>LJUNGBY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59262-2024</t>
        </is>
      </c>
      <c r="B1868" s="1" t="n">
        <v>45637.60519675926</v>
      </c>
      <c r="C1868" s="1" t="n">
        <v>45957</v>
      </c>
      <c r="D1868" t="inlineStr">
        <is>
          <t>KRONOBERGS LÄN</t>
        </is>
      </c>
      <c r="E1868" t="inlineStr">
        <is>
          <t>MARKARYD</t>
        </is>
      </c>
      <c r="F1868" t="inlineStr">
        <is>
          <t>Övriga Aktiebolag</t>
        </is>
      </c>
      <c r="G1868" t="n">
        <v>2.3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24981-2023</t>
        </is>
      </c>
      <c r="B1869" s="1" t="n">
        <v>45085</v>
      </c>
      <c r="C1869" s="1" t="n">
        <v>45957</v>
      </c>
      <c r="D1869" t="inlineStr">
        <is>
          <t>KRONOBERGS LÄN</t>
        </is>
      </c>
      <c r="E1869" t="inlineStr">
        <is>
          <t>TINGSRYD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22153-2024</t>
        </is>
      </c>
      <c r="B1870" s="1" t="n">
        <v>45445.42417824074</v>
      </c>
      <c r="C1870" s="1" t="n">
        <v>45957</v>
      </c>
      <c r="D1870" t="inlineStr">
        <is>
          <t>KRONOBERGS LÄN</t>
        </is>
      </c>
      <c r="E1870" t="inlineStr">
        <is>
          <t>TINGSRYD</t>
        </is>
      </c>
      <c r="G1870" t="n">
        <v>2.1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32072-2023</t>
        </is>
      </c>
      <c r="B1871" s="1" t="n">
        <v>45119.57798611111</v>
      </c>
      <c r="C1871" s="1" t="n">
        <v>45957</v>
      </c>
      <c r="D1871" t="inlineStr">
        <is>
          <t>KRONOBERGS LÄN</t>
        </is>
      </c>
      <c r="E1871" t="inlineStr">
        <is>
          <t>LJUNGBY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22221-2024</t>
        </is>
      </c>
      <c r="B1872" s="1" t="n">
        <v>45446.40025462963</v>
      </c>
      <c r="C1872" s="1" t="n">
        <v>45957</v>
      </c>
      <c r="D1872" t="inlineStr">
        <is>
          <t>KRONOBERGS LÄN</t>
        </is>
      </c>
      <c r="E1872" t="inlineStr">
        <is>
          <t>VÄXJÖ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48953-2024</t>
        </is>
      </c>
      <c r="B1873" s="1" t="n">
        <v>45594</v>
      </c>
      <c r="C1873" s="1" t="n">
        <v>45957</v>
      </c>
      <c r="D1873" t="inlineStr">
        <is>
          <t>KRONOBERGS LÄN</t>
        </is>
      </c>
      <c r="E1873" t="inlineStr">
        <is>
          <t>TINGSRYD</t>
        </is>
      </c>
      <c r="G1873" t="n">
        <v>4.3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64635-2023</t>
        </is>
      </c>
      <c r="B1874" s="1" t="n">
        <v>45281.5508449074</v>
      </c>
      <c r="C1874" s="1" t="n">
        <v>45957</v>
      </c>
      <c r="D1874" t="inlineStr">
        <is>
          <t>KRONOBERGS LÄN</t>
        </is>
      </c>
      <c r="E1874" t="inlineStr">
        <is>
          <t>LESSEBO</t>
        </is>
      </c>
      <c r="G1874" t="n">
        <v>1.6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25664-2024</t>
        </is>
      </c>
      <c r="B1875" s="1" t="n">
        <v>45463</v>
      </c>
      <c r="C1875" s="1" t="n">
        <v>45957</v>
      </c>
      <c r="D1875" t="inlineStr">
        <is>
          <t>KRONOBERGS LÄN</t>
        </is>
      </c>
      <c r="E1875" t="inlineStr">
        <is>
          <t>VÄXJÖ</t>
        </is>
      </c>
      <c r="G1875" t="n">
        <v>1.6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25179-2024</t>
        </is>
      </c>
      <c r="B1876" s="1" t="n">
        <v>45462.54887731482</v>
      </c>
      <c r="C1876" s="1" t="n">
        <v>45957</v>
      </c>
      <c r="D1876" t="inlineStr">
        <is>
          <t>KRONOBERGS LÄN</t>
        </is>
      </c>
      <c r="E1876" t="inlineStr">
        <is>
          <t>ALVESTA</t>
        </is>
      </c>
      <c r="G1876" t="n">
        <v>2.1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59065-2022</t>
        </is>
      </c>
      <c r="B1877" s="1" t="n">
        <v>44904.33903935185</v>
      </c>
      <c r="C1877" s="1" t="n">
        <v>45957</v>
      </c>
      <c r="D1877" t="inlineStr">
        <is>
          <t>KRONOBERGS LÄN</t>
        </is>
      </c>
      <c r="E1877" t="inlineStr">
        <is>
          <t>VÄXJÖ</t>
        </is>
      </c>
      <c r="G1877" t="n">
        <v>1.2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59066-2022</t>
        </is>
      </c>
      <c r="B1878" s="1" t="n">
        <v>44904.34511574074</v>
      </c>
      <c r="C1878" s="1" t="n">
        <v>45957</v>
      </c>
      <c r="D1878" t="inlineStr">
        <is>
          <t>KRONOBERGS LÄN</t>
        </is>
      </c>
      <c r="E1878" t="inlineStr">
        <is>
          <t>VÄXJÖ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6451-2021</t>
        </is>
      </c>
      <c r="B1879" s="1" t="n">
        <v>44235</v>
      </c>
      <c r="C1879" s="1" t="n">
        <v>45957</v>
      </c>
      <c r="D1879" t="inlineStr">
        <is>
          <t>KRONOBERGS LÄN</t>
        </is>
      </c>
      <c r="E1879" t="inlineStr">
        <is>
          <t>VÄXJÖ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58927-2023</t>
        </is>
      </c>
      <c r="B1880" s="1" t="n">
        <v>45252</v>
      </c>
      <c r="C1880" s="1" t="n">
        <v>45957</v>
      </c>
      <c r="D1880" t="inlineStr">
        <is>
          <t>KRONOBERGS LÄN</t>
        </is>
      </c>
      <c r="E1880" t="inlineStr">
        <is>
          <t>TINGSRYD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48306-2024</t>
        </is>
      </c>
      <c r="B1881" s="1" t="n">
        <v>45590</v>
      </c>
      <c r="C1881" s="1" t="n">
        <v>45957</v>
      </c>
      <c r="D1881" t="inlineStr">
        <is>
          <t>KRONOBERGS LÄN</t>
        </is>
      </c>
      <c r="E1881" t="inlineStr">
        <is>
          <t>TINGSRYD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19818-2024</t>
        </is>
      </c>
      <c r="B1882" s="1" t="n">
        <v>45433.33723379629</v>
      </c>
      <c r="C1882" s="1" t="n">
        <v>45957</v>
      </c>
      <c r="D1882" t="inlineStr">
        <is>
          <t>KRONOBERGS LÄN</t>
        </is>
      </c>
      <c r="E1882" t="inlineStr">
        <is>
          <t>ÄLMHULT</t>
        </is>
      </c>
      <c r="G1882" t="n">
        <v>0.7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38875-2022</t>
        </is>
      </c>
      <c r="B1883" s="1" t="n">
        <v>44816</v>
      </c>
      <c r="C1883" s="1" t="n">
        <v>45957</v>
      </c>
      <c r="D1883" t="inlineStr">
        <is>
          <t>KRONOBERGS LÄN</t>
        </is>
      </c>
      <c r="E1883" t="inlineStr">
        <is>
          <t>ALVESTA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17130-2025</t>
        </is>
      </c>
      <c r="B1884" s="1" t="n">
        <v>45755.74106481481</v>
      </c>
      <c r="C1884" s="1" t="n">
        <v>45957</v>
      </c>
      <c r="D1884" t="inlineStr">
        <is>
          <t>KRONOBERGS LÄN</t>
        </is>
      </c>
      <c r="E1884" t="inlineStr">
        <is>
          <t>TINGSRYD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8251-2025</t>
        </is>
      </c>
      <c r="B1885" s="1" t="n">
        <v>45708.4921412037</v>
      </c>
      <c r="C1885" s="1" t="n">
        <v>45957</v>
      </c>
      <c r="D1885" t="inlineStr">
        <is>
          <t>KRONOBERGS LÄN</t>
        </is>
      </c>
      <c r="E1885" t="inlineStr">
        <is>
          <t>LJUNGBY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25961-2023</t>
        </is>
      </c>
      <c r="B1886" s="1" t="n">
        <v>45090.77837962963</v>
      </c>
      <c r="C1886" s="1" t="n">
        <v>45957</v>
      </c>
      <c r="D1886" t="inlineStr">
        <is>
          <t>KRONOBERGS LÄN</t>
        </is>
      </c>
      <c r="E1886" t="inlineStr">
        <is>
          <t>VÄXJÖ</t>
        </is>
      </c>
      <c r="G1886" t="n">
        <v>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57519-2022</t>
        </is>
      </c>
      <c r="B1887" s="1" t="n">
        <v>44896.66025462963</v>
      </c>
      <c r="C1887" s="1" t="n">
        <v>45957</v>
      </c>
      <c r="D1887" t="inlineStr">
        <is>
          <t>KRONOBERGS LÄN</t>
        </is>
      </c>
      <c r="E1887" t="inlineStr">
        <is>
          <t>LESSEBO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59114-2022</t>
        </is>
      </c>
      <c r="B1888" s="1" t="n">
        <v>44897</v>
      </c>
      <c r="C1888" s="1" t="n">
        <v>45957</v>
      </c>
      <c r="D1888" t="inlineStr">
        <is>
          <t>KRONOBERGS LÄN</t>
        </is>
      </c>
      <c r="E1888" t="inlineStr">
        <is>
          <t>ÄLMHULT</t>
        </is>
      </c>
      <c r="G1888" t="n">
        <v>2.8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54629-2022</t>
        </is>
      </c>
      <c r="B1889" s="1" t="n">
        <v>44883.38564814815</v>
      </c>
      <c r="C1889" s="1" t="n">
        <v>45957</v>
      </c>
      <c r="D1889" t="inlineStr">
        <is>
          <t>KRONOBERGS LÄN</t>
        </is>
      </c>
      <c r="E1889" t="inlineStr">
        <is>
          <t>ÄLMHULT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42002-2024</t>
        </is>
      </c>
      <c r="B1890" s="1" t="n">
        <v>45561.66087962963</v>
      </c>
      <c r="C1890" s="1" t="n">
        <v>45957</v>
      </c>
      <c r="D1890" t="inlineStr">
        <is>
          <t>KRONOBERGS LÄN</t>
        </is>
      </c>
      <c r="E1890" t="inlineStr">
        <is>
          <t>VÄXJÖ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13680-2025</t>
        </is>
      </c>
      <c r="B1891" s="1" t="n">
        <v>45737.26609953704</v>
      </c>
      <c r="C1891" s="1" t="n">
        <v>45957</v>
      </c>
      <c r="D1891" t="inlineStr">
        <is>
          <t>KRONOBERGS LÄN</t>
        </is>
      </c>
      <c r="E1891" t="inlineStr">
        <is>
          <t>ÄLMHULT</t>
        </is>
      </c>
      <c r="G1891" t="n">
        <v>2.8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46728-2025</t>
        </is>
      </c>
      <c r="B1892" s="1" t="n">
        <v>45926.59025462963</v>
      </c>
      <c r="C1892" s="1" t="n">
        <v>45957</v>
      </c>
      <c r="D1892" t="inlineStr">
        <is>
          <t>KRONOBERGS LÄN</t>
        </is>
      </c>
      <c r="E1892" t="inlineStr">
        <is>
          <t>TINGSRYD</t>
        </is>
      </c>
      <c r="G1892" t="n">
        <v>5.5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64999-2023</t>
        </is>
      </c>
      <c r="B1893" s="1" t="n">
        <v>45286.74935185185</v>
      </c>
      <c r="C1893" s="1" t="n">
        <v>45957</v>
      </c>
      <c r="D1893" t="inlineStr">
        <is>
          <t>KRONOBERGS LÄN</t>
        </is>
      </c>
      <c r="E1893" t="inlineStr">
        <is>
          <t>ÄLMHULT</t>
        </is>
      </c>
      <c r="G1893" t="n">
        <v>1.3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5760-2023</t>
        </is>
      </c>
      <c r="B1894" s="1" t="n">
        <v>44963</v>
      </c>
      <c r="C1894" s="1" t="n">
        <v>45957</v>
      </c>
      <c r="D1894" t="inlineStr">
        <is>
          <t>KRONOBERGS LÄN</t>
        </is>
      </c>
      <c r="E1894" t="inlineStr">
        <is>
          <t>VÄXJÖ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5761-2023</t>
        </is>
      </c>
      <c r="B1895" s="1" t="n">
        <v>44963</v>
      </c>
      <c r="C1895" s="1" t="n">
        <v>45957</v>
      </c>
      <c r="D1895" t="inlineStr">
        <is>
          <t>KRONOBERGS LÄN</t>
        </is>
      </c>
      <c r="E1895" t="inlineStr">
        <is>
          <t>VÄXJÖ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5764-2023</t>
        </is>
      </c>
      <c r="B1896" s="1" t="n">
        <v>44963</v>
      </c>
      <c r="C1896" s="1" t="n">
        <v>45957</v>
      </c>
      <c r="D1896" t="inlineStr">
        <is>
          <t>KRONOBERGS LÄN</t>
        </is>
      </c>
      <c r="E1896" t="inlineStr">
        <is>
          <t>VÄXJÖ</t>
        </is>
      </c>
      <c r="G1896" t="n">
        <v>3.2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35135-2021</t>
        </is>
      </c>
      <c r="B1897" s="1" t="n">
        <v>44384.39820601852</v>
      </c>
      <c r="C1897" s="1" t="n">
        <v>45957</v>
      </c>
      <c r="D1897" t="inlineStr">
        <is>
          <t>KRONOBERGS LÄN</t>
        </is>
      </c>
      <c r="E1897" t="inlineStr">
        <is>
          <t>LJUNGBY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35179-2021</t>
        </is>
      </c>
      <c r="B1898" s="1" t="n">
        <v>44384</v>
      </c>
      <c r="C1898" s="1" t="n">
        <v>45957</v>
      </c>
      <c r="D1898" t="inlineStr">
        <is>
          <t>KRONOBERGS LÄN</t>
        </is>
      </c>
      <c r="E1898" t="inlineStr">
        <is>
          <t>VÄXJÖ</t>
        </is>
      </c>
      <c r="G1898" t="n">
        <v>4.2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37029-2022</t>
        </is>
      </c>
      <c r="B1899" s="1" t="n">
        <v>44806.43237268519</v>
      </c>
      <c r="C1899" s="1" t="n">
        <v>45957</v>
      </c>
      <c r="D1899" t="inlineStr">
        <is>
          <t>KRONOBERGS LÄN</t>
        </is>
      </c>
      <c r="E1899" t="inlineStr">
        <is>
          <t>MARKARYD</t>
        </is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59454-2024</t>
        </is>
      </c>
      <c r="B1900" s="1" t="n">
        <v>45638.46824074074</v>
      </c>
      <c r="C1900" s="1" t="n">
        <v>45957</v>
      </c>
      <c r="D1900" t="inlineStr">
        <is>
          <t>KRONOBERGS LÄN</t>
        </is>
      </c>
      <c r="E1900" t="inlineStr">
        <is>
          <t>ÄLMHULT</t>
        </is>
      </c>
      <c r="G1900" t="n">
        <v>2.2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22039-2025</t>
        </is>
      </c>
      <c r="B1901" s="1" t="n">
        <v>45785.32844907408</v>
      </c>
      <c r="C1901" s="1" t="n">
        <v>45957</v>
      </c>
      <c r="D1901" t="inlineStr">
        <is>
          <t>KRONOBERGS LÄN</t>
        </is>
      </c>
      <c r="E1901" t="inlineStr">
        <is>
          <t>TINGSRYD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59977-2024</t>
        </is>
      </c>
      <c r="B1902" s="1" t="n">
        <v>45642.37322916667</v>
      </c>
      <c r="C1902" s="1" t="n">
        <v>45957</v>
      </c>
      <c r="D1902" t="inlineStr">
        <is>
          <t>KRONOBERGS LÄN</t>
        </is>
      </c>
      <c r="E1902" t="inlineStr">
        <is>
          <t>VÄXJÖ</t>
        </is>
      </c>
      <c r="G1902" t="n">
        <v>1.9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26623-2023</t>
        </is>
      </c>
      <c r="B1903" s="1" t="n">
        <v>45092.71057870371</v>
      </c>
      <c r="C1903" s="1" t="n">
        <v>45957</v>
      </c>
      <c r="D1903" t="inlineStr">
        <is>
          <t>KRONOBERGS LÄN</t>
        </is>
      </c>
      <c r="E1903" t="inlineStr">
        <is>
          <t>LJUNGBY</t>
        </is>
      </c>
      <c r="G1903" t="n">
        <v>0.4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26683-2023</t>
        </is>
      </c>
      <c r="B1904" s="1" t="n">
        <v>45093.34891203704</v>
      </c>
      <c r="C1904" s="1" t="n">
        <v>45957</v>
      </c>
      <c r="D1904" t="inlineStr">
        <is>
          <t>KRONOBERGS LÄN</t>
        </is>
      </c>
      <c r="E1904" t="inlineStr">
        <is>
          <t>UPPVIDINGE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49589-2024</t>
        </is>
      </c>
      <c r="B1905" s="1" t="n">
        <v>45596.54981481482</v>
      </c>
      <c r="C1905" s="1" t="n">
        <v>45957</v>
      </c>
      <c r="D1905" t="inlineStr">
        <is>
          <t>KRONOBERGS LÄN</t>
        </is>
      </c>
      <c r="E1905" t="inlineStr">
        <is>
          <t>UPPVIDINGE</t>
        </is>
      </c>
      <c r="G1905" t="n">
        <v>0.4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32246-2022</t>
        </is>
      </c>
      <c r="B1906" s="1" t="n">
        <v>44781.4933912037</v>
      </c>
      <c r="C1906" s="1" t="n">
        <v>45957</v>
      </c>
      <c r="D1906" t="inlineStr">
        <is>
          <t>KRONOBERGS LÄN</t>
        </is>
      </c>
      <c r="E1906" t="inlineStr">
        <is>
          <t>VÄXJÖ</t>
        </is>
      </c>
      <c r="F1906" t="inlineStr">
        <is>
          <t>Sveaskog</t>
        </is>
      </c>
      <c r="G1906" t="n">
        <v>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16320-2024</t>
        </is>
      </c>
      <c r="B1907" s="1" t="n">
        <v>45407.46351851852</v>
      </c>
      <c r="C1907" s="1" t="n">
        <v>45957</v>
      </c>
      <c r="D1907" t="inlineStr">
        <is>
          <t>KRONOBERGS LÄN</t>
        </is>
      </c>
      <c r="E1907" t="inlineStr">
        <is>
          <t>ÄLMHULT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32346-2024</t>
        </is>
      </c>
      <c r="B1908" s="1" t="n">
        <v>45512.53300925926</v>
      </c>
      <c r="C1908" s="1" t="n">
        <v>45957</v>
      </c>
      <c r="D1908" t="inlineStr">
        <is>
          <t>KRONOBERGS LÄN</t>
        </is>
      </c>
      <c r="E1908" t="inlineStr">
        <is>
          <t>LJUNGBY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14126-2024</t>
        </is>
      </c>
      <c r="B1909" s="1" t="n">
        <v>45392</v>
      </c>
      <c r="C1909" s="1" t="n">
        <v>45957</v>
      </c>
      <c r="D1909" t="inlineStr">
        <is>
          <t>KRONOBERGS LÄN</t>
        </is>
      </c>
      <c r="E1909" t="inlineStr">
        <is>
          <t>VÄXJÖ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15864-2022</t>
        </is>
      </c>
      <c r="B1910" s="1" t="n">
        <v>44664.45688657407</v>
      </c>
      <c r="C1910" s="1" t="n">
        <v>45957</v>
      </c>
      <c r="D1910" t="inlineStr">
        <is>
          <t>KRONOBERGS LÄN</t>
        </is>
      </c>
      <c r="E1910" t="inlineStr">
        <is>
          <t>LESSEBO</t>
        </is>
      </c>
      <c r="G1910" t="n">
        <v>2.7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3225-2025</t>
        </is>
      </c>
      <c r="B1911" s="1" t="n">
        <v>45679.47949074074</v>
      </c>
      <c r="C1911" s="1" t="n">
        <v>45957</v>
      </c>
      <c r="D1911" t="inlineStr">
        <is>
          <t>KRONOBERGS LÄN</t>
        </is>
      </c>
      <c r="E1911" t="inlineStr">
        <is>
          <t>LJUNGBY</t>
        </is>
      </c>
      <c r="G1911" t="n">
        <v>20.8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3243-2025</t>
        </is>
      </c>
      <c r="B1912" s="1" t="n">
        <v>45679.50844907408</v>
      </c>
      <c r="C1912" s="1" t="n">
        <v>45957</v>
      </c>
      <c r="D1912" t="inlineStr">
        <is>
          <t>KRONOBERGS LÄN</t>
        </is>
      </c>
      <c r="E1912" t="inlineStr">
        <is>
          <t>UPPVIDINGE</t>
        </is>
      </c>
      <c r="G1912" t="n">
        <v>4.8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2238-2023</t>
        </is>
      </c>
      <c r="B1913" s="1" t="n">
        <v>44942</v>
      </c>
      <c r="C1913" s="1" t="n">
        <v>45957</v>
      </c>
      <c r="D1913" t="inlineStr">
        <is>
          <t>KRONOBERGS LÄN</t>
        </is>
      </c>
      <c r="E1913" t="inlineStr">
        <is>
          <t>ÄLMHULT</t>
        </is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22500-2024</t>
        </is>
      </c>
      <c r="B1914" s="1" t="n">
        <v>45447.35372685185</v>
      </c>
      <c r="C1914" s="1" t="n">
        <v>45957</v>
      </c>
      <c r="D1914" t="inlineStr">
        <is>
          <t>KRONOBERGS LÄN</t>
        </is>
      </c>
      <c r="E1914" t="inlineStr">
        <is>
          <t>VÄXJÖ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57430-2021</t>
        </is>
      </c>
      <c r="B1915" s="1" t="n">
        <v>44483.60684027777</v>
      </c>
      <c r="C1915" s="1" t="n">
        <v>45957</v>
      </c>
      <c r="D1915" t="inlineStr">
        <is>
          <t>KRONOBERGS LÄN</t>
        </is>
      </c>
      <c r="E1915" t="inlineStr">
        <is>
          <t>TINGSRYD</t>
        </is>
      </c>
      <c r="G1915" t="n">
        <v>4.4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4467-2025</t>
        </is>
      </c>
      <c r="B1916" s="1" t="n">
        <v>45686.60939814815</v>
      </c>
      <c r="C1916" s="1" t="n">
        <v>45957</v>
      </c>
      <c r="D1916" t="inlineStr">
        <is>
          <t>KRONOBERGS LÄN</t>
        </is>
      </c>
      <c r="E1916" t="inlineStr">
        <is>
          <t>LJUNGBY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43876-2021</t>
        </is>
      </c>
      <c r="B1917" s="1" t="n">
        <v>44434</v>
      </c>
      <c r="C1917" s="1" t="n">
        <v>45957</v>
      </c>
      <c r="D1917" t="inlineStr">
        <is>
          <t>KRONOBERGS LÄN</t>
        </is>
      </c>
      <c r="E1917" t="inlineStr">
        <is>
          <t>ÄLMHULT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47176-2021</t>
        </is>
      </c>
      <c r="B1918" s="1" t="n">
        <v>44446</v>
      </c>
      <c r="C1918" s="1" t="n">
        <v>45957</v>
      </c>
      <c r="D1918" t="inlineStr">
        <is>
          <t>KRONOBERGS LÄN</t>
        </is>
      </c>
      <c r="E1918" t="inlineStr">
        <is>
          <t>UPPVIDINGE</t>
        </is>
      </c>
      <c r="G1918" t="n">
        <v>5.4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46447-2025</t>
        </is>
      </c>
      <c r="B1919" s="1" t="n">
        <v>45925.64894675926</v>
      </c>
      <c r="C1919" s="1" t="n">
        <v>45957</v>
      </c>
      <c r="D1919" t="inlineStr">
        <is>
          <t>KRONOBERGS LÄN</t>
        </is>
      </c>
      <c r="E1919" t="inlineStr">
        <is>
          <t>UPPVIDINGE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46464-2025</t>
        </is>
      </c>
      <c r="B1920" s="1" t="n">
        <v>45925.67674768518</v>
      </c>
      <c r="C1920" s="1" t="n">
        <v>45957</v>
      </c>
      <c r="D1920" t="inlineStr">
        <is>
          <t>KRONOBERGS LÄN</t>
        </is>
      </c>
      <c r="E1920" t="inlineStr">
        <is>
          <t>ALVESTA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34631-2023</t>
        </is>
      </c>
      <c r="B1921" s="1" t="n">
        <v>45140</v>
      </c>
      <c r="C1921" s="1" t="n">
        <v>45957</v>
      </c>
      <c r="D1921" t="inlineStr">
        <is>
          <t>KRONOBERGS LÄN</t>
        </is>
      </c>
      <c r="E1921" t="inlineStr">
        <is>
          <t>UPPVIDINGE</t>
        </is>
      </c>
      <c r="G1921" t="n">
        <v>4.3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46500-2025</t>
        </is>
      </c>
      <c r="B1922" s="1" t="n">
        <v>45925.85975694445</v>
      </c>
      <c r="C1922" s="1" t="n">
        <v>45957</v>
      </c>
      <c r="D1922" t="inlineStr">
        <is>
          <t>KRONOBERGS LÄN</t>
        </is>
      </c>
      <c r="E1922" t="inlineStr">
        <is>
          <t>LJUNGBY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46502-2025</t>
        </is>
      </c>
      <c r="B1923" s="1" t="n">
        <v>45925.86666666667</v>
      </c>
      <c r="C1923" s="1" t="n">
        <v>45957</v>
      </c>
      <c r="D1923" t="inlineStr">
        <is>
          <t>KRONOBERGS LÄN</t>
        </is>
      </c>
      <c r="E1923" t="inlineStr">
        <is>
          <t>LJUNGBY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26121-2024</t>
        </is>
      </c>
      <c r="B1924" s="1" t="n">
        <v>45468.46099537037</v>
      </c>
      <c r="C1924" s="1" t="n">
        <v>45957</v>
      </c>
      <c r="D1924" t="inlineStr">
        <is>
          <t>KRONOBERGS LÄN</t>
        </is>
      </c>
      <c r="E1924" t="inlineStr">
        <is>
          <t>VÄXJÖ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54667-2022</t>
        </is>
      </c>
      <c r="B1925" s="1" t="n">
        <v>44881</v>
      </c>
      <c r="C1925" s="1" t="n">
        <v>45957</v>
      </c>
      <c r="D1925" t="inlineStr">
        <is>
          <t>KRONOBERGS LÄN</t>
        </is>
      </c>
      <c r="E1925" t="inlineStr">
        <is>
          <t>ALVESTA</t>
        </is>
      </c>
      <c r="G1925" t="n">
        <v>1.7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3510-2024</t>
        </is>
      </c>
      <c r="B1926" s="1" t="n">
        <v>45320</v>
      </c>
      <c r="C1926" s="1" t="n">
        <v>45957</v>
      </c>
      <c r="D1926" t="inlineStr">
        <is>
          <t>KRONOBERGS LÄN</t>
        </is>
      </c>
      <c r="E1926" t="inlineStr">
        <is>
          <t>ALVESTA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33279-2023</t>
        </is>
      </c>
      <c r="B1927" s="1" t="n">
        <v>45127.60962962963</v>
      </c>
      <c r="C1927" s="1" t="n">
        <v>45957</v>
      </c>
      <c r="D1927" t="inlineStr">
        <is>
          <t>KRONOBERGS LÄN</t>
        </is>
      </c>
      <c r="E1927" t="inlineStr">
        <is>
          <t>VÄXJÖ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33283-2023</t>
        </is>
      </c>
      <c r="B1928" s="1" t="n">
        <v>45127.61971064815</v>
      </c>
      <c r="C1928" s="1" t="n">
        <v>45957</v>
      </c>
      <c r="D1928" t="inlineStr">
        <is>
          <t>KRONOBERGS LÄN</t>
        </is>
      </c>
      <c r="E1928" t="inlineStr">
        <is>
          <t>VÄXJÖ</t>
        </is>
      </c>
      <c r="G1928" t="n">
        <v>0.6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28547-2023</t>
        </is>
      </c>
      <c r="B1929" s="1" t="n">
        <v>45103</v>
      </c>
      <c r="C1929" s="1" t="n">
        <v>45957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20001-2023</t>
        </is>
      </c>
      <c r="B1930" s="1" t="n">
        <v>45054</v>
      </c>
      <c r="C1930" s="1" t="n">
        <v>45957</v>
      </c>
      <c r="D1930" t="inlineStr">
        <is>
          <t>KRONOBERGS LÄN</t>
        </is>
      </c>
      <c r="E1930" t="inlineStr">
        <is>
          <t>MARKARYD</t>
        </is>
      </c>
      <c r="G1930" t="n">
        <v>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28677-2023</t>
        </is>
      </c>
      <c r="B1931" s="1" t="n">
        <v>45103</v>
      </c>
      <c r="C1931" s="1" t="n">
        <v>45957</v>
      </c>
      <c r="D1931" t="inlineStr">
        <is>
          <t>KRONOBERGS LÄN</t>
        </is>
      </c>
      <c r="E1931" t="inlineStr">
        <is>
          <t>LJUNGBY</t>
        </is>
      </c>
      <c r="G1931" t="n">
        <v>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28694-2023</t>
        </is>
      </c>
      <c r="B1932" s="1" t="n">
        <v>45103.70469907407</v>
      </c>
      <c r="C1932" s="1" t="n">
        <v>45957</v>
      </c>
      <c r="D1932" t="inlineStr">
        <is>
          <t>KRONOBERGS LÄN</t>
        </is>
      </c>
      <c r="E1932" t="inlineStr">
        <is>
          <t>ÄLMHULT</t>
        </is>
      </c>
      <c r="G1932" t="n">
        <v>1.2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62222-2023</t>
        </is>
      </c>
      <c r="B1933" s="1" t="n">
        <v>45267.54662037037</v>
      </c>
      <c r="C1933" s="1" t="n">
        <v>45957</v>
      </c>
      <c r="D1933" t="inlineStr">
        <is>
          <t>KRONOBERGS LÄN</t>
        </is>
      </c>
      <c r="E1933" t="inlineStr">
        <is>
          <t>TINGSRYD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49620-2023</t>
        </is>
      </c>
      <c r="B1934" s="1" t="n">
        <v>45211.85349537037</v>
      </c>
      <c r="C1934" s="1" t="n">
        <v>45957</v>
      </c>
      <c r="D1934" t="inlineStr">
        <is>
          <t>KRONOBERGS LÄN</t>
        </is>
      </c>
      <c r="E1934" t="inlineStr">
        <is>
          <t>VÄXJÖ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46223-2025</t>
        </is>
      </c>
      <c r="B1935" s="1" t="n">
        <v>45924.88241898148</v>
      </c>
      <c r="C1935" s="1" t="n">
        <v>45957</v>
      </c>
      <c r="D1935" t="inlineStr">
        <is>
          <t>KRONOBERGS LÄN</t>
        </is>
      </c>
      <c r="E1935" t="inlineStr">
        <is>
          <t>LJUNGBY</t>
        </is>
      </c>
      <c r="G1935" t="n">
        <v>1.1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38576-2025</t>
        </is>
      </c>
      <c r="B1936" s="1" t="n">
        <v>45884.4652662037</v>
      </c>
      <c r="C1936" s="1" t="n">
        <v>45957</v>
      </c>
      <c r="D1936" t="inlineStr">
        <is>
          <t>KRONOBERGS LÄN</t>
        </is>
      </c>
      <c r="E1936" t="inlineStr">
        <is>
          <t>TINGSRYD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14725-2025</t>
        </is>
      </c>
      <c r="B1937" s="1" t="n">
        <v>45742.63163194444</v>
      </c>
      <c r="C1937" s="1" t="n">
        <v>45957</v>
      </c>
      <c r="D1937" t="inlineStr">
        <is>
          <t>KRONOBERGS LÄN</t>
        </is>
      </c>
      <c r="E1937" t="inlineStr">
        <is>
          <t>MARKARYD</t>
        </is>
      </c>
      <c r="G1937" t="n">
        <v>0.9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49228-2024</t>
        </is>
      </c>
      <c r="B1938" s="1" t="n">
        <v>45595.4272337963</v>
      </c>
      <c r="C1938" s="1" t="n">
        <v>45957</v>
      </c>
      <c r="D1938" t="inlineStr">
        <is>
          <t>KRONOBERGS LÄN</t>
        </is>
      </c>
      <c r="E1938" t="inlineStr">
        <is>
          <t>LJUNGBY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1846-2024</t>
        </is>
      </c>
      <c r="B1939" s="1" t="n">
        <v>45307</v>
      </c>
      <c r="C1939" s="1" t="n">
        <v>45957</v>
      </c>
      <c r="D1939" t="inlineStr">
        <is>
          <t>KRONOBERGS LÄN</t>
        </is>
      </c>
      <c r="E1939" t="inlineStr">
        <is>
          <t>LJUNGBY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9685-2025</t>
        </is>
      </c>
      <c r="B1940" s="1" t="n">
        <v>45716.35056712963</v>
      </c>
      <c r="C1940" s="1" t="n">
        <v>45957</v>
      </c>
      <c r="D1940" t="inlineStr">
        <is>
          <t>KRONOBERGS LÄN</t>
        </is>
      </c>
      <c r="E1940" t="inlineStr">
        <is>
          <t>UPPVIDINGE</t>
        </is>
      </c>
      <c r="F1940" t="inlineStr">
        <is>
          <t>Sveaskog</t>
        </is>
      </c>
      <c r="G1940" t="n">
        <v>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41124-2024</t>
        </is>
      </c>
      <c r="B1941" s="1" t="n">
        <v>45559</v>
      </c>
      <c r="C1941" s="1" t="n">
        <v>45957</v>
      </c>
      <c r="D1941" t="inlineStr">
        <is>
          <t>KRONOBERGS LÄN</t>
        </is>
      </c>
      <c r="E1941" t="inlineStr">
        <is>
          <t>TINGSRYD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22357-2025</t>
        </is>
      </c>
      <c r="B1942" s="1" t="n">
        <v>45786.46171296296</v>
      </c>
      <c r="C1942" s="1" t="n">
        <v>45957</v>
      </c>
      <c r="D1942" t="inlineStr">
        <is>
          <t>KRONOBERGS LÄN</t>
        </is>
      </c>
      <c r="E1942" t="inlineStr">
        <is>
          <t>TINGSRYD</t>
        </is>
      </c>
      <c r="F1942" t="inlineStr">
        <is>
          <t>Sveaskog</t>
        </is>
      </c>
      <c r="G1942" t="n">
        <v>7.1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28983-2023</t>
        </is>
      </c>
      <c r="B1943" s="1" t="n">
        <v>45104.61909722222</v>
      </c>
      <c r="C1943" s="1" t="n">
        <v>45957</v>
      </c>
      <c r="D1943" t="inlineStr">
        <is>
          <t>KRONOBERGS LÄN</t>
        </is>
      </c>
      <c r="E1943" t="inlineStr">
        <is>
          <t>VÄXJÖ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30008-2023</t>
        </is>
      </c>
      <c r="B1944" s="1" t="n">
        <v>45109.83387731481</v>
      </c>
      <c r="C1944" s="1" t="n">
        <v>45957</v>
      </c>
      <c r="D1944" t="inlineStr">
        <is>
          <t>KRONOBERGS LÄN</t>
        </is>
      </c>
      <c r="E1944" t="inlineStr">
        <is>
          <t>TINGSRYD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58490-2023</t>
        </is>
      </c>
      <c r="B1945" s="1" t="n">
        <v>45251.33616898148</v>
      </c>
      <c r="C1945" s="1" t="n">
        <v>45957</v>
      </c>
      <c r="D1945" t="inlineStr">
        <is>
          <t>KRONOBERGS LÄN</t>
        </is>
      </c>
      <c r="E1945" t="inlineStr">
        <is>
          <t>ÄLMHULT</t>
        </is>
      </c>
      <c r="G1945" t="n">
        <v>7.1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58496-2023</t>
        </is>
      </c>
      <c r="B1946" s="1" t="n">
        <v>45251.35104166667</v>
      </c>
      <c r="C1946" s="1" t="n">
        <v>45957</v>
      </c>
      <c r="D1946" t="inlineStr">
        <is>
          <t>KRONOBERGS LÄN</t>
        </is>
      </c>
      <c r="E1946" t="inlineStr">
        <is>
          <t>ÄLMHULT</t>
        </is>
      </c>
      <c r="G1946" t="n">
        <v>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48237-2024</t>
        </is>
      </c>
      <c r="B1947" s="1" t="n">
        <v>45590.38761574074</v>
      </c>
      <c r="C1947" s="1" t="n">
        <v>45957</v>
      </c>
      <c r="D1947" t="inlineStr">
        <is>
          <t>KRONOBERGS LÄN</t>
        </is>
      </c>
      <c r="E1947" t="inlineStr">
        <is>
          <t>UPPVIDINGE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39478-2024</t>
        </is>
      </c>
      <c r="B1948" s="1" t="n">
        <v>45551</v>
      </c>
      <c r="C1948" s="1" t="n">
        <v>45957</v>
      </c>
      <c r="D1948" t="inlineStr">
        <is>
          <t>KRONOBERGS LÄN</t>
        </is>
      </c>
      <c r="E1948" t="inlineStr">
        <is>
          <t>VÄXJÖ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642-2024</t>
        </is>
      </c>
      <c r="B1949" s="1" t="n">
        <v>45299.74146990741</v>
      </c>
      <c r="C1949" s="1" t="n">
        <v>45957</v>
      </c>
      <c r="D1949" t="inlineStr">
        <is>
          <t>KRONOBERGS LÄN</t>
        </is>
      </c>
      <c r="E1949" t="inlineStr">
        <is>
          <t>LESSEBO</t>
        </is>
      </c>
      <c r="F1949" t="inlineStr">
        <is>
          <t>Sveaskog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27626-2023</t>
        </is>
      </c>
      <c r="B1950" s="1" t="n">
        <v>45097</v>
      </c>
      <c r="C1950" s="1" t="n">
        <v>45957</v>
      </c>
      <c r="D1950" t="inlineStr">
        <is>
          <t>KRONOBERGS LÄN</t>
        </is>
      </c>
      <c r="E1950" t="inlineStr">
        <is>
          <t>LJUNGBY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17927-2023</t>
        </is>
      </c>
      <c r="B1951" s="1" t="n">
        <v>45040.40766203704</v>
      </c>
      <c r="C1951" s="1" t="n">
        <v>45957</v>
      </c>
      <c r="D1951" t="inlineStr">
        <is>
          <t>KRONOBERGS LÄN</t>
        </is>
      </c>
      <c r="E1951" t="inlineStr">
        <is>
          <t>MARKARYD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1587-2022</t>
        </is>
      </c>
      <c r="B1952" s="1" t="n">
        <v>44573</v>
      </c>
      <c r="C1952" s="1" t="n">
        <v>45957</v>
      </c>
      <c r="D1952" t="inlineStr">
        <is>
          <t>KRONOBERGS LÄN</t>
        </is>
      </c>
      <c r="E1952" t="inlineStr">
        <is>
          <t>VÄXJÖ</t>
        </is>
      </c>
      <c r="G1952" t="n">
        <v>2.2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24222-2024</t>
        </is>
      </c>
      <c r="B1953" s="1" t="n">
        <v>45457</v>
      </c>
      <c r="C1953" s="1" t="n">
        <v>45957</v>
      </c>
      <c r="D1953" t="inlineStr">
        <is>
          <t>KRONOBERGS LÄN</t>
        </is>
      </c>
      <c r="E1953" t="inlineStr">
        <is>
          <t>ÄLMHULT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24230-2024</t>
        </is>
      </c>
      <c r="B1954" s="1" t="n">
        <v>45457</v>
      </c>
      <c r="C1954" s="1" t="n">
        <v>45957</v>
      </c>
      <c r="D1954" t="inlineStr">
        <is>
          <t>KRONOBERGS LÄN</t>
        </is>
      </c>
      <c r="E1954" t="inlineStr">
        <is>
          <t>ÄLMHULT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15062-2023</t>
        </is>
      </c>
      <c r="B1955" s="1" t="n">
        <v>45015</v>
      </c>
      <c r="C1955" s="1" t="n">
        <v>45957</v>
      </c>
      <c r="D1955" t="inlineStr">
        <is>
          <t>KRONOBERGS LÄN</t>
        </is>
      </c>
      <c r="E1955" t="inlineStr">
        <is>
          <t>ALVESTA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32374-2023</t>
        </is>
      </c>
      <c r="B1956" s="1" t="n">
        <v>45110</v>
      </c>
      <c r="C1956" s="1" t="n">
        <v>45957</v>
      </c>
      <c r="D1956" t="inlineStr">
        <is>
          <t>KRONOBERGS LÄN</t>
        </is>
      </c>
      <c r="E1956" t="inlineStr">
        <is>
          <t>ALVESTA</t>
        </is>
      </c>
      <c r="G1956" t="n">
        <v>0.7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64159-2023</t>
        </is>
      </c>
      <c r="B1957" s="1" t="n">
        <v>45279.61047453704</v>
      </c>
      <c r="C1957" s="1" t="n">
        <v>45957</v>
      </c>
      <c r="D1957" t="inlineStr">
        <is>
          <t>KRONOBERGS LÄN</t>
        </is>
      </c>
      <c r="E1957" t="inlineStr">
        <is>
          <t>UPPVIDINGE</t>
        </is>
      </c>
      <c r="G1957" t="n">
        <v>1.2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19295-2023</t>
        </is>
      </c>
      <c r="B1958" s="1" t="n">
        <v>45049</v>
      </c>
      <c r="C1958" s="1" t="n">
        <v>45957</v>
      </c>
      <c r="D1958" t="inlineStr">
        <is>
          <t>KRONOBERGS LÄN</t>
        </is>
      </c>
      <c r="E1958" t="inlineStr">
        <is>
          <t>ÄLMHULT</t>
        </is>
      </c>
      <c r="G1958" t="n">
        <v>0.5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17010-2023</t>
        </is>
      </c>
      <c r="B1959" s="1" t="n">
        <v>45034.29767361111</v>
      </c>
      <c r="C1959" s="1" t="n">
        <v>45957</v>
      </c>
      <c r="D1959" t="inlineStr">
        <is>
          <t>KRONOBERGS LÄN</t>
        </is>
      </c>
      <c r="E1959" t="inlineStr">
        <is>
          <t>TINGSRYD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21758-2023</t>
        </is>
      </c>
      <c r="B1960" s="1" t="n">
        <v>45065</v>
      </c>
      <c r="C1960" s="1" t="n">
        <v>45957</v>
      </c>
      <c r="D1960" t="inlineStr">
        <is>
          <t>KRONOBERGS LÄN</t>
        </is>
      </c>
      <c r="E1960" t="inlineStr">
        <is>
          <t>LJUNGBY</t>
        </is>
      </c>
      <c r="G1960" t="n">
        <v>2.8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34662-2023</t>
        </is>
      </c>
      <c r="B1961" s="1" t="n">
        <v>45140.77881944444</v>
      </c>
      <c r="C1961" s="1" t="n">
        <v>45957</v>
      </c>
      <c r="D1961" t="inlineStr">
        <is>
          <t>KRONOBERGS LÄN</t>
        </is>
      </c>
      <c r="E1961" t="inlineStr">
        <is>
          <t>ÄLMHULT</t>
        </is>
      </c>
      <c r="G1961" t="n">
        <v>0.6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33949-2022</t>
        </is>
      </c>
      <c r="B1962" s="1" t="n">
        <v>44790</v>
      </c>
      <c r="C1962" s="1" t="n">
        <v>45957</v>
      </c>
      <c r="D1962" t="inlineStr">
        <is>
          <t>KRONOBERGS LÄN</t>
        </is>
      </c>
      <c r="E1962" t="inlineStr">
        <is>
          <t>UPPVIDINGE</t>
        </is>
      </c>
      <c r="F1962" t="inlineStr">
        <is>
          <t>Kyrkan</t>
        </is>
      </c>
      <c r="G1962" t="n">
        <v>2.7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18205-2025</t>
        </is>
      </c>
      <c r="B1963" s="1" t="n">
        <v>45761.68496527777</v>
      </c>
      <c r="C1963" s="1" t="n">
        <v>45957</v>
      </c>
      <c r="D1963" t="inlineStr">
        <is>
          <t>KRONOBERGS LÄN</t>
        </is>
      </c>
      <c r="E1963" t="inlineStr">
        <is>
          <t>LESSEBO</t>
        </is>
      </c>
      <c r="F1963" t="inlineStr">
        <is>
          <t>Sveaskog</t>
        </is>
      </c>
      <c r="G1963" t="n">
        <v>3.6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10700-2024</t>
        </is>
      </c>
      <c r="B1964" s="1" t="n">
        <v>45369.42203703704</v>
      </c>
      <c r="C1964" s="1" t="n">
        <v>45957</v>
      </c>
      <c r="D1964" t="inlineStr">
        <is>
          <t>KRONOBERGS LÄN</t>
        </is>
      </c>
      <c r="E1964" t="inlineStr">
        <is>
          <t>UPPVIDINGE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3937-2025</t>
        </is>
      </c>
      <c r="B1965" s="1" t="n">
        <v>45684.46309027778</v>
      </c>
      <c r="C1965" s="1" t="n">
        <v>45957</v>
      </c>
      <c r="D1965" t="inlineStr">
        <is>
          <t>KRONOBERGS LÄN</t>
        </is>
      </c>
      <c r="E1965" t="inlineStr">
        <is>
          <t>ALVESTA</t>
        </is>
      </c>
      <c r="G1965" t="n">
        <v>1.5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63569-2021</t>
        </is>
      </c>
      <c r="B1966" s="1" t="n">
        <v>44508</v>
      </c>
      <c r="C1966" s="1" t="n">
        <v>45957</v>
      </c>
      <c r="D1966" t="inlineStr">
        <is>
          <t>KRONOBERGS LÄN</t>
        </is>
      </c>
      <c r="E1966" t="inlineStr">
        <is>
          <t>ÄLMHULT</t>
        </is>
      </c>
      <c r="G1966" t="n">
        <v>4.4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40487-2023</t>
        </is>
      </c>
      <c r="B1967" s="1" t="n">
        <v>45170</v>
      </c>
      <c r="C1967" s="1" t="n">
        <v>45957</v>
      </c>
      <c r="D1967" t="inlineStr">
        <is>
          <t>KRONOBERGS LÄN</t>
        </is>
      </c>
      <c r="E1967" t="inlineStr">
        <is>
          <t>TINGSRYD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59492-2022</t>
        </is>
      </c>
      <c r="B1968" s="1" t="n">
        <v>44907.46900462963</v>
      </c>
      <c r="C1968" s="1" t="n">
        <v>45957</v>
      </c>
      <c r="D1968" t="inlineStr">
        <is>
          <t>KRONOBERGS LÄN</t>
        </is>
      </c>
      <c r="E1968" t="inlineStr">
        <is>
          <t>ALVESTA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34848-2024</t>
        </is>
      </c>
      <c r="B1969" s="1" t="n">
        <v>45527.3153125</v>
      </c>
      <c r="C1969" s="1" t="n">
        <v>45957</v>
      </c>
      <c r="D1969" t="inlineStr">
        <is>
          <t>KRONOBERGS LÄN</t>
        </is>
      </c>
      <c r="E1969" t="inlineStr">
        <is>
          <t>ÄLMHULT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24019-2023</t>
        </is>
      </c>
      <c r="B1970" s="1" t="n">
        <v>45078</v>
      </c>
      <c r="C1970" s="1" t="n">
        <v>45957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2.8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11228-2025</t>
        </is>
      </c>
      <c r="B1971" s="1" t="n">
        <v>45726.34802083333</v>
      </c>
      <c r="C1971" s="1" t="n">
        <v>45957</v>
      </c>
      <c r="D1971" t="inlineStr">
        <is>
          <t>KRONOBERGS LÄN</t>
        </is>
      </c>
      <c r="E1971" t="inlineStr">
        <is>
          <t>VÄXJÖ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42871-2024</t>
        </is>
      </c>
      <c r="B1972" s="1" t="n">
        <v>45566.67163194445</v>
      </c>
      <c r="C1972" s="1" t="n">
        <v>45957</v>
      </c>
      <c r="D1972" t="inlineStr">
        <is>
          <t>KRONOBERGS LÄN</t>
        </is>
      </c>
      <c r="E1972" t="inlineStr">
        <is>
          <t>ÄLMHULT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6625-2024</t>
        </is>
      </c>
      <c r="B1973" s="1" t="n">
        <v>45341.61912037037</v>
      </c>
      <c r="C1973" s="1" t="n">
        <v>45957</v>
      </c>
      <c r="D1973" t="inlineStr">
        <is>
          <t>KRONOBERGS LÄN</t>
        </is>
      </c>
      <c r="E1973" t="inlineStr">
        <is>
          <t>VÄXJÖ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8134-2023</t>
        </is>
      </c>
      <c r="B1974" s="1" t="n">
        <v>44974</v>
      </c>
      <c r="C1974" s="1" t="n">
        <v>45957</v>
      </c>
      <c r="D1974" t="inlineStr">
        <is>
          <t>KRONOBERGS LÄN</t>
        </is>
      </c>
      <c r="E1974" t="inlineStr">
        <is>
          <t>LJUNGBY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53240-2023</t>
        </is>
      </c>
      <c r="B1975" s="1" t="n">
        <v>45229.49297453704</v>
      </c>
      <c r="C1975" s="1" t="n">
        <v>45957</v>
      </c>
      <c r="D1975" t="inlineStr">
        <is>
          <t>KRONOBERGS LÄN</t>
        </is>
      </c>
      <c r="E1975" t="inlineStr">
        <is>
          <t>VÄXJÖ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37964-2024</t>
        </is>
      </c>
      <c r="B1976" s="1" t="n">
        <v>45544.54753472222</v>
      </c>
      <c r="C1976" s="1" t="n">
        <v>45957</v>
      </c>
      <c r="D1976" t="inlineStr">
        <is>
          <t>KRONOBERGS LÄN</t>
        </is>
      </c>
      <c r="E1976" t="inlineStr">
        <is>
          <t>LESSEBO</t>
        </is>
      </c>
      <c r="G1976" t="n">
        <v>4.2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38614-2024</t>
        </is>
      </c>
      <c r="B1977" s="1" t="n">
        <v>45546</v>
      </c>
      <c r="C1977" s="1" t="n">
        <v>45957</v>
      </c>
      <c r="D1977" t="inlineStr">
        <is>
          <t>KRONOBERGS LÄN</t>
        </is>
      </c>
      <c r="E1977" t="inlineStr">
        <is>
          <t>TINGSRYD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3303-2025</t>
        </is>
      </c>
      <c r="B1978" s="1" t="n">
        <v>45679.65525462963</v>
      </c>
      <c r="C1978" s="1" t="n">
        <v>45957</v>
      </c>
      <c r="D1978" t="inlineStr">
        <is>
          <t>KRONOBERGS LÄN</t>
        </is>
      </c>
      <c r="E1978" t="inlineStr">
        <is>
          <t>TINGSRYD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52191-2024</t>
        </is>
      </c>
      <c r="B1979" s="1" t="n">
        <v>45608.57136574074</v>
      </c>
      <c r="C1979" s="1" t="n">
        <v>45957</v>
      </c>
      <c r="D1979" t="inlineStr">
        <is>
          <t>KRONOBERGS LÄN</t>
        </is>
      </c>
      <c r="E1979" t="inlineStr">
        <is>
          <t>VÄXJÖ</t>
        </is>
      </c>
      <c r="G1979" t="n">
        <v>1.5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33079-2023</t>
        </is>
      </c>
      <c r="B1980" s="1" t="n">
        <v>45126</v>
      </c>
      <c r="C1980" s="1" t="n">
        <v>45957</v>
      </c>
      <c r="D1980" t="inlineStr">
        <is>
          <t>KRONOBERGS LÄN</t>
        </is>
      </c>
      <c r="E1980" t="inlineStr">
        <is>
          <t>LJUNGBY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62504-2022</t>
        </is>
      </c>
      <c r="B1981" s="1" t="n">
        <v>44924</v>
      </c>
      <c r="C1981" s="1" t="n">
        <v>45957</v>
      </c>
      <c r="D1981" t="inlineStr">
        <is>
          <t>KRONOBERGS LÄN</t>
        </is>
      </c>
      <c r="E1981" t="inlineStr">
        <is>
          <t>LJUNGBY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33206-2023</t>
        </is>
      </c>
      <c r="B1982" s="1" t="n">
        <v>45127.43435185185</v>
      </c>
      <c r="C1982" s="1" t="n">
        <v>45957</v>
      </c>
      <c r="D1982" t="inlineStr">
        <is>
          <t>KRONOBERGS LÄN</t>
        </is>
      </c>
      <c r="E1982" t="inlineStr">
        <is>
          <t>VÄXJÖ</t>
        </is>
      </c>
      <c r="G1982" t="n">
        <v>2.5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38330-2023</t>
        </is>
      </c>
      <c r="B1983" s="1" t="n">
        <v>45161.80061342593</v>
      </c>
      <c r="C1983" s="1" t="n">
        <v>45957</v>
      </c>
      <c r="D1983" t="inlineStr">
        <is>
          <t>KRONOBERGS LÄN</t>
        </is>
      </c>
      <c r="E1983" t="inlineStr">
        <is>
          <t>MARKARYD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31272-2023</t>
        </is>
      </c>
      <c r="B1984" s="1" t="n">
        <v>45114.39181712963</v>
      </c>
      <c r="C1984" s="1" t="n">
        <v>45957</v>
      </c>
      <c r="D1984" t="inlineStr">
        <is>
          <t>KRONOBERGS LÄN</t>
        </is>
      </c>
      <c r="E1984" t="inlineStr">
        <is>
          <t>ALVESTA</t>
        </is>
      </c>
      <c r="G1984" t="n">
        <v>1.2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58859-2022</t>
        </is>
      </c>
      <c r="B1985" s="1" t="n">
        <v>44895</v>
      </c>
      <c r="C1985" s="1" t="n">
        <v>45957</v>
      </c>
      <c r="D1985" t="inlineStr">
        <is>
          <t>KRONOBERGS LÄN</t>
        </is>
      </c>
      <c r="E1985" t="inlineStr">
        <is>
          <t>TINGSRYD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10018-2025</t>
        </is>
      </c>
      <c r="B1986" s="1" t="n">
        <v>45719.47412037037</v>
      </c>
      <c r="C1986" s="1" t="n">
        <v>45957</v>
      </c>
      <c r="D1986" t="inlineStr">
        <is>
          <t>KRONOBERGS LÄN</t>
        </is>
      </c>
      <c r="E1986" t="inlineStr">
        <is>
          <t>ÄLMHULT</t>
        </is>
      </c>
      <c r="G1986" t="n">
        <v>0.9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8543-2025</t>
        </is>
      </c>
      <c r="B1987" s="1" t="n">
        <v>45709.60627314815</v>
      </c>
      <c r="C1987" s="1" t="n">
        <v>45957</v>
      </c>
      <c r="D1987" t="inlineStr">
        <is>
          <t>KRONOBERGS LÄN</t>
        </is>
      </c>
      <c r="E1987" t="inlineStr">
        <is>
          <t>TINGSRYD</t>
        </is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22342-2025</t>
        </is>
      </c>
      <c r="B1988" s="1" t="n">
        <v>45786.44797453703</v>
      </c>
      <c r="C1988" s="1" t="n">
        <v>45957</v>
      </c>
      <c r="D1988" t="inlineStr">
        <is>
          <t>KRONOBERGS LÄN</t>
        </is>
      </c>
      <c r="E1988" t="inlineStr">
        <is>
          <t>MARKARYD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41824-2023</t>
        </is>
      </c>
      <c r="B1989" s="1" t="n">
        <v>45176.58252314815</v>
      </c>
      <c r="C1989" s="1" t="n">
        <v>45957</v>
      </c>
      <c r="D1989" t="inlineStr">
        <is>
          <t>KRONOBERGS LÄN</t>
        </is>
      </c>
      <c r="E1989" t="inlineStr">
        <is>
          <t>TINGSRYD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67620-2021</t>
        </is>
      </c>
      <c r="B1990" s="1" t="n">
        <v>44524.66444444445</v>
      </c>
      <c r="C1990" s="1" t="n">
        <v>45957</v>
      </c>
      <c r="D1990" t="inlineStr">
        <is>
          <t>KRONOBERGS LÄN</t>
        </is>
      </c>
      <c r="E1990" t="inlineStr">
        <is>
          <t>UPPVIDINGE</t>
        </is>
      </c>
      <c r="G1990" t="n">
        <v>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22131-2024</t>
        </is>
      </c>
      <c r="B1991" s="1" t="n">
        <v>45444.36789351852</v>
      </c>
      <c r="C1991" s="1" t="n">
        <v>45957</v>
      </c>
      <c r="D1991" t="inlineStr">
        <is>
          <t>KRONOBERGS LÄN</t>
        </is>
      </c>
      <c r="E1991" t="inlineStr">
        <is>
          <t>MARKARYD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46222-2025</t>
        </is>
      </c>
      <c r="B1992" s="1" t="n">
        <v>45924.87837962963</v>
      </c>
      <c r="C1992" s="1" t="n">
        <v>45957</v>
      </c>
      <c r="D1992" t="inlineStr">
        <is>
          <t>KRONOBERGS LÄN</t>
        </is>
      </c>
      <c r="E1992" t="inlineStr">
        <is>
          <t>LJUNGBY</t>
        </is>
      </c>
      <c r="G1992" t="n">
        <v>4.7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46225-2025</t>
        </is>
      </c>
      <c r="B1993" s="1" t="n">
        <v>45924.88934027778</v>
      </c>
      <c r="C1993" s="1" t="n">
        <v>45957</v>
      </c>
      <c r="D1993" t="inlineStr">
        <is>
          <t>KRONOBERGS LÄN</t>
        </is>
      </c>
      <c r="E1993" t="inlineStr">
        <is>
          <t>LJUNGBY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36919-2024</t>
        </is>
      </c>
      <c r="B1994" s="1" t="n">
        <v>45538</v>
      </c>
      <c r="C1994" s="1" t="n">
        <v>45957</v>
      </c>
      <c r="D1994" t="inlineStr">
        <is>
          <t>KRONOBERGS LÄN</t>
        </is>
      </c>
      <c r="E1994" t="inlineStr">
        <is>
          <t>VÄXJÖ</t>
        </is>
      </c>
      <c r="F1994" t="inlineStr">
        <is>
          <t>Kyrkan</t>
        </is>
      </c>
      <c r="G1994" t="n">
        <v>6.7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22156-2023</t>
        </is>
      </c>
      <c r="B1995" s="1" t="n">
        <v>45069.6466087963</v>
      </c>
      <c r="C1995" s="1" t="n">
        <v>45957</v>
      </c>
      <c r="D1995" t="inlineStr">
        <is>
          <t>KRONOBERGS LÄN</t>
        </is>
      </c>
      <c r="E1995" t="inlineStr">
        <is>
          <t>MARKARYD</t>
        </is>
      </c>
      <c r="G1995" t="n">
        <v>2.8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53176-2021</t>
        </is>
      </c>
      <c r="B1996" s="1" t="n">
        <v>44467</v>
      </c>
      <c r="C1996" s="1" t="n">
        <v>45957</v>
      </c>
      <c r="D1996" t="inlineStr">
        <is>
          <t>KRONOBERGS LÄN</t>
        </is>
      </c>
      <c r="E1996" t="inlineStr">
        <is>
          <t>TINGSRYD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5207-2024</t>
        </is>
      </c>
      <c r="B1997" s="1" t="n">
        <v>45330.61230324074</v>
      </c>
      <c r="C1997" s="1" t="n">
        <v>45957</v>
      </c>
      <c r="D1997" t="inlineStr">
        <is>
          <t>KRONOBERGS LÄN</t>
        </is>
      </c>
      <c r="E1997" t="inlineStr">
        <is>
          <t>TINGSRYD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33397-2023</t>
        </is>
      </c>
      <c r="B1998" s="1" t="n">
        <v>45128.63200231481</v>
      </c>
      <c r="C1998" s="1" t="n">
        <v>45957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33398-2023</t>
        </is>
      </c>
      <c r="B1999" s="1" t="n">
        <v>45128</v>
      </c>
      <c r="C1999" s="1" t="n">
        <v>45957</v>
      </c>
      <c r="D1999" t="inlineStr">
        <is>
          <t>KRONOBERGS LÄN</t>
        </is>
      </c>
      <c r="E1999" t="inlineStr">
        <is>
          <t>VÄXJÖ</t>
        </is>
      </c>
      <c r="G1999" t="n">
        <v>1.8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38303-2025</t>
        </is>
      </c>
      <c r="B2000" s="1" t="n">
        <v>45883.46482638889</v>
      </c>
      <c r="C2000" s="1" t="n">
        <v>45957</v>
      </c>
      <c r="D2000" t="inlineStr">
        <is>
          <t>KRONOBERGS LÄN</t>
        </is>
      </c>
      <c r="E2000" t="inlineStr">
        <is>
          <t>LESSEBO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62514-2021</t>
        </is>
      </c>
      <c r="B2001" s="1" t="n">
        <v>44503.58450231481</v>
      </c>
      <c r="C2001" s="1" t="n">
        <v>45957</v>
      </c>
      <c r="D2001" t="inlineStr">
        <is>
          <t>KRONOBERGS LÄN</t>
        </is>
      </c>
      <c r="E2001" t="inlineStr">
        <is>
          <t>UPPVIDINGE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7871-2024</t>
        </is>
      </c>
      <c r="B2002" s="1" t="n">
        <v>45350.33565972222</v>
      </c>
      <c r="C2002" s="1" t="n">
        <v>45957</v>
      </c>
      <c r="D2002" t="inlineStr">
        <is>
          <t>KRONOBERGS LÄN</t>
        </is>
      </c>
      <c r="E2002" t="inlineStr">
        <is>
          <t>VÄXJÖ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7979-2024</t>
        </is>
      </c>
      <c r="B2003" s="1" t="n">
        <v>45348</v>
      </c>
      <c r="C2003" s="1" t="n">
        <v>45957</v>
      </c>
      <c r="D2003" t="inlineStr">
        <is>
          <t>KRONOBERGS LÄN</t>
        </is>
      </c>
      <c r="E2003" t="inlineStr">
        <is>
          <t>UPPVIDINGE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7981-2024</t>
        </is>
      </c>
      <c r="B2004" s="1" t="n">
        <v>45348</v>
      </c>
      <c r="C2004" s="1" t="n">
        <v>45957</v>
      </c>
      <c r="D2004" t="inlineStr">
        <is>
          <t>KRONOBERGS LÄN</t>
        </is>
      </c>
      <c r="E2004" t="inlineStr">
        <is>
          <t>UPPVIDINGE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30105-2022</t>
        </is>
      </c>
      <c r="B2005" s="1" t="n">
        <v>44757.40103009259</v>
      </c>
      <c r="C2005" s="1" t="n">
        <v>45957</v>
      </c>
      <c r="D2005" t="inlineStr">
        <is>
          <t>KRONOBERGS LÄN</t>
        </is>
      </c>
      <c r="E2005" t="inlineStr">
        <is>
          <t>UPPVIDINGE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57308-2023</t>
        </is>
      </c>
      <c r="B2006" s="1" t="n">
        <v>45240</v>
      </c>
      <c r="C2006" s="1" t="n">
        <v>45957</v>
      </c>
      <c r="D2006" t="inlineStr">
        <is>
          <t>KRONOBERGS LÄN</t>
        </is>
      </c>
      <c r="E2006" t="inlineStr">
        <is>
          <t>ÄLMHULT</t>
        </is>
      </c>
      <c r="F2006" t="inlineStr">
        <is>
          <t>Kyrkan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29964-2024</t>
        </is>
      </c>
      <c r="B2007" s="1" t="n">
        <v>45488.46717592593</v>
      </c>
      <c r="C2007" s="1" t="n">
        <v>45957</v>
      </c>
      <c r="D2007" t="inlineStr">
        <is>
          <t>KRONOBERGS LÄN</t>
        </is>
      </c>
      <c r="E2007" t="inlineStr">
        <is>
          <t>UPPVIDINGE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22137-2025</t>
        </is>
      </c>
      <c r="B2008" s="1" t="n">
        <v>45785.54833333333</v>
      </c>
      <c r="C2008" s="1" t="n">
        <v>45957</v>
      </c>
      <c r="D2008" t="inlineStr">
        <is>
          <t>KRONOBERGS LÄN</t>
        </is>
      </c>
      <c r="E2008" t="inlineStr">
        <is>
          <t>TINGSRYD</t>
        </is>
      </c>
      <c r="G2008" t="n">
        <v>1.4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1534-2025</t>
        </is>
      </c>
      <c r="B2009" s="1" t="n">
        <v>45670.48797453703</v>
      </c>
      <c r="C2009" s="1" t="n">
        <v>45957</v>
      </c>
      <c r="D2009" t="inlineStr">
        <is>
          <t>KRONOBERGS LÄN</t>
        </is>
      </c>
      <c r="E2009" t="inlineStr">
        <is>
          <t>TINGSRYD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16376-2024</t>
        </is>
      </c>
      <c r="B2010" s="1" t="n">
        <v>45407.60662037037</v>
      </c>
      <c r="C2010" s="1" t="n">
        <v>45957</v>
      </c>
      <c r="D2010" t="inlineStr">
        <is>
          <t>KRONOBERGS LÄN</t>
        </is>
      </c>
      <c r="E2010" t="inlineStr">
        <is>
          <t>ALVESTA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64511-2023</t>
        </is>
      </c>
      <c r="B2011" s="1" t="n">
        <v>45281.30539351852</v>
      </c>
      <c r="C2011" s="1" t="n">
        <v>45957</v>
      </c>
      <c r="D2011" t="inlineStr">
        <is>
          <t>KRONOBERGS LÄN</t>
        </is>
      </c>
      <c r="E2011" t="inlineStr">
        <is>
          <t>MARKARYD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51662-2023</t>
        </is>
      </c>
      <c r="B2012" s="1" t="n">
        <v>45222.56923611111</v>
      </c>
      <c r="C2012" s="1" t="n">
        <v>45957</v>
      </c>
      <c r="D2012" t="inlineStr">
        <is>
          <t>KRONOBERGS LÄN</t>
        </is>
      </c>
      <c r="E2012" t="inlineStr">
        <is>
          <t>VÄXJÖ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53241-2023</t>
        </is>
      </c>
      <c r="B2013" s="1" t="n">
        <v>45229.49331018519</v>
      </c>
      <c r="C2013" s="1" t="n">
        <v>45957</v>
      </c>
      <c r="D2013" t="inlineStr">
        <is>
          <t>KRONOBERGS LÄN</t>
        </is>
      </c>
      <c r="E2013" t="inlineStr">
        <is>
          <t>UPPVIDINGE</t>
        </is>
      </c>
      <c r="G2013" t="n">
        <v>1.2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13371-2024</t>
        </is>
      </c>
      <c r="B2014" s="1" t="n">
        <v>45387.36863425926</v>
      </c>
      <c r="C2014" s="1" t="n">
        <v>45957</v>
      </c>
      <c r="D2014" t="inlineStr">
        <is>
          <t>KRONOBERGS LÄN</t>
        </is>
      </c>
      <c r="E2014" t="inlineStr">
        <is>
          <t>VÄXJÖ</t>
        </is>
      </c>
      <c r="G2014" t="n">
        <v>1.1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20541-2024</t>
        </is>
      </c>
      <c r="B2015" s="1" t="n">
        <v>45436.32832175926</v>
      </c>
      <c r="C2015" s="1" t="n">
        <v>45957</v>
      </c>
      <c r="D2015" t="inlineStr">
        <is>
          <t>KRONOBERGS LÄN</t>
        </is>
      </c>
      <c r="E2015" t="inlineStr">
        <is>
          <t>LESSEBO</t>
        </is>
      </c>
      <c r="G2015" t="n">
        <v>0.5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12893-2023</t>
        </is>
      </c>
      <c r="B2016" s="1" t="n">
        <v>45001</v>
      </c>
      <c r="C2016" s="1" t="n">
        <v>45957</v>
      </c>
      <c r="D2016" t="inlineStr">
        <is>
          <t>KRONOBERGS LÄN</t>
        </is>
      </c>
      <c r="E2016" t="inlineStr">
        <is>
          <t>ÄLMHULT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12894-2023</t>
        </is>
      </c>
      <c r="B2017" s="1" t="n">
        <v>45001</v>
      </c>
      <c r="C2017" s="1" t="n">
        <v>45957</v>
      </c>
      <c r="D2017" t="inlineStr">
        <is>
          <t>KRONOBERGS LÄN</t>
        </is>
      </c>
      <c r="E2017" t="inlineStr">
        <is>
          <t>UPPVIDINGE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17286-2023</t>
        </is>
      </c>
      <c r="B2018" s="1" t="n">
        <v>45035</v>
      </c>
      <c r="C2018" s="1" t="n">
        <v>45957</v>
      </c>
      <c r="D2018" t="inlineStr">
        <is>
          <t>KRONOBERGS LÄN</t>
        </is>
      </c>
      <c r="E2018" t="inlineStr">
        <is>
          <t>LJUNGBY</t>
        </is>
      </c>
      <c r="G2018" t="n">
        <v>10.4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26875-2024</t>
        </is>
      </c>
      <c r="B2019" s="1" t="n">
        <v>45470</v>
      </c>
      <c r="C2019" s="1" t="n">
        <v>45957</v>
      </c>
      <c r="D2019" t="inlineStr">
        <is>
          <t>KRONOBERGS LÄN</t>
        </is>
      </c>
      <c r="E2019" t="inlineStr">
        <is>
          <t>LJUNGBY</t>
        </is>
      </c>
      <c r="G2019" t="n">
        <v>2.4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62994-2023</t>
        </is>
      </c>
      <c r="B2020" s="1" t="n">
        <v>45272.62565972222</v>
      </c>
      <c r="C2020" s="1" t="n">
        <v>45957</v>
      </c>
      <c r="D2020" t="inlineStr">
        <is>
          <t>KRONOBERGS LÄN</t>
        </is>
      </c>
      <c r="E2020" t="inlineStr">
        <is>
          <t>LJUNGBY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5474-2023</t>
        </is>
      </c>
      <c r="B2021" s="1" t="n">
        <v>44960.35675925926</v>
      </c>
      <c r="C2021" s="1" t="n">
        <v>45957</v>
      </c>
      <c r="D2021" t="inlineStr">
        <is>
          <t>KRONOBERGS LÄN</t>
        </is>
      </c>
      <c r="E2021" t="inlineStr">
        <is>
          <t>TINGSRYD</t>
        </is>
      </c>
      <c r="G2021" t="n">
        <v>2.3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63659-2020</t>
        </is>
      </c>
      <c r="B2022" s="1" t="n">
        <v>44166</v>
      </c>
      <c r="C2022" s="1" t="n">
        <v>45957</v>
      </c>
      <c r="D2022" t="inlineStr">
        <is>
          <t>KRONOBERGS LÄN</t>
        </is>
      </c>
      <c r="E2022" t="inlineStr">
        <is>
          <t>LESSEBO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63665-2020</t>
        </is>
      </c>
      <c r="B2023" s="1" t="n">
        <v>44166</v>
      </c>
      <c r="C2023" s="1" t="n">
        <v>45957</v>
      </c>
      <c r="D2023" t="inlineStr">
        <is>
          <t>KRONOBERGS LÄN</t>
        </is>
      </c>
      <c r="E2023" t="inlineStr">
        <is>
          <t>LESSEBO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63670-2020</t>
        </is>
      </c>
      <c r="B2024" s="1" t="n">
        <v>44166.36697916667</v>
      </c>
      <c r="C2024" s="1" t="n">
        <v>45957</v>
      </c>
      <c r="D2024" t="inlineStr">
        <is>
          <t>KRONOBERGS LÄN</t>
        </is>
      </c>
      <c r="E2024" t="inlineStr">
        <is>
          <t>LESSEBO</t>
        </is>
      </c>
      <c r="G2024" t="n">
        <v>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64003-2023</t>
        </is>
      </c>
      <c r="B2025" s="1" t="n">
        <v>45278.88578703703</v>
      </c>
      <c r="C2025" s="1" t="n">
        <v>45957</v>
      </c>
      <c r="D2025" t="inlineStr">
        <is>
          <t>KRONOBERGS LÄN</t>
        </is>
      </c>
      <c r="E2025" t="inlineStr">
        <is>
          <t>LJUNGBY</t>
        </is>
      </c>
      <c r="F2025" t="inlineStr">
        <is>
          <t>Kyrkan</t>
        </is>
      </c>
      <c r="G2025" t="n">
        <v>4.7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27095-2024</t>
        </is>
      </c>
      <c r="B2026" s="1" t="n">
        <v>45471</v>
      </c>
      <c r="C2026" s="1" t="n">
        <v>45957</v>
      </c>
      <c r="D2026" t="inlineStr">
        <is>
          <t>KRONOBERGS LÄN</t>
        </is>
      </c>
      <c r="E2026" t="inlineStr">
        <is>
          <t>ALVESTA</t>
        </is>
      </c>
      <c r="G2026" t="n">
        <v>2.4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29978-2023</t>
        </is>
      </c>
      <c r="B2027" s="1" t="n">
        <v>45108.9196875</v>
      </c>
      <c r="C2027" s="1" t="n">
        <v>45957</v>
      </c>
      <c r="D2027" t="inlineStr">
        <is>
          <t>KRONOBERGS LÄN</t>
        </is>
      </c>
      <c r="E2027" t="inlineStr">
        <is>
          <t>VÄXJÖ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6894-2023</t>
        </is>
      </c>
      <c r="B2028" s="1" t="n">
        <v>44967</v>
      </c>
      <c r="C2028" s="1" t="n">
        <v>45957</v>
      </c>
      <c r="D2028" t="inlineStr">
        <is>
          <t>KRONOBERGS LÄN</t>
        </is>
      </c>
      <c r="E2028" t="inlineStr">
        <is>
          <t>TINGSRYD</t>
        </is>
      </c>
      <c r="F2028" t="inlineStr">
        <is>
          <t>Övriga Aktiebolag</t>
        </is>
      </c>
      <c r="G2028" t="n">
        <v>2.7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8265-2024</t>
        </is>
      </c>
      <c r="B2029" s="1" t="n">
        <v>45352.31738425926</v>
      </c>
      <c r="C2029" s="1" t="n">
        <v>45957</v>
      </c>
      <c r="D2029" t="inlineStr">
        <is>
          <t>KRONOBERGS LÄN</t>
        </is>
      </c>
      <c r="E2029" t="inlineStr">
        <is>
          <t>ÄLMHULT</t>
        </is>
      </c>
      <c r="F2029" t="inlineStr">
        <is>
          <t>Sveaskog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3190-2025</t>
        </is>
      </c>
      <c r="B2030" s="1" t="n">
        <v>45679</v>
      </c>
      <c r="C2030" s="1" t="n">
        <v>45957</v>
      </c>
      <c r="D2030" t="inlineStr">
        <is>
          <t>KRONOBERGS LÄN</t>
        </is>
      </c>
      <c r="E2030" t="inlineStr">
        <is>
          <t>TINGSRYD</t>
        </is>
      </c>
      <c r="G2030" t="n">
        <v>5.9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56938-2021</t>
        </is>
      </c>
      <c r="B2031" s="1" t="n">
        <v>44482.3475</v>
      </c>
      <c r="C2031" s="1" t="n">
        <v>45957</v>
      </c>
      <c r="D2031" t="inlineStr">
        <is>
          <t>KRONOBERGS LÄN</t>
        </is>
      </c>
      <c r="E2031" t="inlineStr">
        <is>
          <t>ÄLMHULT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56172-2023</t>
        </is>
      </c>
      <c r="B2032" s="1" t="n">
        <v>45240.63111111111</v>
      </c>
      <c r="C2032" s="1" t="n">
        <v>45957</v>
      </c>
      <c r="D2032" t="inlineStr">
        <is>
          <t>KRONOBERGS LÄN</t>
        </is>
      </c>
      <c r="E2032" t="inlineStr">
        <is>
          <t>VÄXJÖ</t>
        </is>
      </c>
      <c r="G2032" t="n">
        <v>1.2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15590-2025</t>
        </is>
      </c>
      <c r="B2033" s="1" t="n">
        <v>45747.8646875</v>
      </c>
      <c r="C2033" s="1" t="n">
        <v>45957</v>
      </c>
      <c r="D2033" t="inlineStr">
        <is>
          <t>KRONOBERGS LÄN</t>
        </is>
      </c>
      <c r="E2033" t="inlineStr">
        <is>
          <t>LESSEBO</t>
        </is>
      </c>
      <c r="G2033" t="n">
        <v>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3782-2025</t>
        </is>
      </c>
      <c r="B2034" s="1" t="n">
        <v>45681.62265046296</v>
      </c>
      <c r="C2034" s="1" t="n">
        <v>45957</v>
      </c>
      <c r="D2034" t="inlineStr">
        <is>
          <t>KRONOBERGS LÄN</t>
        </is>
      </c>
      <c r="E2034" t="inlineStr">
        <is>
          <t>LJUNGBY</t>
        </is>
      </c>
      <c r="G2034" t="n">
        <v>1.7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5403-2021</t>
        </is>
      </c>
      <c r="B2035" s="1" t="n">
        <v>44229</v>
      </c>
      <c r="C2035" s="1" t="n">
        <v>45957</v>
      </c>
      <c r="D2035" t="inlineStr">
        <is>
          <t>KRONOBERGS LÄN</t>
        </is>
      </c>
      <c r="E2035" t="inlineStr">
        <is>
          <t>VÄXJÖ</t>
        </is>
      </c>
      <c r="G2035" t="n">
        <v>1.1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59233-2021</t>
        </is>
      </c>
      <c r="B2036" s="1" t="n">
        <v>44490</v>
      </c>
      <c r="C2036" s="1" t="n">
        <v>45957</v>
      </c>
      <c r="D2036" t="inlineStr">
        <is>
          <t>KRONOBERGS LÄN</t>
        </is>
      </c>
      <c r="E2036" t="inlineStr">
        <is>
          <t>ALVESTA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33075-2023</t>
        </is>
      </c>
      <c r="B2037" s="1" t="n">
        <v>45126</v>
      </c>
      <c r="C2037" s="1" t="n">
        <v>45957</v>
      </c>
      <c r="D2037" t="inlineStr">
        <is>
          <t>KRONOBERGS LÄN</t>
        </is>
      </c>
      <c r="E2037" t="inlineStr">
        <is>
          <t>LJUNGBY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65115-2023</t>
        </is>
      </c>
      <c r="B2038" s="1" t="n">
        <v>45288.46611111111</v>
      </c>
      <c r="C2038" s="1" t="n">
        <v>45957</v>
      </c>
      <c r="D2038" t="inlineStr">
        <is>
          <t>KRONOBERGS LÄN</t>
        </is>
      </c>
      <c r="E2038" t="inlineStr">
        <is>
          <t>UPPVIDINGE</t>
        </is>
      </c>
      <c r="F2038" t="inlineStr">
        <is>
          <t>Sveaskog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52239-2021</t>
        </is>
      </c>
      <c r="B2039" s="1" t="n">
        <v>44463.6044675926</v>
      </c>
      <c r="C2039" s="1" t="n">
        <v>45957</v>
      </c>
      <c r="D2039" t="inlineStr">
        <is>
          <t>KRONOBERGS LÄN</t>
        </is>
      </c>
      <c r="E2039" t="inlineStr">
        <is>
          <t>MARKARYD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47674-2022</t>
        </is>
      </c>
      <c r="B2040" s="1" t="n">
        <v>44854.4802199074</v>
      </c>
      <c r="C2040" s="1" t="n">
        <v>45957</v>
      </c>
      <c r="D2040" t="inlineStr">
        <is>
          <t>KRONOBERGS LÄN</t>
        </is>
      </c>
      <c r="E2040" t="inlineStr">
        <is>
          <t>VÄXJÖ</t>
        </is>
      </c>
      <c r="G2040" t="n">
        <v>5.6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12952-2024</t>
        </is>
      </c>
      <c r="B2041" s="1" t="n">
        <v>45385.48532407408</v>
      </c>
      <c r="C2041" s="1" t="n">
        <v>45957</v>
      </c>
      <c r="D2041" t="inlineStr">
        <is>
          <t>KRONOBERGS LÄN</t>
        </is>
      </c>
      <c r="E2041" t="inlineStr">
        <is>
          <t>ALVESTA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10932-2024</t>
        </is>
      </c>
      <c r="B2042" s="1" t="n">
        <v>45370.43637731481</v>
      </c>
      <c r="C2042" s="1" t="n">
        <v>45957</v>
      </c>
      <c r="D2042" t="inlineStr">
        <is>
          <t>KRONOBERGS LÄN</t>
        </is>
      </c>
      <c r="E2042" t="inlineStr">
        <is>
          <t>TINGSRYD</t>
        </is>
      </c>
      <c r="G2042" t="n">
        <v>0.9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47977-2021</t>
        </is>
      </c>
      <c r="B2043" s="1" t="n">
        <v>44448</v>
      </c>
      <c r="C2043" s="1" t="n">
        <v>45957</v>
      </c>
      <c r="D2043" t="inlineStr">
        <is>
          <t>KRONOBERGS LÄN</t>
        </is>
      </c>
      <c r="E2043" t="inlineStr">
        <is>
          <t>TINGSRYD</t>
        </is>
      </c>
      <c r="G2043" t="n">
        <v>2.9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56001-2023</t>
        </is>
      </c>
      <c r="B2044" s="1" t="n">
        <v>45240.39980324074</v>
      </c>
      <c r="C2044" s="1" t="n">
        <v>45957</v>
      </c>
      <c r="D2044" t="inlineStr">
        <is>
          <t>KRONOBERGS LÄN</t>
        </is>
      </c>
      <c r="E2044" t="inlineStr">
        <is>
          <t>TINGSRYD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43347-2023</t>
        </is>
      </c>
      <c r="B2045" s="1" t="n">
        <v>45183.65436342593</v>
      </c>
      <c r="C2045" s="1" t="n">
        <v>45957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51852-2023</t>
        </is>
      </c>
      <c r="B2046" s="1" t="n">
        <v>45223</v>
      </c>
      <c r="C2046" s="1" t="n">
        <v>45957</v>
      </c>
      <c r="D2046" t="inlineStr">
        <is>
          <t>KRONOBERGS LÄN</t>
        </is>
      </c>
      <c r="E2046" t="inlineStr">
        <is>
          <t>LJUNGBY</t>
        </is>
      </c>
      <c r="G2046" t="n">
        <v>2.8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632-2021</t>
        </is>
      </c>
      <c r="B2047" s="1" t="n">
        <v>44202</v>
      </c>
      <c r="C2047" s="1" t="n">
        <v>45957</v>
      </c>
      <c r="D2047" t="inlineStr">
        <is>
          <t>KRONOBERGS LÄN</t>
        </is>
      </c>
      <c r="E2047" t="inlineStr">
        <is>
          <t>UPPVIDINGE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51856-2023</t>
        </is>
      </c>
      <c r="B2048" s="1" t="n">
        <v>45223</v>
      </c>
      <c r="C2048" s="1" t="n">
        <v>45957</v>
      </c>
      <c r="D2048" t="inlineStr">
        <is>
          <t>KRONOBERGS LÄN</t>
        </is>
      </c>
      <c r="E2048" t="inlineStr">
        <is>
          <t>LJUNGBY</t>
        </is>
      </c>
      <c r="G2048" t="n">
        <v>0.8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24455-2023</t>
        </is>
      </c>
      <c r="B2049" s="1" t="n">
        <v>45082.56950231481</v>
      </c>
      <c r="C2049" s="1" t="n">
        <v>45957</v>
      </c>
      <c r="D2049" t="inlineStr">
        <is>
          <t>KRONOBERGS LÄN</t>
        </is>
      </c>
      <c r="E2049" t="inlineStr">
        <is>
          <t>UPPVIDINGE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52275-2024</t>
        </is>
      </c>
      <c r="B2050" s="1" t="n">
        <v>45608.66239583334</v>
      </c>
      <c r="C2050" s="1" t="n">
        <v>45957</v>
      </c>
      <c r="D2050" t="inlineStr">
        <is>
          <t>KRONOBERGS LÄN</t>
        </is>
      </c>
      <c r="E2050" t="inlineStr">
        <is>
          <t>ÄLMHULT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61592-2023</t>
        </is>
      </c>
      <c r="B2051" s="1" t="n">
        <v>45265.48799768519</v>
      </c>
      <c r="C2051" s="1" t="n">
        <v>45957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31092-2024</t>
        </is>
      </c>
      <c r="B2052" s="1" t="n">
        <v>45502.49574074074</v>
      </c>
      <c r="C2052" s="1" t="n">
        <v>45957</v>
      </c>
      <c r="D2052" t="inlineStr">
        <is>
          <t>KRONOBERGS LÄN</t>
        </is>
      </c>
      <c r="E2052" t="inlineStr">
        <is>
          <t>UPPVIDINGE</t>
        </is>
      </c>
      <c r="F2052" t="inlineStr">
        <is>
          <t>Sveaskog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32612-2022</t>
        </is>
      </c>
      <c r="B2053" s="1" t="n">
        <v>44783</v>
      </c>
      <c r="C2053" s="1" t="n">
        <v>45957</v>
      </c>
      <c r="D2053" t="inlineStr">
        <is>
          <t>KRONOBERGS LÄN</t>
        </is>
      </c>
      <c r="E2053" t="inlineStr">
        <is>
          <t>TINGSRYD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11219-2025</t>
        </is>
      </c>
      <c r="B2054" s="1" t="n">
        <v>45726.34025462963</v>
      </c>
      <c r="C2054" s="1" t="n">
        <v>45957</v>
      </c>
      <c r="D2054" t="inlineStr">
        <is>
          <t>KRONOBERGS LÄN</t>
        </is>
      </c>
      <c r="E2054" t="inlineStr">
        <is>
          <t>TINGSRYD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32487-2023</t>
        </is>
      </c>
      <c r="B2055" s="1" t="n">
        <v>45121</v>
      </c>
      <c r="C2055" s="1" t="n">
        <v>45957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32492-2023</t>
        </is>
      </c>
      <c r="B2056" s="1" t="n">
        <v>45121</v>
      </c>
      <c r="C2056" s="1" t="n">
        <v>45957</v>
      </c>
      <c r="D2056" t="inlineStr">
        <is>
          <t>KRONOBERGS LÄN</t>
        </is>
      </c>
      <c r="E2056" t="inlineStr">
        <is>
          <t>VÄXJÖ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32496-2023</t>
        </is>
      </c>
      <c r="B2057" s="1" t="n">
        <v>45121</v>
      </c>
      <c r="C2057" s="1" t="n">
        <v>45957</v>
      </c>
      <c r="D2057" t="inlineStr">
        <is>
          <t>KRONOBERGS LÄN</t>
        </is>
      </c>
      <c r="E2057" t="inlineStr">
        <is>
          <t>VÄXJÖ</t>
        </is>
      </c>
      <c r="G2057" t="n">
        <v>1.7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37251-2021</t>
        </is>
      </c>
      <c r="B2058" s="1" t="n">
        <v>44396</v>
      </c>
      <c r="C2058" s="1" t="n">
        <v>45957</v>
      </c>
      <c r="D2058" t="inlineStr">
        <is>
          <t>KRONOBERGS LÄN</t>
        </is>
      </c>
      <c r="E2058" t="inlineStr">
        <is>
          <t>UPPVIDINGE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30322-2025</t>
        </is>
      </c>
      <c r="B2059" s="1" t="n">
        <v>45827.49856481481</v>
      </c>
      <c r="C2059" s="1" t="n">
        <v>45957</v>
      </c>
      <c r="D2059" t="inlineStr">
        <is>
          <t>KRONOBERGS LÄN</t>
        </is>
      </c>
      <c r="E2059" t="inlineStr">
        <is>
          <t>ÄLMHULT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43263-2024</t>
        </is>
      </c>
      <c r="B2060" s="1" t="n">
        <v>45568.36784722222</v>
      </c>
      <c r="C2060" s="1" t="n">
        <v>45957</v>
      </c>
      <c r="D2060" t="inlineStr">
        <is>
          <t>KRONOBERGS LÄN</t>
        </is>
      </c>
      <c r="E2060" t="inlineStr">
        <is>
          <t>TINGSRYD</t>
        </is>
      </c>
      <c r="G2060" t="n">
        <v>1.7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56799-2024</t>
        </is>
      </c>
      <c r="B2061" s="1" t="n">
        <v>45628.46613425926</v>
      </c>
      <c r="C2061" s="1" t="n">
        <v>45957</v>
      </c>
      <c r="D2061" t="inlineStr">
        <is>
          <t>KRONOBERGS LÄN</t>
        </is>
      </c>
      <c r="E2061" t="inlineStr">
        <is>
          <t>LJUNGBY</t>
        </is>
      </c>
      <c r="G2061" t="n">
        <v>3.2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42349-2024</t>
        </is>
      </c>
      <c r="B2062" s="1" t="n">
        <v>45562.70030092593</v>
      </c>
      <c r="C2062" s="1" t="n">
        <v>45957</v>
      </c>
      <c r="D2062" t="inlineStr">
        <is>
          <t>KRONOBERGS LÄN</t>
        </is>
      </c>
      <c r="E2062" t="inlineStr">
        <is>
          <t>TINGSRYD</t>
        </is>
      </c>
      <c r="G2062" t="n">
        <v>3.3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32142-2024</t>
        </is>
      </c>
      <c r="B2063" s="1" t="n">
        <v>45511</v>
      </c>
      <c r="C2063" s="1" t="n">
        <v>45957</v>
      </c>
      <c r="D2063" t="inlineStr">
        <is>
          <t>KRONOBERGS LÄN</t>
        </is>
      </c>
      <c r="E2063" t="inlineStr">
        <is>
          <t>TINGSRYD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64072-2023</t>
        </is>
      </c>
      <c r="B2064" s="1" t="n">
        <v>45279.37215277777</v>
      </c>
      <c r="C2064" s="1" t="n">
        <v>45957</v>
      </c>
      <c r="D2064" t="inlineStr">
        <is>
          <t>KRONOBERGS LÄN</t>
        </is>
      </c>
      <c r="E2064" t="inlineStr">
        <is>
          <t>UPPVIDINGE</t>
        </is>
      </c>
      <c r="G2064" t="n">
        <v>2.9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46410-2025</t>
        </is>
      </c>
      <c r="B2065" s="1" t="n">
        <v>45925.56767361111</v>
      </c>
      <c r="C2065" s="1" t="n">
        <v>45957</v>
      </c>
      <c r="D2065" t="inlineStr">
        <is>
          <t>KRONOBERGS LÄN</t>
        </is>
      </c>
      <c r="E2065" t="inlineStr">
        <is>
          <t>VÄXJÖ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61625-2023</t>
        </is>
      </c>
      <c r="B2066" s="1" t="n">
        <v>45265.54759259259</v>
      </c>
      <c r="C2066" s="1" t="n">
        <v>45957</v>
      </c>
      <c r="D2066" t="inlineStr">
        <is>
          <t>KRONOBERGS LÄN</t>
        </is>
      </c>
      <c r="E2066" t="inlineStr">
        <is>
          <t>MARKARYD</t>
        </is>
      </c>
      <c r="G2066" t="n">
        <v>2.2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53412-2024</t>
        </is>
      </c>
      <c r="B2067" s="1" t="n">
        <v>45614.505625</v>
      </c>
      <c r="C2067" s="1" t="n">
        <v>45957</v>
      </c>
      <c r="D2067" t="inlineStr">
        <is>
          <t>KRONOBERGS LÄN</t>
        </is>
      </c>
      <c r="E2067" t="inlineStr">
        <is>
          <t>LJUNGBY</t>
        </is>
      </c>
      <c r="F2067" t="inlineStr">
        <is>
          <t>Sveaskog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60370-2021</t>
        </is>
      </c>
      <c r="B2068" s="1" t="n">
        <v>44496</v>
      </c>
      <c r="C2068" s="1" t="n">
        <v>45957</v>
      </c>
      <c r="D2068" t="inlineStr">
        <is>
          <t>KRONOBERGS LÄN</t>
        </is>
      </c>
      <c r="E2068" t="inlineStr">
        <is>
          <t>UPPVIDINGE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14941-2023</t>
        </is>
      </c>
      <c r="B2069" s="1" t="n">
        <v>45015</v>
      </c>
      <c r="C2069" s="1" t="n">
        <v>45957</v>
      </c>
      <c r="D2069" t="inlineStr">
        <is>
          <t>KRONOBERGS LÄN</t>
        </is>
      </c>
      <c r="E2069" t="inlineStr">
        <is>
          <t>ALVESTA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30128-2024</t>
        </is>
      </c>
      <c r="B2070" s="1" t="n">
        <v>45489.50666666667</v>
      </c>
      <c r="C2070" s="1" t="n">
        <v>45957</v>
      </c>
      <c r="D2070" t="inlineStr">
        <is>
          <t>KRONOBERGS LÄN</t>
        </is>
      </c>
      <c r="E2070" t="inlineStr">
        <is>
          <t>UPPVIDINGE</t>
        </is>
      </c>
      <c r="G2070" t="n">
        <v>2.3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976-2023</t>
        </is>
      </c>
      <c r="B2071" s="1" t="n">
        <v>44935.34144675926</v>
      </c>
      <c r="C2071" s="1" t="n">
        <v>45957</v>
      </c>
      <c r="D2071" t="inlineStr">
        <is>
          <t>KRONOBERGS LÄN</t>
        </is>
      </c>
      <c r="E2071" t="inlineStr">
        <is>
          <t>ÄLMHULT</t>
        </is>
      </c>
      <c r="G2071" t="n">
        <v>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1116-2022</t>
        </is>
      </c>
      <c r="B2072" s="1" t="n">
        <v>44572.34041666667</v>
      </c>
      <c r="C2072" s="1" t="n">
        <v>45957</v>
      </c>
      <c r="D2072" t="inlineStr">
        <is>
          <t>KRONOBERGS LÄN</t>
        </is>
      </c>
      <c r="E2072" t="inlineStr">
        <is>
          <t>MARKARYD</t>
        </is>
      </c>
      <c r="G2072" t="n">
        <v>2.2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47402-2024</t>
        </is>
      </c>
      <c r="B2073" s="1" t="n">
        <v>45587</v>
      </c>
      <c r="C2073" s="1" t="n">
        <v>45957</v>
      </c>
      <c r="D2073" t="inlineStr">
        <is>
          <t>KRONOBERGS LÄN</t>
        </is>
      </c>
      <c r="E2073" t="inlineStr">
        <is>
          <t>LESSEBO</t>
        </is>
      </c>
      <c r="G2073" t="n">
        <v>5.5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57030-2023</t>
        </is>
      </c>
      <c r="B2074" s="1" t="n">
        <v>45244.83949074074</v>
      </c>
      <c r="C2074" s="1" t="n">
        <v>45957</v>
      </c>
      <c r="D2074" t="inlineStr">
        <is>
          <t>KRONOBERGS LÄN</t>
        </is>
      </c>
      <c r="E2074" t="inlineStr">
        <is>
          <t>MARKARYD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57037-2023</t>
        </is>
      </c>
      <c r="B2075" s="1" t="n">
        <v>45244.87707175926</v>
      </c>
      <c r="C2075" s="1" t="n">
        <v>45957</v>
      </c>
      <c r="D2075" t="inlineStr">
        <is>
          <t>KRONOBERGS LÄN</t>
        </is>
      </c>
      <c r="E2075" t="inlineStr">
        <is>
          <t>VÄXJÖ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25009-2024</t>
        </is>
      </c>
      <c r="B2076" s="1" t="n">
        <v>45461.85684027777</v>
      </c>
      <c r="C2076" s="1" t="n">
        <v>45957</v>
      </c>
      <c r="D2076" t="inlineStr">
        <is>
          <t>KRONOBERGS LÄN</t>
        </is>
      </c>
      <c r="E2076" t="inlineStr">
        <is>
          <t>TINGSRYD</t>
        </is>
      </c>
      <c r="F2076" t="inlineStr">
        <is>
          <t>Övriga Aktiebolag</t>
        </is>
      </c>
      <c r="G2076" t="n">
        <v>1.5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9902-2025</t>
        </is>
      </c>
      <c r="B2077" s="1" t="n">
        <v>45716.88037037037</v>
      </c>
      <c r="C2077" s="1" t="n">
        <v>45957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6100-2024</t>
        </is>
      </c>
      <c r="B2078" s="1" t="n">
        <v>45337</v>
      </c>
      <c r="C2078" s="1" t="n">
        <v>45957</v>
      </c>
      <c r="D2078" t="inlineStr">
        <is>
          <t>KRONOBERGS LÄN</t>
        </is>
      </c>
      <c r="E2078" t="inlineStr">
        <is>
          <t>ALVESTA</t>
        </is>
      </c>
      <c r="G2078" t="n">
        <v>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7101-2024</t>
        </is>
      </c>
      <c r="B2079" s="1" t="n">
        <v>45343.92605324074</v>
      </c>
      <c r="C2079" s="1" t="n">
        <v>45957</v>
      </c>
      <c r="D2079" t="inlineStr">
        <is>
          <t>KRONOBERGS LÄN</t>
        </is>
      </c>
      <c r="E2079" t="inlineStr">
        <is>
          <t>LJUNGBY</t>
        </is>
      </c>
      <c r="G2079" t="n">
        <v>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4636-2023</t>
        </is>
      </c>
      <c r="B2080" s="1" t="n">
        <v>44953</v>
      </c>
      <c r="C2080" s="1" t="n">
        <v>45957</v>
      </c>
      <c r="D2080" t="inlineStr">
        <is>
          <t>KRONOBERGS LÄN</t>
        </is>
      </c>
      <c r="E2080" t="inlineStr">
        <is>
          <t>TINGSRYD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11222-2023</t>
        </is>
      </c>
      <c r="B2081" s="1" t="n">
        <v>44992.62568287037</v>
      </c>
      <c r="C2081" s="1" t="n">
        <v>45957</v>
      </c>
      <c r="D2081" t="inlineStr">
        <is>
          <t>KRONOBERGS LÄN</t>
        </is>
      </c>
      <c r="E2081" t="inlineStr">
        <is>
          <t>ÄLMHULT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11207-2024</t>
        </is>
      </c>
      <c r="B2082" s="1" t="n">
        <v>45371.56891203704</v>
      </c>
      <c r="C2082" s="1" t="n">
        <v>45957</v>
      </c>
      <c r="D2082" t="inlineStr">
        <is>
          <t>KRONOBERGS LÄN</t>
        </is>
      </c>
      <c r="E2082" t="inlineStr">
        <is>
          <t>ÄLMHULT</t>
        </is>
      </c>
      <c r="G2082" t="n">
        <v>0.9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13447-2024</t>
        </is>
      </c>
      <c r="B2083" s="1" t="n">
        <v>45387.50104166667</v>
      </c>
      <c r="C2083" s="1" t="n">
        <v>45957</v>
      </c>
      <c r="D2083" t="inlineStr">
        <is>
          <t>KRONOBERGS LÄN</t>
        </is>
      </c>
      <c r="E2083" t="inlineStr">
        <is>
          <t>VÄXJÖ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3843-2023</t>
        </is>
      </c>
      <c r="B2084" s="1" t="n">
        <v>44951</v>
      </c>
      <c r="C2084" s="1" t="n">
        <v>45957</v>
      </c>
      <c r="D2084" t="inlineStr">
        <is>
          <t>KRONOBERGS LÄN</t>
        </is>
      </c>
      <c r="E2084" t="inlineStr">
        <is>
          <t>ALVESTA</t>
        </is>
      </c>
      <c r="G2084" t="n">
        <v>6.7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50155-2024</t>
        </is>
      </c>
      <c r="B2085" s="1" t="n">
        <v>45600.45695601852</v>
      </c>
      <c r="C2085" s="1" t="n">
        <v>45957</v>
      </c>
      <c r="D2085" t="inlineStr">
        <is>
          <t>KRONOBERGS LÄN</t>
        </is>
      </c>
      <c r="E2085" t="inlineStr">
        <is>
          <t>MARKARYD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58819-2024</t>
        </is>
      </c>
      <c r="B2086" s="1" t="n">
        <v>45636.36040509259</v>
      </c>
      <c r="C2086" s="1" t="n">
        <v>45957</v>
      </c>
      <c r="D2086" t="inlineStr">
        <is>
          <t>KRONOBERGS LÄN</t>
        </is>
      </c>
      <c r="E2086" t="inlineStr">
        <is>
          <t>TINGSRYD</t>
        </is>
      </c>
      <c r="F2086" t="inlineStr">
        <is>
          <t>Övriga Aktiebolag</t>
        </is>
      </c>
      <c r="G2086" t="n">
        <v>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22085-2025</t>
        </is>
      </c>
      <c r="B2087" s="1" t="n">
        <v>45785</v>
      </c>
      <c r="C2087" s="1" t="n">
        <v>45957</v>
      </c>
      <c r="D2087" t="inlineStr">
        <is>
          <t>KRONOBERGS LÄN</t>
        </is>
      </c>
      <c r="E2087" t="inlineStr">
        <is>
          <t>MARKARYD</t>
        </is>
      </c>
      <c r="G2087" t="n">
        <v>6.9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49965-2024</t>
        </is>
      </c>
      <c r="B2088" s="1" t="n">
        <v>45597.63311342592</v>
      </c>
      <c r="C2088" s="1" t="n">
        <v>45957</v>
      </c>
      <c r="D2088" t="inlineStr">
        <is>
          <t>KRONOBERGS LÄN</t>
        </is>
      </c>
      <c r="E2088" t="inlineStr">
        <is>
          <t>TINGSRYD</t>
        </is>
      </c>
      <c r="G2088" t="n">
        <v>3.5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56863-2022</t>
        </is>
      </c>
      <c r="B2089" s="1" t="n">
        <v>44894</v>
      </c>
      <c r="C2089" s="1" t="n">
        <v>45957</v>
      </c>
      <c r="D2089" t="inlineStr">
        <is>
          <t>KRONOBERGS LÄN</t>
        </is>
      </c>
      <c r="E2089" t="inlineStr">
        <is>
          <t>VÄXJÖ</t>
        </is>
      </c>
      <c r="G2089" t="n">
        <v>11.1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11356-2024</t>
        </is>
      </c>
      <c r="B2090" s="1" t="n">
        <v>45372.36653935185</v>
      </c>
      <c r="C2090" s="1" t="n">
        <v>45957</v>
      </c>
      <c r="D2090" t="inlineStr">
        <is>
          <t>KRONOBERGS LÄN</t>
        </is>
      </c>
      <c r="E2090" t="inlineStr">
        <is>
          <t>LJUNGBY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56936-2022</t>
        </is>
      </c>
      <c r="B2091" s="1" t="n">
        <v>44894.63579861111</v>
      </c>
      <c r="C2091" s="1" t="n">
        <v>45957</v>
      </c>
      <c r="D2091" t="inlineStr">
        <is>
          <t>KRONOBERGS LÄN</t>
        </is>
      </c>
      <c r="E2091" t="inlineStr">
        <is>
          <t>LJUNGBY</t>
        </is>
      </c>
      <c r="G2091" t="n">
        <v>0.9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60080-2022</t>
        </is>
      </c>
      <c r="B2092" s="1" t="n">
        <v>44909</v>
      </c>
      <c r="C2092" s="1" t="n">
        <v>45957</v>
      </c>
      <c r="D2092" t="inlineStr">
        <is>
          <t>KRONOBERGS LÄN</t>
        </is>
      </c>
      <c r="E2092" t="inlineStr">
        <is>
          <t>ALVESTA</t>
        </is>
      </c>
      <c r="G2092" t="n">
        <v>3.1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22738-2024</t>
        </is>
      </c>
      <c r="B2093" s="1" t="n">
        <v>45448.3909375</v>
      </c>
      <c r="C2093" s="1" t="n">
        <v>45957</v>
      </c>
      <c r="D2093" t="inlineStr">
        <is>
          <t>KRONOBERGS LÄN</t>
        </is>
      </c>
      <c r="E2093" t="inlineStr">
        <is>
          <t>VÄXJÖ</t>
        </is>
      </c>
      <c r="G2093" t="n">
        <v>1.7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41805-2024</t>
        </is>
      </c>
      <c r="B2094" s="1" t="n">
        <v>45561.37106481481</v>
      </c>
      <c r="C2094" s="1" t="n">
        <v>45957</v>
      </c>
      <c r="D2094" t="inlineStr">
        <is>
          <t>KRONOBERGS LÄN</t>
        </is>
      </c>
      <c r="E2094" t="inlineStr">
        <is>
          <t>UPPVIDINGE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22394-2025</t>
        </is>
      </c>
      <c r="B2095" s="1" t="n">
        <v>45786.5274537037</v>
      </c>
      <c r="C2095" s="1" t="n">
        <v>45957</v>
      </c>
      <c r="D2095" t="inlineStr">
        <is>
          <t>KRONOBERGS LÄN</t>
        </is>
      </c>
      <c r="E2095" t="inlineStr">
        <is>
          <t>VÄXJÖ</t>
        </is>
      </c>
      <c r="G2095" t="n">
        <v>1.4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5272-2023</t>
        </is>
      </c>
      <c r="B2096" s="1" t="n">
        <v>44959.48167824074</v>
      </c>
      <c r="C2096" s="1" t="n">
        <v>45957</v>
      </c>
      <c r="D2096" t="inlineStr">
        <is>
          <t>KRONOBERGS LÄN</t>
        </is>
      </c>
      <c r="E2096" t="inlineStr">
        <is>
          <t>VÄXJÖ</t>
        </is>
      </c>
      <c r="G2096" t="n">
        <v>0.4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34247-2024</t>
        </is>
      </c>
      <c r="B2097" s="1" t="n">
        <v>45524.58696759259</v>
      </c>
      <c r="C2097" s="1" t="n">
        <v>45957</v>
      </c>
      <c r="D2097" t="inlineStr">
        <is>
          <t>KRONOBERGS LÄN</t>
        </is>
      </c>
      <c r="E2097" t="inlineStr">
        <is>
          <t>TINGSRYD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45393-2024</t>
        </is>
      </c>
      <c r="B2098" s="1" t="n">
        <v>45576.55013888889</v>
      </c>
      <c r="C2098" s="1" t="n">
        <v>45957</v>
      </c>
      <c r="D2098" t="inlineStr">
        <is>
          <t>KRONOBERGS LÄN</t>
        </is>
      </c>
      <c r="E2098" t="inlineStr">
        <is>
          <t>TINGSRYD</t>
        </is>
      </c>
      <c r="G2098" t="n">
        <v>1.8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14798-2025</t>
        </is>
      </c>
      <c r="B2099" s="1" t="n">
        <v>45742</v>
      </c>
      <c r="C2099" s="1" t="n">
        <v>45957</v>
      </c>
      <c r="D2099" t="inlineStr">
        <is>
          <t>KRONOBERGS LÄN</t>
        </is>
      </c>
      <c r="E2099" t="inlineStr">
        <is>
          <t>UPPVIDINGE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7869-2023</t>
        </is>
      </c>
      <c r="B2100" s="1" t="n">
        <v>44973</v>
      </c>
      <c r="C2100" s="1" t="n">
        <v>45957</v>
      </c>
      <c r="D2100" t="inlineStr">
        <is>
          <t>KRONOBERGS LÄN</t>
        </is>
      </c>
      <c r="E2100" t="inlineStr">
        <is>
          <t>ALVESTA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17932-2024</t>
        </is>
      </c>
      <c r="B2101" s="1" t="n">
        <v>45419</v>
      </c>
      <c r="C2101" s="1" t="n">
        <v>45957</v>
      </c>
      <c r="D2101" t="inlineStr">
        <is>
          <t>KRONOBERGS LÄN</t>
        </is>
      </c>
      <c r="E2101" t="inlineStr">
        <is>
          <t>MARKARYD</t>
        </is>
      </c>
      <c r="G2101" t="n">
        <v>2.6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43378-2024</t>
        </is>
      </c>
      <c r="B2102" s="1" t="n">
        <v>45568</v>
      </c>
      <c r="C2102" s="1" t="n">
        <v>45957</v>
      </c>
      <c r="D2102" t="inlineStr">
        <is>
          <t>KRONOBERGS LÄN</t>
        </is>
      </c>
      <c r="E2102" t="inlineStr">
        <is>
          <t>UPPVIDINGE</t>
        </is>
      </c>
      <c r="F2102" t="inlineStr">
        <is>
          <t>Kyrkan</t>
        </is>
      </c>
      <c r="G2102" t="n">
        <v>5.5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62858-2023</t>
        </is>
      </c>
      <c r="B2103" s="1" t="n">
        <v>45272</v>
      </c>
      <c r="C2103" s="1" t="n">
        <v>45957</v>
      </c>
      <c r="D2103" t="inlineStr">
        <is>
          <t>KRONOBERGS LÄN</t>
        </is>
      </c>
      <c r="E2103" t="inlineStr">
        <is>
          <t>LJUNGBY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43405-2024</t>
        </is>
      </c>
      <c r="B2104" s="1" t="n">
        <v>45568</v>
      </c>
      <c r="C2104" s="1" t="n">
        <v>45957</v>
      </c>
      <c r="D2104" t="inlineStr">
        <is>
          <t>KRONOBERGS LÄN</t>
        </is>
      </c>
      <c r="E2104" t="inlineStr">
        <is>
          <t>UPPVIDINGE</t>
        </is>
      </c>
      <c r="F2104" t="inlineStr">
        <is>
          <t>Kyrkan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58060-2021</t>
        </is>
      </c>
      <c r="B2105" s="1" t="n">
        <v>44487</v>
      </c>
      <c r="C2105" s="1" t="n">
        <v>45957</v>
      </c>
      <c r="D2105" t="inlineStr">
        <is>
          <t>KRONOBERGS LÄN</t>
        </is>
      </c>
      <c r="E2105" t="inlineStr">
        <is>
          <t>VÄXJÖ</t>
        </is>
      </c>
      <c r="G2105" t="n">
        <v>2.7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22337-2025</t>
        </is>
      </c>
      <c r="B2106" s="1" t="n">
        <v>45786.44407407408</v>
      </c>
      <c r="C2106" s="1" t="n">
        <v>45957</v>
      </c>
      <c r="D2106" t="inlineStr">
        <is>
          <t>KRONOBERGS LÄN</t>
        </is>
      </c>
      <c r="E2106" t="inlineStr">
        <is>
          <t>MARKARYD</t>
        </is>
      </c>
      <c r="G2106" t="n">
        <v>1.8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13020-2025</t>
        </is>
      </c>
      <c r="B2107" s="1" t="n">
        <v>45734.55042824074</v>
      </c>
      <c r="C2107" s="1" t="n">
        <v>45957</v>
      </c>
      <c r="D2107" t="inlineStr">
        <is>
          <t>KRONOBERGS LÄN</t>
        </is>
      </c>
      <c r="E2107" t="inlineStr">
        <is>
          <t>LJUNGBY</t>
        </is>
      </c>
      <c r="G2107" t="n">
        <v>1.3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42390-2024</t>
        </is>
      </c>
      <c r="B2108" s="1" t="n">
        <v>45565.32006944445</v>
      </c>
      <c r="C2108" s="1" t="n">
        <v>45957</v>
      </c>
      <c r="D2108" t="inlineStr">
        <is>
          <t>KRONOBERGS LÄN</t>
        </is>
      </c>
      <c r="E2108" t="inlineStr">
        <is>
          <t>TINGSRYD</t>
        </is>
      </c>
      <c r="G2108" t="n">
        <v>0.9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63537-2023</t>
        </is>
      </c>
      <c r="B2109" s="1" t="n">
        <v>45275.29770833333</v>
      </c>
      <c r="C2109" s="1" t="n">
        <v>45957</v>
      </c>
      <c r="D2109" t="inlineStr">
        <is>
          <t>KRONOBERGS LÄN</t>
        </is>
      </c>
      <c r="E2109" t="inlineStr">
        <is>
          <t>MARKARYD</t>
        </is>
      </c>
      <c r="F2109" t="inlineStr">
        <is>
          <t>Sveaskog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17790-2024</t>
        </is>
      </c>
      <c r="B2110" s="1" t="n">
        <v>45418</v>
      </c>
      <c r="C2110" s="1" t="n">
        <v>45957</v>
      </c>
      <c r="D2110" t="inlineStr">
        <is>
          <t>KRONOBERGS LÄN</t>
        </is>
      </c>
      <c r="E2110" t="inlineStr">
        <is>
          <t>ALVESTA</t>
        </is>
      </c>
      <c r="G2110" t="n">
        <v>1.6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3034-2022</t>
        </is>
      </c>
      <c r="B2111" s="1" t="n">
        <v>44582.30452546296</v>
      </c>
      <c r="C2111" s="1" t="n">
        <v>45957</v>
      </c>
      <c r="D2111" t="inlineStr">
        <is>
          <t>KRONOBERGS LÄN</t>
        </is>
      </c>
      <c r="E2111" t="inlineStr">
        <is>
          <t>ÄLMHULT</t>
        </is>
      </c>
      <c r="G2111" t="n">
        <v>1.9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53275-2024</t>
        </is>
      </c>
      <c r="B2112" s="1" t="n">
        <v>45614.37194444444</v>
      </c>
      <c r="C2112" s="1" t="n">
        <v>45957</v>
      </c>
      <c r="D2112" t="inlineStr">
        <is>
          <t>KRONOBERGS LÄN</t>
        </is>
      </c>
      <c r="E2112" t="inlineStr">
        <is>
          <t>VÄXJÖ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30436-2023</t>
        </is>
      </c>
      <c r="B2113" s="1" t="n">
        <v>45111</v>
      </c>
      <c r="C2113" s="1" t="n">
        <v>45957</v>
      </c>
      <c r="D2113" t="inlineStr">
        <is>
          <t>KRONOBERGS LÄN</t>
        </is>
      </c>
      <c r="E2113" t="inlineStr">
        <is>
          <t>VÄXJÖ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58641-2021</t>
        </is>
      </c>
      <c r="B2114" s="1" t="n">
        <v>44489.36054398148</v>
      </c>
      <c r="C2114" s="1" t="n">
        <v>45957</v>
      </c>
      <c r="D2114" t="inlineStr">
        <is>
          <t>KRONOBERGS LÄN</t>
        </is>
      </c>
      <c r="E2114" t="inlineStr">
        <is>
          <t>TINGSRYD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60545-2022</t>
        </is>
      </c>
      <c r="B2115" s="1" t="n">
        <v>44904</v>
      </c>
      <c r="C2115" s="1" t="n">
        <v>45957</v>
      </c>
      <c r="D2115" t="inlineStr">
        <is>
          <t>KRONOBERGS LÄN</t>
        </is>
      </c>
      <c r="E2115" t="inlineStr">
        <is>
          <t>TINGSRYD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36890-2023</t>
        </is>
      </c>
      <c r="B2116" s="1" t="n">
        <v>45154.61569444444</v>
      </c>
      <c r="C2116" s="1" t="n">
        <v>45957</v>
      </c>
      <c r="D2116" t="inlineStr">
        <is>
          <t>KRONOBERGS LÄN</t>
        </is>
      </c>
      <c r="E2116" t="inlineStr">
        <is>
          <t>TINGSRYD</t>
        </is>
      </c>
      <c r="G2116" t="n">
        <v>1.5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20567-2024</t>
        </is>
      </c>
      <c r="B2117" s="1" t="n">
        <v>45436.38177083333</v>
      </c>
      <c r="C2117" s="1" t="n">
        <v>45957</v>
      </c>
      <c r="D2117" t="inlineStr">
        <is>
          <t>KRONOBERGS LÄN</t>
        </is>
      </c>
      <c r="E2117" t="inlineStr">
        <is>
          <t>TINGSRYD</t>
        </is>
      </c>
      <c r="G2117" t="n">
        <v>1.8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36274-2023</t>
        </is>
      </c>
      <c r="B2118" s="1" t="n">
        <v>45152.32761574074</v>
      </c>
      <c r="C2118" s="1" t="n">
        <v>45957</v>
      </c>
      <c r="D2118" t="inlineStr">
        <is>
          <t>KRONOBERGS LÄN</t>
        </is>
      </c>
      <c r="E2118" t="inlineStr">
        <is>
          <t>TINGSRYD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60115-2023</t>
        </is>
      </c>
      <c r="B2119" s="1" t="n">
        <v>45258.47369212963</v>
      </c>
      <c r="C2119" s="1" t="n">
        <v>45957</v>
      </c>
      <c r="D2119" t="inlineStr">
        <is>
          <t>KRONOBERGS LÄN</t>
        </is>
      </c>
      <c r="E2119" t="inlineStr">
        <is>
          <t>MARKARYD</t>
        </is>
      </c>
      <c r="G2119" t="n">
        <v>2.5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60121-2023</t>
        </is>
      </c>
      <c r="B2120" s="1" t="n">
        <v>45258.48143518518</v>
      </c>
      <c r="C2120" s="1" t="n">
        <v>45957</v>
      </c>
      <c r="D2120" t="inlineStr">
        <is>
          <t>KRONOBERGS LÄN</t>
        </is>
      </c>
      <c r="E2120" t="inlineStr">
        <is>
          <t>MARKARYD</t>
        </is>
      </c>
      <c r="G2120" t="n">
        <v>2.4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22665-2025</t>
        </is>
      </c>
      <c r="B2121" s="1" t="n">
        <v>45789.48659722223</v>
      </c>
      <c r="C2121" s="1" t="n">
        <v>45957</v>
      </c>
      <c r="D2121" t="inlineStr">
        <is>
          <t>KRONOBERGS LÄN</t>
        </is>
      </c>
      <c r="E2121" t="inlineStr">
        <is>
          <t>VÄXJÖ</t>
        </is>
      </c>
      <c r="G2121" t="n">
        <v>1.8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20618-2024</t>
        </is>
      </c>
      <c r="B2122" s="1" t="n">
        <v>45436.45836805556</v>
      </c>
      <c r="C2122" s="1" t="n">
        <v>45957</v>
      </c>
      <c r="D2122" t="inlineStr">
        <is>
          <t>KRONOBERGS LÄN</t>
        </is>
      </c>
      <c r="E2122" t="inlineStr">
        <is>
          <t>ALVESTA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28042-2024</t>
        </is>
      </c>
      <c r="B2123" s="1" t="n">
        <v>45476.50758101852</v>
      </c>
      <c r="C2123" s="1" t="n">
        <v>45957</v>
      </c>
      <c r="D2123" t="inlineStr">
        <is>
          <t>KRONOBERGS LÄN</t>
        </is>
      </c>
      <c r="E2123" t="inlineStr">
        <is>
          <t>UPPVIDINGE</t>
        </is>
      </c>
      <c r="G2123" t="n">
        <v>3.7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21658-2023</t>
        </is>
      </c>
      <c r="B2124" s="1" t="n">
        <v>45063</v>
      </c>
      <c r="C2124" s="1" t="n">
        <v>45957</v>
      </c>
      <c r="D2124" t="inlineStr">
        <is>
          <t>KRONOBERGS LÄN</t>
        </is>
      </c>
      <c r="E2124" t="inlineStr">
        <is>
          <t>MARKARYD</t>
        </is>
      </c>
      <c r="G2124" t="n">
        <v>12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36871-2023</t>
        </is>
      </c>
      <c r="B2125" s="1" t="n">
        <v>45154.57079861111</v>
      </c>
      <c r="C2125" s="1" t="n">
        <v>45957</v>
      </c>
      <c r="D2125" t="inlineStr">
        <is>
          <t>KRONOBERGS LÄN</t>
        </is>
      </c>
      <c r="E2125" t="inlineStr">
        <is>
          <t>UPPVIDINGE</t>
        </is>
      </c>
      <c r="G2125" t="n">
        <v>0.5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4665-2021</t>
        </is>
      </c>
      <c r="B2126" s="1" t="n">
        <v>44224</v>
      </c>
      <c r="C2126" s="1" t="n">
        <v>45957</v>
      </c>
      <c r="D2126" t="inlineStr">
        <is>
          <t>KRONOBERGS LÄN</t>
        </is>
      </c>
      <c r="E2126" t="inlineStr">
        <is>
          <t>VÄXJÖ</t>
        </is>
      </c>
      <c r="G2126" t="n">
        <v>3.5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22521-2024</t>
        </is>
      </c>
      <c r="B2127" s="1" t="n">
        <v>45447.41501157408</v>
      </c>
      <c r="C2127" s="1" t="n">
        <v>45957</v>
      </c>
      <c r="D2127" t="inlineStr">
        <is>
          <t>KRONOBERGS LÄN</t>
        </is>
      </c>
      <c r="E2127" t="inlineStr">
        <is>
          <t>VÄXJÖ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36939-2023</t>
        </is>
      </c>
      <c r="B2128" s="1" t="n">
        <v>45154</v>
      </c>
      <c r="C2128" s="1" t="n">
        <v>45957</v>
      </c>
      <c r="D2128" t="inlineStr">
        <is>
          <t>KRONOBERGS LÄN</t>
        </is>
      </c>
      <c r="E2128" t="inlineStr">
        <is>
          <t>VÄXJÖ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38628-2025</t>
        </is>
      </c>
      <c r="B2129" s="1" t="n">
        <v>45884.55954861111</v>
      </c>
      <c r="C2129" s="1" t="n">
        <v>45957</v>
      </c>
      <c r="D2129" t="inlineStr">
        <is>
          <t>KRONOBERGS LÄN</t>
        </is>
      </c>
      <c r="E2129" t="inlineStr">
        <is>
          <t>VÄXJÖ</t>
        </is>
      </c>
      <c r="G2129" t="n">
        <v>1.6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10225-2025</t>
        </is>
      </c>
      <c r="B2130" s="1" t="n">
        <v>45720.3175462963</v>
      </c>
      <c r="C2130" s="1" t="n">
        <v>45957</v>
      </c>
      <c r="D2130" t="inlineStr">
        <is>
          <t>KRONOBERGS LÄN</t>
        </is>
      </c>
      <c r="E2130" t="inlineStr">
        <is>
          <t>LJUNGBY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35061-2023</t>
        </is>
      </c>
      <c r="B2131" s="1" t="n">
        <v>45145</v>
      </c>
      <c r="C2131" s="1" t="n">
        <v>45957</v>
      </c>
      <c r="D2131" t="inlineStr">
        <is>
          <t>KRONOBERGS LÄN</t>
        </is>
      </c>
      <c r="E2131" t="inlineStr">
        <is>
          <t>VÄXJÖ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56864-2022</t>
        </is>
      </c>
      <c r="B2132" s="1" t="n">
        <v>44894</v>
      </c>
      <c r="C2132" s="1" t="n">
        <v>45957</v>
      </c>
      <c r="D2132" t="inlineStr">
        <is>
          <t>KRONOBERGS LÄN</t>
        </is>
      </c>
      <c r="E2132" t="inlineStr">
        <is>
          <t>VÄXJÖ</t>
        </is>
      </c>
      <c r="G2132" t="n">
        <v>8.699999999999999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15751-2023</t>
        </is>
      </c>
      <c r="B2133" s="1" t="n">
        <v>45021.61420138889</v>
      </c>
      <c r="C2133" s="1" t="n">
        <v>45957</v>
      </c>
      <c r="D2133" t="inlineStr">
        <is>
          <t>KRONOBERGS LÄN</t>
        </is>
      </c>
      <c r="E2133" t="inlineStr">
        <is>
          <t>VÄXJÖ</t>
        </is>
      </c>
      <c r="G2133" t="n">
        <v>4.9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4357-2024</t>
        </is>
      </c>
      <c r="B2134" s="1" t="n">
        <v>45325.3631712963</v>
      </c>
      <c r="C2134" s="1" t="n">
        <v>45957</v>
      </c>
      <c r="D2134" t="inlineStr">
        <is>
          <t>KRONOBERGS LÄN</t>
        </is>
      </c>
      <c r="E2134" t="inlineStr">
        <is>
          <t>TINGSRYD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32624-2022</t>
        </is>
      </c>
      <c r="B2135" s="1" t="n">
        <v>44783</v>
      </c>
      <c r="C2135" s="1" t="n">
        <v>45957</v>
      </c>
      <c r="D2135" t="inlineStr">
        <is>
          <t>KRONOBERGS LÄN</t>
        </is>
      </c>
      <c r="E2135" t="inlineStr">
        <is>
          <t>TINGSRYD</t>
        </is>
      </c>
      <c r="G2135" t="n">
        <v>3.2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22817-2025</t>
        </is>
      </c>
      <c r="B2136" s="1" t="n">
        <v>45789.70107638889</v>
      </c>
      <c r="C2136" s="1" t="n">
        <v>45957</v>
      </c>
      <c r="D2136" t="inlineStr">
        <is>
          <t>KRONOBERGS LÄN</t>
        </is>
      </c>
      <c r="E2136" t="inlineStr">
        <is>
          <t>LJUNGBY</t>
        </is>
      </c>
      <c r="G2136" t="n">
        <v>1.5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38425-2025</t>
        </is>
      </c>
      <c r="B2137" s="1" t="n">
        <v>45883.6346412037</v>
      </c>
      <c r="C2137" s="1" t="n">
        <v>45957</v>
      </c>
      <c r="D2137" t="inlineStr">
        <is>
          <t>KRONOBERGS LÄN</t>
        </is>
      </c>
      <c r="E2137" t="inlineStr">
        <is>
          <t>VÄXJÖ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22375-2025</t>
        </is>
      </c>
      <c r="B2138" s="1" t="n">
        <v>45786</v>
      </c>
      <c r="C2138" s="1" t="n">
        <v>45957</v>
      </c>
      <c r="D2138" t="inlineStr">
        <is>
          <t>KRONOBERGS LÄN</t>
        </is>
      </c>
      <c r="E2138" t="inlineStr">
        <is>
          <t>UPPVIDINGE</t>
        </is>
      </c>
      <c r="G2138" t="n">
        <v>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72446-2021</t>
        </is>
      </c>
      <c r="B2139" s="1" t="n">
        <v>44545.69075231482</v>
      </c>
      <c r="C2139" s="1" t="n">
        <v>45957</v>
      </c>
      <c r="D2139" t="inlineStr">
        <is>
          <t>KRONOBERGS LÄN</t>
        </is>
      </c>
      <c r="E2139" t="inlineStr">
        <is>
          <t>TINGSRYD</t>
        </is>
      </c>
      <c r="G2139" t="n">
        <v>1.5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62704-2021</t>
        </is>
      </c>
      <c r="B2140" s="1" t="n">
        <v>44504.34773148148</v>
      </c>
      <c r="C2140" s="1" t="n">
        <v>45957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153-2024</t>
        </is>
      </c>
      <c r="B2141" s="1" t="n">
        <v>45294</v>
      </c>
      <c r="C2141" s="1" t="n">
        <v>45957</v>
      </c>
      <c r="D2141" t="inlineStr">
        <is>
          <t>KRONOBERGS LÄN</t>
        </is>
      </c>
      <c r="E2141" t="inlineStr">
        <is>
          <t>VÄXJÖ</t>
        </is>
      </c>
      <c r="G2141" t="n">
        <v>1.1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55126-2023</t>
        </is>
      </c>
      <c r="B2142" s="1" t="n">
        <v>45230</v>
      </c>
      <c r="C2142" s="1" t="n">
        <v>45957</v>
      </c>
      <c r="D2142" t="inlineStr">
        <is>
          <t>KRONOBERGS LÄN</t>
        </is>
      </c>
      <c r="E2142" t="inlineStr">
        <is>
          <t>TINGSRYD</t>
        </is>
      </c>
      <c r="G2142" t="n">
        <v>3.2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50734-2021</t>
        </is>
      </c>
      <c r="B2143" s="1" t="n">
        <v>44460.38868055555</v>
      </c>
      <c r="C2143" s="1" t="n">
        <v>45957</v>
      </c>
      <c r="D2143" t="inlineStr">
        <is>
          <t>KRONOBERGS LÄN</t>
        </is>
      </c>
      <c r="E2143" t="inlineStr">
        <is>
          <t>MARKARYD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4829-2024</t>
        </is>
      </c>
      <c r="B2144" s="1" t="n">
        <v>45329</v>
      </c>
      <c r="C2144" s="1" t="n">
        <v>45957</v>
      </c>
      <c r="D2144" t="inlineStr">
        <is>
          <t>KRONOBERGS LÄN</t>
        </is>
      </c>
      <c r="E2144" t="inlineStr">
        <is>
          <t>MARKARYD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55004-2022</t>
        </is>
      </c>
      <c r="B2145" s="1" t="n">
        <v>44886.51197916667</v>
      </c>
      <c r="C2145" s="1" t="n">
        <v>45957</v>
      </c>
      <c r="D2145" t="inlineStr">
        <is>
          <t>KRONOBERGS LÄN</t>
        </is>
      </c>
      <c r="E2145" t="inlineStr">
        <is>
          <t>LJUNGBY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46662-2022</t>
        </is>
      </c>
      <c r="B2146" s="1" t="n">
        <v>44850</v>
      </c>
      <c r="C2146" s="1" t="n">
        <v>45957</v>
      </c>
      <c r="D2146" t="inlineStr">
        <is>
          <t>KRONOBERGS LÄN</t>
        </is>
      </c>
      <c r="E2146" t="inlineStr">
        <is>
          <t>LJUNGBY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6674-2024</t>
        </is>
      </c>
      <c r="B2147" s="1" t="n">
        <v>45341</v>
      </c>
      <c r="C2147" s="1" t="n">
        <v>45957</v>
      </c>
      <c r="D2147" t="inlineStr">
        <is>
          <t>KRONOBERGS LÄN</t>
        </is>
      </c>
      <c r="E2147" t="inlineStr">
        <is>
          <t>ALVESTA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39737-2024</t>
        </is>
      </c>
      <c r="B2148" s="1" t="n">
        <v>45552.65006944445</v>
      </c>
      <c r="C2148" s="1" t="n">
        <v>45957</v>
      </c>
      <c r="D2148" t="inlineStr">
        <is>
          <t>KRONOBERGS LÄN</t>
        </is>
      </c>
      <c r="E2148" t="inlineStr">
        <is>
          <t>UPPVIDINGE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6838-2024</t>
        </is>
      </c>
      <c r="B2149" s="1" t="n">
        <v>45342.61811342592</v>
      </c>
      <c r="C2149" s="1" t="n">
        <v>45957</v>
      </c>
      <c r="D2149" t="inlineStr">
        <is>
          <t>KRONOBERGS LÄN</t>
        </is>
      </c>
      <c r="E2149" t="inlineStr">
        <is>
          <t>ALVESTA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4641-2024</t>
        </is>
      </c>
      <c r="B2150" s="1" t="n">
        <v>45328.43439814815</v>
      </c>
      <c r="C2150" s="1" t="n">
        <v>45957</v>
      </c>
      <c r="D2150" t="inlineStr">
        <is>
          <t>KRONOBERGS LÄN</t>
        </is>
      </c>
      <c r="E2150" t="inlineStr">
        <is>
          <t>ÄLMHULT</t>
        </is>
      </c>
      <c r="G2150" t="n">
        <v>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33472-2024</t>
        </is>
      </c>
      <c r="B2151" s="1" t="n">
        <v>45519.60221064815</v>
      </c>
      <c r="C2151" s="1" t="n">
        <v>45957</v>
      </c>
      <c r="D2151" t="inlineStr">
        <is>
          <t>KRONOBERGS LÄN</t>
        </is>
      </c>
      <c r="E2151" t="inlineStr">
        <is>
          <t>ÄLMHULT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22889-2025</t>
        </is>
      </c>
      <c r="B2152" s="1" t="n">
        <v>45790.39159722222</v>
      </c>
      <c r="C2152" s="1" t="n">
        <v>45957</v>
      </c>
      <c r="D2152" t="inlineStr">
        <is>
          <t>KRONOBERGS LÄN</t>
        </is>
      </c>
      <c r="E2152" t="inlineStr">
        <is>
          <t>VÄXJÖ</t>
        </is>
      </c>
      <c r="G2152" t="n">
        <v>4.2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61851-2023</t>
        </is>
      </c>
      <c r="B2153" s="1" t="n">
        <v>45266</v>
      </c>
      <c r="C2153" s="1" t="n">
        <v>45957</v>
      </c>
      <c r="D2153" t="inlineStr">
        <is>
          <t>KRONOBERGS LÄN</t>
        </is>
      </c>
      <c r="E2153" t="inlineStr">
        <is>
          <t>TINGSRYD</t>
        </is>
      </c>
      <c r="F2153" t="inlineStr">
        <is>
          <t>Övriga Aktiebolag</t>
        </is>
      </c>
      <c r="G2153" t="n">
        <v>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8255-2024</t>
        </is>
      </c>
      <c r="B2154" s="1" t="n">
        <v>45352.31292824074</v>
      </c>
      <c r="C2154" s="1" t="n">
        <v>45957</v>
      </c>
      <c r="D2154" t="inlineStr">
        <is>
          <t>KRONOBERGS LÄN</t>
        </is>
      </c>
      <c r="E2154" t="inlineStr">
        <is>
          <t>ÄLMHULT</t>
        </is>
      </c>
      <c r="F2154" t="inlineStr">
        <is>
          <t>Sveaskog</t>
        </is>
      </c>
      <c r="G2154" t="n">
        <v>0.6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29895-2023</t>
        </is>
      </c>
      <c r="B2155" s="1" t="n">
        <v>45107.63880787037</v>
      </c>
      <c r="C2155" s="1" t="n">
        <v>45957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6495-2024</t>
        </is>
      </c>
      <c r="B2156" s="1" t="n">
        <v>45339.66177083334</v>
      </c>
      <c r="C2156" s="1" t="n">
        <v>45957</v>
      </c>
      <c r="D2156" t="inlineStr">
        <is>
          <t>KRONOBERGS LÄN</t>
        </is>
      </c>
      <c r="E2156" t="inlineStr">
        <is>
          <t>LJUNGBY</t>
        </is>
      </c>
      <c r="G2156" t="n">
        <v>0.4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6786-2024</t>
        </is>
      </c>
      <c r="B2157" s="1" t="n">
        <v>45342.53827546296</v>
      </c>
      <c r="C2157" s="1" t="n">
        <v>45957</v>
      </c>
      <c r="D2157" t="inlineStr">
        <is>
          <t>KRONOBERGS LÄN</t>
        </is>
      </c>
      <c r="E2157" t="inlineStr">
        <is>
          <t>VÄXJÖ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5093-2024</t>
        </is>
      </c>
      <c r="B2158" s="1" t="n">
        <v>45330</v>
      </c>
      <c r="C2158" s="1" t="n">
        <v>45957</v>
      </c>
      <c r="D2158" t="inlineStr">
        <is>
          <t>KRONOBERGS LÄN</t>
        </is>
      </c>
      <c r="E2158" t="inlineStr">
        <is>
          <t>VÄXJÖ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31643-2024</t>
        </is>
      </c>
      <c r="B2159" s="1" t="n">
        <v>45506.60435185185</v>
      </c>
      <c r="C2159" s="1" t="n">
        <v>45957</v>
      </c>
      <c r="D2159" t="inlineStr">
        <is>
          <t>KRONOBERGS LÄN</t>
        </is>
      </c>
      <c r="E2159" t="inlineStr">
        <is>
          <t>UPPVIDINGE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2241-2023</t>
        </is>
      </c>
      <c r="B2160" s="1" t="n">
        <v>44942</v>
      </c>
      <c r="C2160" s="1" t="n">
        <v>45957</v>
      </c>
      <c r="D2160" t="inlineStr">
        <is>
          <t>KRONOBERGS LÄN</t>
        </is>
      </c>
      <c r="E2160" t="inlineStr">
        <is>
          <t>ÄLMHULT</t>
        </is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22580-2025</t>
        </is>
      </c>
      <c r="B2161" s="1" t="n">
        <v>45789.38111111111</v>
      </c>
      <c r="C2161" s="1" t="n">
        <v>45957</v>
      </c>
      <c r="D2161" t="inlineStr">
        <is>
          <t>KRONOBERGS LÄN</t>
        </is>
      </c>
      <c r="E2161" t="inlineStr">
        <is>
          <t>TINGSRYD</t>
        </is>
      </c>
      <c r="G2161" t="n">
        <v>0.8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22582-2025</t>
        </is>
      </c>
      <c r="B2162" s="1" t="n">
        <v>45789.38739583334</v>
      </c>
      <c r="C2162" s="1" t="n">
        <v>45957</v>
      </c>
      <c r="D2162" t="inlineStr">
        <is>
          <t>KRONOBERGS LÄN</t>
        </is>
      </c>
      <c r="E2162" t="inlineStr">
        <is>
          <t>TINGSRYD</t>
        </is>
      </c>
      <c r="G2162" t="n">
        <v>0.8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3565-2023</t>
        </is>
      </c>
      <c r="B2163" s="1" t="n">
        <v>44950.47614583333</v>
      </c>
      <c r="C2163" s="1" t="n">
        <v>45957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11977-2025</t>
        </is>
      </c>
      <c r="B2164" s="1" t="n">
        <v>45728.59358796296</v>
      </c>
      <c r="C2164" s="1" t="n">
        <v>45957</v>
      </c>
      <c r="D2164" t="inlineStr">
        <is>
          <t>KRONOBERGS LÄN</t>
        </is>
      </c>
      <c r="E2164" t="inlineStr">
        <is>
          <t>UPPVIDINGE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51414-2024</t>
        </is>
      </c>
      <c r="B2165" s="1" t="n">
        <v>45604.44618055555</v>
      </c>
      <c r="C2165" s="1" t="n">
        <v>45957</v>
      </c>
      <c r="D2165" t="inlineStr">
        <is>
          <t>KRONOBERGS LÄN</t>
        </is>
      </c>
      <c r="E2165" t="inlineStr">
        <is>
          <t>UPPVIDINGE</t>
        </is>
      </c>
      <c r="G2165" t="n">
        <v>7.8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29339-2024</t>
        </is>
      </c>
      <c r="B2166" s="1" t="n">
        <v>45483</v>
      </c>
      <c r="C2166" s="1" t="n">
        <v>45957</v>
      </c>
      <c r="D2166" t="inlineStr">
        <is>
          <t>KRONOBERGS LÄN</t>
        </is>
      </c>
      <c r="E2166" t="inlineStr">
        <is>
          <t>LJUNGBY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29342-2024</t>
        </is>
      </c>
      <c r="B2167" s="1" t="n">
        <v>45483</v>
      </c>
      <c r="C2167" s="1" t="n">
        <v>45957</v>
      </c>
      <c r="D2167" t="inlineStr">
        <is>
          <t>KRONOBERGS LÄN</t>
        </is>
      </c>
      <c r="E2167" t="inlineStr">
        <is>
          <t>LJUNGBY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3606-2024</t>
        </is>
      </c>
      <c r="B2168" s="1" t="n">
        <v>45320</v>
      </c>
      <c r="C2168" s="1" t="n">
        <v>45957</v>
      </c>
      <c r="D2168" t="inlineStr">
        <is>
          <t>KRONOBERGS LÄN</t>
        </is>
      </c>
      <c r="E2168" t="inlineStr">
        <is>
          <t>UPPVIDINGE</t>
        </is>
      </c>
      <c r="G2168" t="n">
        <v>0.5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32044-2024</t>
        </is>
      </c>
      <c r="B2169" s="1" t="n">
        <v>45510.89385416666</v>
      </c>
      <c r="C2169" s="1" t="n">
        <v>45957</v>
      </c>
      <c r="D2169" t="inlineStr">
        <is>
          <t>KRONOBERGS LÄN</t>
        </is>
      </c>
      <c r="E2169" t="inlineStr">
        <is>
          <t>LJUNGBY</t>
        </is>
      </c>
      <c r="G2169" t="n">
        <v>4.2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9901-2025</t>
        </is>
      </c>
      <c r="B2170" s="1" t="n">
        <v>45716.87329861111</v>
      </c>
      <c r="C2170" s="1" t="n">
        <v>45957</v>
      </c>
      <c r="D2170" t="inlineStr">
        <is>
          <t>KRONOBERGS LÄN</t>
        </is>
      </c>
      <c r="E2170" t="inlineStr">
        <is>
          <t>VÄXJÖ</t>
        </is>
      </c>
      <c r="G2170" t="n">
        <v>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29387-2024</t>
        </is>
      </c>
      <c r="B2171" s="1" t="n">
        <v>45483.61537037037</v>
      </c>
      <c r="C2171" s="1" t="n">
        <v>45957</v>
      </c>
      <c r="D2171" t="inlineStr">
        <is>
          <t>KRONOBERGS LÄN</t>
        </is>
      </c>
      <c r="E2171" t="inlineStr">
        <is>
          <t>ALVESTA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31844-2024</t>
        </is>
      </c>
      <c r="B2172" s="1" t="n">
        <v>45509</v>
      </c>
      <c r="C2172" s="1" t="n">
        <v>45957</v>
      </c>
      <c r="D2172" t="inlineStr">
        <is>
          <t>KRONOBERGS LÄN</t>
        </is>
      </c>
      <c r="E2172" t="inlineStr">
        <is>
          <t>LJUNGBY</t>
        </is>
      </c>
      <c r="F2172" t="inlineStr">
        <is>
          <t>Sveaskog</t>
        </is>
      </c>
      <c r="G2172" t="n">
        <v>1.8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48796-2024</t>
        </is>
      </c>
      <c r="B2173" s="1" t="n">
        <v>45593</v>
      </c>
      <c r="C2173" s="1" t="n">
        <v>45957</v>
      </c>
      <c r="D2173" t="inlineStr">
        <is>
          <t>KRONOBERGS LÄN</t>
        </is>
      </c>
      <c r="E2173" t="inlineStr">
        <is>
          <t>MARKARYD</t>
        </is>
      </c>
      <c r="F2173" t="inlineStr">
        <is>
          <t>Kyrkan</t>
        </is>
      </c>
      <c r="G2173" t="n">
        <v>1.6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58830-2020</t>
        </is>
      </c>
      <c r="B2174" s="1" t="n">
        <v>44146</v>
      </c>
      <c r="C2174" s="1" t="n">
        <v>45957</v>
      </c>
      <c r="D2174" t="inlineStr">
        <is>
          <t>KRONOBERGS LÄN</t>
        </is>
      </c>
      <c r="E2174" t="inlineStr">
        <is>
          <t>LJUNGBY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22583-2025</t>
        </is>
      </c>
      <c r="B2175" s="1" t="n">
        <v>45789.39083333333</v>
      </c>
      <c r="C2175" s="1" t="n">
        <v>45957</v>
      </c>
      <c r="D2175" t="inlineStr">
        <is>
          <t>KRONOBERGS LÄN</t>
        </is>
      </c>
      <c r="E2175" t="inlineStr">
        <is>
          <t>TINGSRYD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32336-2024</t>
        </is>
      </c>
      <c r="B2176" s="1" t="n">
        <v>45512.48825231481</v>
      </c>
      <c r="C2176" s="1" t="n">
        <v>45957</v>
      </c>
      <c r="D2176" t="inlineStr">
        <is>
          <t>KRONOBERGS LÄN</t>
        </is>
      </c>
      <c r="E2176" t="inlineStr">
        <is>
          <t>ALVESTA</t>
        </is>
      </c>
      <c r="G2176" t="n">
        <v>1.9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8743-2025</t>
        </is>
      </c>
      <c r="B2177" s="1" t="n">
        <v>45712.55288194444</v>
      </c>
      <c r="C2177" s="1" t="n">
        <v>45957</v>
      </c>
      <c r="D2177" t="inlineStr">
        <is>
          <t>KRONOBERGS LÄN</t>
        </is>
      </c>
      <c r="E2177" t="inlineStr">
        <is>
          <t>TINGSRYD</t>
        </is>
      </c>
      <c r="G2177" t="n">
        <v>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33352-2024</t>
        </is>
      </c>
      <c r="B2178" s="1" t="n">
        <v>45519</v>
      </c>
      <c r="C2178" s="1" t="n">
        <v>45957</v>
      </c>
      <c r="D2178" t="inlineStr">
        <is>
          <t>KRONOBERGS LÄN</t>
        </is>
      </c>
      <c r="E2178" t="inlineStr">
        <is>
          <t>ALVESTA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7307-2024</t>
        </is>
      </c>
      <c r="B2179" s="1" t="n">
        <v>45345</v>
      </c>
      <c r="C2179" s="1" t="n">
        <v>45957</v>
      </c>
      <c r="D2179" t="inlineStr">
        <is>
          <t>KRONOBERGS LÄN</t>
        </is>
      </c>
      <c r="E2179" t="inlineStr">
        <is>
          <t>TINGSRYD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10224-2025</t>
        </is>
      </c>
      <c r="B2180" s="1" t="n">
        <v>45720.31155092592</v>
      </c>
      <c r="C2180" s="1" t="n">
        <v>45957</v>
      </c>
      <c r="D2180" t="inlineStr">
        <is>
          <t>KRONOBERGS LÄN</t>
        </is>
      </c>
      <c r="E2180" t="inlineStr">
        <is>
          <t>LJUNGBY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64292-2023</t>
        </is>
      </c>
      <c r="B2181" s="1" t="n">
        <v>45280.34100694444</v>
      </c>
      <c r="C2181" s="1" t="n">
        <v>45957</v>
      </c>
      <c r="D2181" t="inlineStr">
        <is>
          <t>KRONOBERGS LÄN</t>
        </is>
      </c>
      <c r="E2181" t="inlineStr">
        <is>
          <t>VÄXJÖ</t>
        </is>
      </c>
      <c r="G2181" t="n">
        <v>2.8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64358-2023</t>
        </is>
      </c>
      <c r="B2182" s="1" t="n">
        <v>45280</v>
      </c>
      <c r="C2182" s="1" t="n">
        <v>45957</v>
      </c>
      <c r="D2182" t="inlineStr">
        <is>
          <t>KRONOBERGS LÄN</t>
        </is>
      </c>
      <c r="E2182" t="inlineStr">
        <is>
          <t>LJUNGBY</t>
        </is>
      </c>
      <c r="F2182" t="inlineStr">
        <is>
          <t>Kyrkan</t>
        </is>
      </c>
      <c r="G2182" t="n">
        <v>0.9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38695-2025</t>
        </is>
      </c>
      <c r="B2183" s="1" t="n">
        <v>45884.73457175926</v>
      </c>
      <c r="C2183" s="1" t="n">
        <v>45957</v>
      </c>
      <c r="D2183" t="inlineStr">
        <is>
          <t>KRONOBERGS LÄN</t>
        </is>
      </c>
      <c r="E2183" t="inlineStr">
        <is>
          <t>LJUNGBY</t>
        </is>
      </c>
      <c r="G2183" t="n">
        <v>0.9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58297-2022</t>
        </is>
      </c>
      <c r="B2184" s="1" t="n">
        <v>44901</v>
      </c>
      <c r="C2184" s="1" t="n">
        <v>45957</v>
      </c>
      <c r="D2184" t="inlineStr">
        <is>
          <t>KRONOBERGS LÄN</t>
        </is>
      </c>
      <c r="E2184" t="inlineStr">
        <is>
          <t>ALVESTA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62026-2023</t>
        </is>
      </c>
      <c r="B2185" s="1" t="n">
        <v>45266</v>
      </c>
      <c r="C2185" s="1" t="n">
        <v>45957</v>
      </c>
      <c r="D2185" t="inlineStr">
        <is>
          <t>KRONOBERGS LÄN</t>
        </is>
      </c>
      <c r="E2185" t="inlineStr">
        <is>
          <t>LJUNGBY</t>
        </is>
      </c>
      <c r="G2185" t="n">
        <v>3.9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2293-2024</t>
        </is>
      </c>
      <c r="B2186" s="1" t="n">
        <v>45310.42872685185</v>
      </c>
      <c r="C2186" s="1" t="n">
        <v>45957</v>
      </c>
      <c r="D2186" t="inlineStr">
        <is>
          <t>KRONOBERGS LÄN</t>
        </is>
      </c>
      <c r="E2186" t="inlineStr">
        <is>
          <t>TINGSRYD</t>
        </is>
      </c>
      <c r="G2186" t="n">
        <v>3.6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16590-2023</t>
        </is>
      </c>
      <c r="B2187" s="1" t="n">
        <v>45030</v>
      </c>
      <c r="C2187" s="1" t="n">
        <v>45957</v>
      </c>
      <c r="D2187" t="inlineStr">
        <is>
          <t>KRONOBERGS LÄN</t>
        </is>
      </c>
      <c r="E2187" t="inlineStr">
        <is>
          <t>VÄXJÖ</t>
        </is>
      </c>
      <c r="G2187" t="n">
        <v>3.2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54866-2023</t>
        </is>
      </c>
      <c r="B2188" s="1" t="n">
        <v>45236.6053587963</v>
      </c>
      <c r="C2188" s="1" t="n">
        <v>45957</v>
      </c>
      <c r="D2188" t="inlineStr">
        <is>
          <t>KRONOBERGS LÄN</t>
        </is>
      </c>
      <c r="E2188" t="inlineStr">
        <is>
          <t>VÄXJÖ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6815-2024</t>
        </is>
      </c>
      <c r="B2189" s="1" t="n">
        <v>45342</v>
      </c>
      <c r="C2189" s="1" t="n">
        <v>45957</v>
      </c>
      <c r="D2189" t="inlineStr">
        <is>
          <t>KRONOBERGS LÄN</t>
        </is>
      </c>
      <c r="E2189" t="inlineStr">
        <is>
          <t>ALVESTA</t>
        </is>
      </c>
      <c r="G2189" t="n">
        <v>1.4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39395-2023</t>
        </is>
      </c>
      <c r="B2190" s="1" t="n">
        <v>45166.65635416667</v>
      </c>
      <c r="C2190" s="1" t="n">
        <v>45957</v>
      </c>
      <c r="D2190" t="inlineStr">
        <is>
          <t>KRONOBERGS LÄN</t>
        </is>
      </c>
      <c r="E2190" t="inlineStr">
        <is>
          <t>VÄXJÖ</t>
        </is>
      </c>
      <c r="G2190" t="n">
        <v>3.5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46395-2022</t>
        </is>
      </c>
      <c r="B2191" s="1" t="n">
        <v>44848.38537037037</v>
      </c>
      <c r="C2191" s="1" t="n">
        <v>45957</v>
      </c>
      <c r="D2191" t="inlineStr">
        <is>
          <t>KRONOBERGS LÄN</t>
        </is>
      </c>
      <c r="E2191" t="inlineStr">
        <is>
          <t>MARKARYD</t>
        </is>
      </c>
      <c r="G2191" t="n">
        <v>1.2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62030-2023</t>
        </is>
      </c>
      <c r="B2192" s="1" t="n">
        <v>45266.66293981481</v>
      </c>
      <c r="C2192" s="1" t="n">
        <v>45957</v>
      </c>
      <c r="D2192" t="inlineStr">
        <is>
          <t>KRONOBERGS LÄN</t>
        </is>
      </c>
      <c r="E2192" t="inlineStr">
        <is>
          <t>MARKARYD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4838-2024</t>
        </is>
      </c>
      <c r="B2193" s="1" t="n">
        <v>45329</v>
      </c>
      <c r="C2193" s="1" t="n">
        <v>45957</v>
      </c>
      <c r="D2193" t="inlineStr">
        <is>
          <t>KRONOBERGS LÄN</t>
        </is>
      </c>
      <c r="E2193" t="inlineStr">
        <is>
          <t>TINGSRYD</t>
        </is>
      </c>
      <c r="F2193" t="inlineStr">
        <is>
          <t>Kommuner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27718-2024</t>
        </is>
      </c>
      <c r="B2194" s="1" t="n">
        <v>45475.38958333333</v>
      </c>
      <c r="C2194" s="1" t="n">
        <v>45957</v>
      </c>
      <c r="D2194" t="inlineStr">
        <is>
          <t>KRONOBERGS LÄN</t>
        </is>
      </c>
      <c r="E2194" t="inlineStr">
        <is>
          <t>TINGSRYD</t>
        </is>
      </c>
      <c r="G2194" t="n">
        <v>6.5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54196-2023</t>
        </is>
      </c>
      <c r="B2195" s="1" t="n">
        <v>45232.53655092593</v>
      </c>
      <c r="C2195" s="1" t="n">
        <v>45957</v>
      </c>
      <c r="D2195" t="inlineStr">
        <is>
          <t>KRONOBERGS LÄN</t>
        </is>
      </c>
      <c r="E2195" t="inlineStr">
        <is>
          <t>MARKARYD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28219-2024</t>
        </is>
      </c>
      <c r="B2196" s="1" t="n">
        <v>45477.36865740741</v>
      </c>
      <c r="C2196" s="1" t="n">
        <v>45957</v>
      </c>
      <c r="D2196" t="inlineStr">
        <is>
          <t>KRONOBERGS LÄN</t>
        </is>
      </c>
      <c r="E2196" t="inlineStr">
        <is>
          <t>VÄXJÖ</t>
        </is>
      </c>
      <c r="F2196" t="inlineStr">
        <is>
          <t>Sveaskog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56723-2024</t>
        </is>
      </c>
      <c r="B2197" s="1" t="n">
        <v>45628.33141203703</v>
      </c>
      <c r="C2197" s="1" t="n">
        <v>45957</v>
      </c>
      <c r="D2197" t="inlineStr">
        <is>
          <t>KRONOBERGS LÄN</t>
        </is>
      </c>
      <c r="E2197" t="inlineStr">
        <is>
          <t>MARKARYD</t>
        </is>
      </c>
      <c r="G2197" t="n">
        <v>14.9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59085-2024</t>
        </is>
      </c>
      <c r="B2198" s="1" t="n">
        <v>45637.31363425926</v>
      </c>
      <c r="C2198" s="1" t="n">
        <v>45957</v>
      </c>
      <c r="D2198" t="inlineStr">
        <is>
          <t>KRONOBERGS LÄN</t>
        </is>
      </c>
      <c r="E2198" t="inlineStr">
        <is>
          <t>TINGSRYD</t>
        </is>
      </c>
      <c r="F2198" t="inlineStr">
        <is>
          <t>Övriga Aktiebolag</t>
        </is>
      </c>
      <c r="G2198" t="n">
        <v>1.4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3311-2023</t>
        </is>
      </c>
      <c r="B2199" s="1" t="n">
        <v>44949</v>
      </c>
      <c r="C2199" s="1" t="n">
        <v>45957</v>
      </c>
      <c r="D2199" t="inlineStr">
        <is>
          <t>KRONOBERGS LÄN</t>
        </is>
      </c>
      <c r="E2199" t="inlineStr">
        <is>
          <t>TINGSRYD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3332-2023</t>
        </is>
      </c>
      <c r="B2200" s="1" t="n">
        <v>44949.44320601852</v>
      </c>
      <c r="C2200" s="1" t="n">
        <v>45957</v>
      </c>
      <c r="D2200" t="inlineStr">
        <is>
          <t>KRONOBERGS LÄN</t>
        </is>
      </c>
      <c r="E2200" t="inlineStr">
        <is>
          <t>TINGSRYD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4742-2025</t>
        </is>
      </c>
      <c r="B2201" s="1" t="n">
        <v>45688.45554398148</v>
      </c>
      <c r="C2201" s="1" t="n">
        <v>45957</v>
      </c>
      <c r="D2201" t="inlineStr">
        <is>
          <t>KRONOBERGS LÄN</t>
        </is>
      </c>
      <c r="E2201" t="inlineStr">
        <is>
          <t>LESSEBO</t>
        </is>
      </c>
      <c r="F2201" t="inlineStr">
        <is>
          <t>Kommuner</t>
        </is>
      </c>
      <c r="G2201" t="n">
        <v>3.6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21296-2024</t>
        </is>
      </c>
      <c r="B2202" s="1" t="n">
        <v>45440.66773148148</v>
      </c>
      <c r="C2202" s="1" t="n">
        <v>45957</v>
      </c>
      <c r="D2202" t="inlineStr">
        <is>
          <t>KRONOBERGS LÄN</t>
        </is>
      </c>
      <c r="E2202" t="inlineStr">
        <is>
          <t>ALVESTA</t>
        </is>
      </c>
      <c r="G2202" t="n">
        <v>2.2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30930-2023</t>
        </is>
      </c>
      <c r="B2203" s="1" t="n">
        <v>45113.4478125</v>
      </c>
      <c r="C2203" s="1" t="n">
        <v>45957</v>
      </c>
      <c r="D2203" t="inlineStr">
        <is>
          <t>KRONOBERGS LÄN</t>
        </is>
      </c>
      <c r="E2203" t="inlineStr">
        <is>
          <t>ÄLMHULT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23006-2025</t>
        </is>
      </c>
      <c r="B2204" s="1" t="n">
        <v>45790</v>
      </c>
      <c r="C2204" s="1" t="n">
        <v>45957</v>
      </c>
      <c r="D2204" t="inlineStr">
        <is>
          <t>KRONOBERGS LÄN</t>
        </is>
      </c>
      <c r="E2204" t="inlineStr">
        <is>
          <t>ALVESTA</t>
        </is>
      </c>
      <c r="G2204" t="n">
        <v>1.1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13191-2023</t>
        </is>
      </c>
      <c r="B2205" s="1" t="n">
        <v>45002</v>
      </c>
      <c r="C2205" s="1" t="n">
        <v>45957</v>
      </c>
      <c r="D2205" t="inlineStr">
        <is>
          <t>KRONOBERGS LÄN</t>
        </is>
      </c>
      <c r="E2205" t="inlineStr">
        <is>
          <t>TINGSRYD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22754-2025</t>
        </is>
      </c>
      <c r="B2206" s="1" t="n">
        <v>45789.61826388889</v>
      </c>
      <c r="C2206" s="1" t="n">
        <v>45957</v>
      </c>
      <c r="D2206" t="inlineStr">
        <is>
          <t>KRONOBERGS LÄN</t>
        </is>
      </c>
      <c r="E2206" t="inlineStr">
        <is>
          <t>VÄXJÖ</t>
        </is>
      </c>
      <c r="G2206" t="n">
        <v>5.2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72429-2021</t>
        </is>
      </c>
      <c r="B2207" s="1" t="n">
        <v>44545.65563657408</v>
      </c>
      <c r="C2207" s="1" t="n">
        <v>45957</v>
      </c>
      <c r="D2207" t="inlineStr">
        <is>
          <t>KRONOBERGS LÄN</t>
        </is>
      </c>
      <c r="E2207" t="inlineStr">
        <is>
          <t>VÄXJÖ</t>
        </is>
      </c>
      <c r="G2207" t="n">
        <v>2.6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72469-2021</t>
        </is>
      </c>
      <c r="B2208" s="1" t="n">
        <v>44545.80055555556</v>
      </c>
      <c r="C2208" s="1" t="n">
        <v>45957</v>
      </c>
      <c r="D2208" t="inlineStr">
        <is>
          <t>KRONOBERGS LÄN</t>
        </is>
      </c>
      <c r="E2208" t="inlineStr">
        <is>
          <t>ÄLMHULT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23051-2025</t>
        </is>
      </c>
      <c r="B2209" s="1" t="n">
        <v>45790.70548611111</v>
      </c>
      <c r="C2209" s="1" t="n">
        <v>45957</v>
      </c>
      <c r="D2209" t="inlineStr">
        <is>
          <t>KRONOBERGS LÄN</t>
        </is>
      </c>
      <c r="E2209" t="inlineStr">
        <is>
          <t>MARKARYD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17145-2025</t>
        </is>
      </c>
      <c r="B2210" s="1" t="n">
        <v>45756.29003472222</v>
      </c>
      <c r="C2210" s="1" t="n">
        <v>45957</v>
      </c>
      <c r="D2210" t="inlineStr">
        <is>
          <t>KRONOBERGS LÄN</t>
        </is>
      </c>
      <c r="E2210" t="inlineStr">
        <is>
          <t>LJUNGBY</t>
        </is>
      </c>
      <c r="G2210" t="n">
        <v>2.8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37823-2024</t>
        </is>
      </c>
      <c r="B2211" s="1" t="n">
        <v>45544.33987268519</v>
      </c>
      <c r="C2211" s="1" t="n">
        <v>45957</v>
      </c>
      <c r="D2211" t="inlineStr">
        <is>
          <t>KRONOBERGS LÄN</t>
        </is>
      </c>
      <c r="E2211" t="inlineStr">
        <is>
          <t>UPPVIDINGE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37839-2024</t>
        </is>
      </c>
      <c r="B2212" s="1" t="n">
        <v>45544.36388888889</v>
      </c>
      <c r="C2212" s="1" t="n">
        <v>45957</v>
      </c>
      <c r="D2212" t="inlineStr">
        <is>
          <t>KRONOBERGS LÄN</t>
        </is>
      </c>
      <c r="E2212" t="inlineStr">
        <is>
          <t>ALVESTA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38571-2021</t>
        </is>
      </c>
      <c r="B2213" s="1" t="n">
        <v>44407</v>
      </c>
      <c r="C2213" s="1" t="n">
        <v>45957</v>
      </c>
      <c r="D2213" t="inlineStr">
        <is>
          <t>KRONOBERGS LÄN</t>
        </is>
      </c>
      <c r="E2213" t="inlineStr">
        <is>
          <t>TINGSRYD</t>
        </is>
      </c>
      <c r="G2213" t="n">
        <v>1.2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4163-2021</t>
        </is>
      </c>
      <c r="B2214" s="1" t="n">
        <v>44221</v>
      </c>
      <c r="C2214" s="1" t="n">
        <v>45957</v>
      </c>
      <c r="D2214" t="inlineStr">
        <is>
          <t>KRONOBERGS LÄN</t>
        </is>
      </c>
      <c r="E2214" t="inlineStr">
        <is>
          <t>ÄLMHULT</t>
        </is>
      </c>
      <c r="G2214" t="n">
        <v>0.4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40123-2023</t>
        </is>
      </c>
      <c r="B2215" s="1" t="n">
        <v>45169.30215277777</v>
      </c>
      <c r="C2215" s="1" t="n">
        <v>45957</v>
      </c>
      <c r="D2215" t="inlineStr">
        <is>
          <t>KRONOBERGS LÄN</t>
        </is>
      </c>
      <c r="E2215" t="inlineStr">
        <is>
          <t>ÄLMHULT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22766-2025</t>
        </is>
      </c>
      <c r="B2216" s="1" t="n">
        <v>45789.63024305556</v>
      </c>
      <c r="C2216" s="1" t="n">
        <v>45957</v>
      </c>
      <c r="D2216" t="inlineStr">
        <is>
          <t>KRONOBERGS LÄN</t>
        </is>
      </c>
      <c r="E2216" t="inlineStr">
        <is>
          <t>VÄXJÖ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22848-2025</t>
        </is>
      </c>
      <c r="B2217" s="1" t="n">
        <v>45790.33270833334</v>
      </c>
      <c r="C2217" s="1" t="n">
        <v>45957</v>
      </c>
      <c r="D2217" t="inlineStr">
        <is>
          <t>KRONOBERGS LÄN</t>
        </is>
      </c>
      <c r="E2217" t="inlineStr">
        <is>
          <t>MARKARYD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7310-2024</t>
        </is>
      </c>
      <c r="B2218" s="1" t="n">
        <v>45345</v>
      </c>
      <c r="C2218" s="1" t="n">
        <v>45957</v>
      </c>
      <c r="D2218" t="inlineStr">
        <is>
          <t>KRONOBERGS LÄN</t>
        </is>
      </c>
      <c r="E2218" t="inlineStr">
        <is>
          <t>TINGSRYD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39359-2023</t>
        </is>
      </c>
      <c r="B2219" s="1" t="n">
        <v>45166.62002314815</v>
      </c>
      <c r="C2219" s="1" t="n">
        <v>45957</v>
      </c>
      <c r="D2219" t="inlineStr">
        <is>
          <t>KRONOBERGS LÄN</t>
        </is>
      </c>
      <c r="E2219" t="inlineStr">
        <is>
          <t>LJUNGBY</t>
        </is>
      </c>
      <c r="G2219" t="n">
        <v>2.9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29566-2024</t>
        </is>
      </c>
      <c r="B2220" s="1" t="n">
        <v>45484.54526620371</v>
      </c>
      <c r="C2220" s="1" t="n">
        <v>45957</v>
      </c>
      <c r="D2220" t="inlineStr">
        <is>
          <t>KRONOBERGS LÄN</t>
        </is>
      </c>
      <c r="E2220" t="inlineStr">
        <is>
          <t>LESSEBO</t>
        </is>
      </c>
      <c r="G2220" t="n">
        <v>21.3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24090-2024</t>
        </is>
      </c>
      <c r="B2221" s="1" t="n">
        <v>45456</v>
      </c>
      <c r="C2221" s="1" t="n">
        <v>45957</v>
      </c>
      <c r="D2221" t="inlineStr">
        <is>
          <t>KRONOBERGS LÄN</t>
        </is>
      </c>
      <c r="E2221" t="inlineStr">
        <is>
          <t>ALVESTA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56877-2024</t>
        </is>
      </c>
      <c r="B2222" s="1" t="n">
        <v>45628.56518518519</v>
      </c>
      <c r="C2222" s="1" t="n">
        <v>45957</v>
      </c>
      <c r="D2222" t="inlineStr">
        <is>
          <t>KRONOBERGS LÄN</t>
        </is>
      </c>
      <c r="E2222" t="inlineStr">
        <is>
          <t>LJUNGBY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53685-2022</t>
        </is>
      </c>
      <c r="B2223" s="1" t="n">
        <v>44880</v>
      </c>
      <c r="C2223" s="1" t="n">
        <v>45957</v>
      </c>
      <c r="D2223" t="inlineStr">
        <is>
          <t>KRONOBERGS LÄN</t>
        </is>
      </c>
      <c r="E2223" t="inlineStr">
        <is>
          <t>VÄXJÖ</t>
        </is>
      </c>
      <c r="G2223" t="n">
        <v>5.3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2808-2024</t>
        </is>
      </c>
      <c r="B2224" s="1" t="n">
        <v>45314.69070601852</v>
      </c>
      <c r="C2224" s="1" t="n">
        <v>45957</v>
      </c>
      <c r="D2224" t="inlineStr">
        <is>
          <t>KRONOBERGS LÄN</t>
        </is>
      </c>
      <c r="E2224" t="inlineStr">
        <is>
          <t>TINGSRYD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19211-2024</t>
        </is>
      </c>
      <c r="B2225" s="1" t="n">
        <v>45428.54791666667</v>
      </c>
      <c r="C2225" s="1" t="n">
        <v>45957</v>
      </c>
      <c r="D2225" t="inlineStr">
        <is>
          <t>KRONOBERGS LÄN</t>
        </is>
      </c>
      <c r="E2225" t="inlineStr">
        <is>
          <t>UPPVIDINGE</t>
        </is>
      </c>
      <c r="G2225" t="n">
        <v>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2419-2023</t>
        </is>
      </c>
      <c r="B2226" s="1" t="n">
        <v>44943.28924768518</v>
      </c>
      <c r="C2226" s="1" t="n">
        <v>45957</v>
      </c>
      <c r="D2226" t="inlineStr">
        <is>
          <t>KRONOBERGS LÄN</t>
        </is>
      </c>
      <c r="E2226" t="inlineStr">
        <is>
          <t>ÄLMHULT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29923-2024</t>
        </is>
      </c>
      <c r="B2227" s="1" t="n">
        <v>45488.29020833333</v>
      </c>
      <c r="C2227" s="1" t="n">
        <v>45957</v>
      </c>
      <c r="D2227" t="inlineStr">
        <is>
          <t>KRONOBERGS LÄN</t>
        </is>
      </c>
      <c r="E2227" t="inlineStr">
        <is>
          <t>VÄXJÖ</t>
        </is>
      </c>
      <c r="G2227" t="n">
        <v>0.5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1808-2025</t>
        </is>
      </c>
      <c r="B2228" s="1" t="n">
        <v>45670</v>
      </c>
      <c r="C2228" s="1" t="n">
        <v>45957</v>
      </c>
      <c r="D2228" t="inlineStr">
        <is>
          <t>KRONOBERGS LÄN</t>
        </is>
      </c>
      <c r="E2228" t="inlineStr">
        <is>
          <t>ALVESTA</t>
        </is>
      </c>
      <c r="F2228" t="inlineStr">
        <is>
          <t>Kyrkan</t>
        </is>
      </c>
      <c r="G2228" t="n">
        <v>1.7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73660-2021</t>
        </is>
      </c>
      <c r="B2229" s="1" t="n">
        <v>44552.45428240741</v>
      </c>
      <c r="C2229" s="1" t="n">
        <v>45957</v>
      </c>
      <c r="D2229" t="inlineStr">
        <is>
          <t>KRONOBERGS LÄN</t>
        </is>
      </c>
      <c r="E2229" t="inlineStr">
        <is>
          <t>UPPVIDINGE</t>
        </is>
      </c>
      <c r="G2229" t="n">
        <v>2.8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46360-2025</t>
        </is>
      </c>
      <c r="B2230" s="1" t="n">
        <v>45925.49622685185</v>
      </c>
      <c r="C2230" s="1" t="n">
        <v>45957</v>
      </c>
      <c r="D2230" t="inlineStr">
        <is>
          <t>KRONOBERGS LÄN</t>
        </is>
      </c>
      <c r="E2230" t="inlineStr">
        <is>
          <t>ALVESTA</t>
        </is>
      </c>
      <c r="G2230" t="n">
        <v>0.9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2840-2023</t>
        </is>
      </c>
      <c r="B2231" s="1" t="n">
        <v>44945.34497685185</v>
      </c>
      <c r="C2231" s="1" t="n">
        <v>45957</v>
      </c>
      <c r="D2231" t="inlineStr">
        <is>
          <t>KRONOBERGS LÄN</t>
        </is>
      </c>
      <c r="E2231" t="inlineStr">
        <is>
          <t>LJUNGBY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19213-2024</t>
        </is>
      </c>
      <c r="B2232" s="1" t="n">
        <v>45428.54854166666</v>
      </c>
      <c r="C2232" s="1" t="n">
        <v>45957</v>
      </c>
      <c r="D2232" t="inlineStr">
        <is>
          <t>KRONOBERGS LÄN</t>
        </is>
      </c>
      <c r="E2232" t="inlineStr">
        <is>
          <t>UPPVIDINGE</t>
        </is>
      </c>
      <c r="G2232" t="n">
        <v>0.8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19214-2024</t>
        </is>
      </c>
      <c r="B2233" s="1" t="n">
        <v>45428.54914351852</v>
      </c>
      <c r="C2233" s="1" t="n">
        <v>45957</v>
      </c>
      <c r="D2233" t="inlineStr">
        <is>
          <t>KRONOBERGS LÄN</t>
        </is>
      </c>
      <c r="E2233" t="inlineStr">
        <is>
          <t>UPPVIDINGE</t>
        </is>
      </c>
      <c r="G2233" t="n">
        <v>0.8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19252-2024</t>
        </is>
      </c>
      <c r="B2234" s="1" t="n">
        <v>45428.58675925926</v>
      </c>
      <c r="C2234" s="1" t="n">
        <v>45957</v>
      </c>
      <c r="D2234" t="inlineStr">
        <is>
          <t>KRONOBERGS LÄN</t>
        </is>
      </c>
      <c r="E2234" t="inlineStr">
        <is>
          <t>UPPVIDINGE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23713-2024</t>
        </is>
      </c>
      <c r="B2235" s="1" t="n">
        <v>45454.73629629629</v>
      </c>
      <c r="C2235" s="1" t="n">
        <v>45957</v>
      </c>
      <c r="D2235" t="inlineStr">
        <is>
          <t>KRONOBERGS LÄN</t>
        </is>
      </c>
      <c r="E2235" t="inlineStr">
        <is>
          <t>UPPVIDINGE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26386-2023</t>
        </is>
      </c>
      <c r="B2236" s="1" t="n">
        <v>45092.34288194445</v>
      </c>
      <c r="C2236" s="1" t="n">
        <v>45957</v>
      </c>
      <c r="D2236" t="inlineStr">
        <is>
          <t>KRONOBERGS LÄN</t>
        </is>
      </c>
      <c r="E2236" t="inlineStr">
        <is>
          <t>ÄLMHULT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26882-2024</t>
        </is>
      </c>
      <c r="B2237" s="1" t="n">
        <v>45470</v>
      </c>
      <c r="C2237" s="1" t="n">
        <v>45957</v>
      </c>
      <c r="D2237" t="inlineStr">
        <is>
          <t>KRONOBERGS LÄN</t>
        </is>
      </c>
      <c r="E2237" t="inlineStr">
        <is>
          <t>LJUNGBY</t>
        </is>
      </c>
      <c r="G2237" t="n">
        <v>2.5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32828-2023</t>
        </is>
      </c>
      <c r="B2238" s="1" t="n">
        <v>45124.58091435185</v>
      </c>
      <c r="C2238" s="1" t="n">
        <v>45957</v>
      </c>
      <c r="D2238" t="inlineStr">
        <is>
          <t>KRONOBERGS LÄN</t>
        </is>
      </c>
      <c r="E2238" t="inlineStr">
        <is>
          <t>VÄXJÖ</t>
        </is>
      </c>
      <c r="G2238" t="n">
        <v>0.5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28038-2024</t>
        </is>
      </c>
      <c r="B2239" s="1" t="n">
        <v>45476.50119212963</v>
      </c>
      <c r="C2239" s="1" t="n">
        <v>45957</v>
      </c>
      <c r="D2239" t="inlineStr">
        <is>
          <t>KRONOBERGS LÄN</t>
        </is>
      </c>
      <c r="E2239" t="inlineStr">
        <is>
          <t>LJUNGBY</t>
        </is>
      </c>
      <c r="G2239" t="n">
        <v>1.4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28039-2024</t>
        </is>
      </c>
      <c r="B2240" s="1" t="n">
        <v>45476.50480324074</v>
      </c>
      <c r="C2240" s="1" t="n">
        <v>45957</v>
      </c>
      <c r="D2240" t="inlineStr">
        <is>
          <t>KRONOBERGS LÄN</t>
        </is>
      </c>
      <c r="E2240" t="inlineStr">
        <is>
          <t>LJUNGBY</t>
        </is>
      </c>
      <c r="G2240" t="n">
        <v>1.5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13606-2023</t>
        </is>
      </c>
      <c r="B2241" s="1" t="n">
        <v>45006</v>
      </c>
      <c r="C2241" s="1" t="n">
        <v>45957</v>
      </c>
      <c r="D2241" t="inlineStr">
        <is>
          <t>KRONOBERGS LÄN</t>
        </is>
      </c>
      <c r="E2241" t="inlineStr">
        <is>
          <t>ÄLMHULT</t>
        </is>
      </c>
      <c r="F2241" t="inlineStr">
        <is>
          <t>Kommuner</t>
        </is>
      </c>
      <c r="G2241" t="n">
        <v>4.6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26454-2023</t>
        </is>
      </c>
      <c r="B2242" s="1" t="n">
        <v>45092.46023148148</v>
      </c>
      <c r="C2242" s="1" t="n">
        <v>45957</v>
      </c>
      <c r="D2242" t="inlineStr">
        <is>
          <t>KRONOBERGS LÄN</t>
        </is>
      </c>
      <c r="E2242" t="inlineStr">
        <is>
          <t>ÄLMHULT</t>
        </is>
      </c>
      <c r="G2242" t="n">
        <v>4.2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37844-2024</t>
        </is>
      </c>
      <c r="B2243" s="1" t="n">
        <v>45544.36982638889</v>
      </c>
      <c r="C2243" s="1" t="n">
        <v>45957</v>
      </c>
      <c r="D2243" t="inlineStr">
        <is>
          <t>KRONOBERGS LÄN</t>
        </is>
      </c>
      <c r="E2243" t="inlineStr">
        <is>
          <t>UPPVIDINGE</t>
        </is>
      </c>
      <c r="G2243" t="n">
        <v>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22201-2024</t>
        </is>
      </c>
      <c r="B2244" s="1" t="n">
        <v>45446.37311342593</v>
      </c>
      <c r="C2244" s="1" t="n">
        <v>45957</v>
      </c>
      <c r="D2244" t="inlineStr">
        <is>
          <t>KRONOBERGS LÄN</t>
        </is>
      </c>
      <c r="E2244" t="inlineStr">
        <is>
          <t>VÄXJÖ</t>
        </is>
      </c>
      <c r="G2244" t="n">
        <v>3.5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20563-2024</t>
        </is>
      </c>
      <c r="B2245" s="1" t="n">
        <v>45436.36854166666</v>
      </c>
      <c r="C2245" s="1" t="n">
        <v>45957</v>
      </c>
      <c r="D2245" t="inlineStr">
        <is>
          <t>KRONOBERGS LÄN</t>
        </is>
      </c>
      <c r="E2245" t="inlineStr">
        <is>
          <t>TINGSRYD</t>
        </is>
      </c>
      <c r="G2245" t="n">
        <v>2.5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14324-2023</t>
        </is>
      </c>
      <c r="B2246" s="1" t="n">
        <v>45012.32489583334</v>
      </c>
      <c r="C2246" s="1" t="n">
        <v>45957</v>
      </c>
      <c r="D2246" t="inlineStr">
        <is>
          <t>KRONOBERGS LÄN</t>
        </is>
      </c>
      <c r="E2246" t="inlineStr">
        <is>
          <t>ALVESTA</t>
        </is>
      </c>
      <c r="G2246" t="n">
        <v>1.5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53687-2022</t>
        </is>
      </c>
      <c r="B2247" s="1" t="n">
        <v>44880.29931712963</v>
      </c>
      <c r="C2247" s="1" t="n">
        <v>45957</v>
      </c>
      <c r="D2247" t="inlineStr">
        <is>
          <t>KRONOBERGS LÄN</t>
        </is>
      </c>
      <c r="E2247" t="inlineStr">
        <is>
          <t>VÄXJÖ</t>
        </is>
      </c>
      <c r="G2247" t="n">
        <v>4.4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46362-2025</t>
        </is>
      </c>
      <c r="B2248" s="1" t="n">
        <v>45925.49689814815</v>
      </c>
      <c r="C2248" s="1" t="n">
        <v>45957</v>
      </c>
      <c r="D2248" t="inlineStr">
        <is>
          <t>KRONOBERGS LÄN</t>
        </is>
      </c>
      <c r="E2248" t="inlineStr">
        <is>
          <t>ALVESTA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27628-2023</t>
        </is>
      </c>
      <c r="B2249" s="1" t="n">
        <v>45097</v>
      </c>
      <c r="C2249" s="1" t="n">
        <v>45957</v>
      </c>
      <c r="D2249" t="inlineStr">
        <is>
          <t>KRONOBERGS LÄN</t>
        </is>
      </c>
      <c r="E2249" t="inlineStr">
        <is>
          <t>LJUNGBY</t>
        </is>
      </c>
      <c r="G2249" t="n">
        <v>0.5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38578-2025</t>
        </is>
      </c>
      <c r="B2250" s="1" t="n">
        <v>45884.46671296296</v>
      </c>
      <c r="C2250" s="1" t="n">
        <v>45957</v>
      </c>
      <c r="D2250" t="inlineStr">
        <is>
          <t>KRONOBERGS LÄN</t>
        </is>
      </c>
      <c r="E2250" t="inlineStr">
        <is>
          <t>TINGSRYD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38582-2025</t>
        </is>
      </c>
      <c r="B2251" s="1" t="n">
        <v>45884.46983796296</v>
      </c>
      <c r="C2251" s="1" t="n">
        <v>45957</v>
      </c>
      <c r="D2251" t="inlineStr">
        <is>
          <t>KRONOBERGS LÄN</t>
        </is>
      </c>
      <c r="E2251" t="inlineStr">
        <is>
          <t>VÄXJÖ</t>
        </is>
      </c>
      <c r="G2251" t="n">
        <v>4.1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13966-2024</t>
        </is>
      </c>
      <c r="B2252" s="1" t="n">
        <v>45392.35590277778</v>
      </c>
      <c r="C2252" s="1" t="n">
        <v>45957</v>
      </c>
      <c r="D2252" t="inlineStr">
        <is>
          <t>KRONOBERGS LÄN</t>
        </is>
      </c>
      <c r="E2252" t="inlineStr">
        <is>
          <t>TINGSRYD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13975-2024</t>
        </is>
      </c>
      <c r="B2253" s="1" t="n">
        <v>45392.39274305556</v>
      </c>
      <c r="C2253" s="1" t="n">
        <v>45957</v>
      </c>
      <c r="D2253" t="inlineStr">
        <is>
          <t>KRONOBERGS LÄN</t>
        </is>
      </c>
      <c r="E2253" t="inlineStr">
        <is>
          <t>VÄXJÖ</t>
        </is>
      </c>
      <c r="F2253" t="inlineStr">
        <is>
          <t>Sveaskog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19186-2025</t>
        </is>
      </c>
      <c r="B2254" s="1" t="n">
        <v>45769.40989583333</v>
      </c>
      <c r="C2254" s="1" t="n">
        <v>45957</v>
      </c>
      <c r="D2254" t="inlineStr">
        <is>
          <t>KRONOBERGS LÄN</t>
        </is>
      </c>
      <c r="E2254" t="inlineStr">
        <is>
          <t>TINGSRYD</t>
        </is>
      </c>
      <c r="G2254" t="n">
        <v>6.9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50733-2023</t>
        </is>
      </c>
      <c r="B2255" s="1" t="n">
        <v>45217</v>
      </c>
      <c r="C2255" s="1" t="n">
        <v>45957</v>
      </c>
      <c r="D2255" t="inlineStr">
        <is>
          <t>KRONOBERGS LÄN</t>
        </is>
      </c>
      <c r="E2255" t="inlineStr">
        <is>
          <t>ALVESTA</t>
        </is>
      </c>
      <c r="G2255" t="n">
        <v>1.8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18968-2024</t>
        </is>
      </c>
      <c r="B2256" s="1" t="n">
        <v>45427.55083333333</v>
      </c>
      <c r="C2256" s="1" t="n">
        <v>45957</v>
      </c>
      <c r="D2256" t="inlineStr">
        <is>
          <t>KRONOBERGS LÄN</t>
        </is>
      </c>
      <c r="E2256" t="inlineStr">
        <is>
          <t>LESSEBO</t>
        </is>
      </c>
      <c r="G2256" t="n">
        <v>1.3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7501-2024</t>
        </is>
      </c>
      <c r="B2257" s="1" t="n">
        <v>45347</v>
      </c>
      <c r="C2257" s="1" t="n">
        <v>45957</v>
      </c>
      <c r="D2257" t="inlineStr">
        <is>
          <t>KRONOBERGS LÄN</t>
        </is>
      </c>
      <c r="E2257" t="inlineStr">
        <is>
          <t>MARKARYD</t>
        </is>
      </c>
      <c r="G2257" t="n">
        <v>15.1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7516-2024</t>
        </is>
      </c>
      <c r="B2258" s="1" t="n">
        <v>45348.33475694444</v>
      </c>
      <c r="C2258" s="1" t="n">
        <v>45957</v>
      </c>
      <c r="D2258" t="inlineStr">
        <is>
          <t>KRONOBERGS LÄN</t>
        </is>
      </c>
      <c r="E2258" t="inlineStr">
        <is>
          <t>UPPVIDINGE</t>
        </is>
      </c>
      <c r="G2258" t="n">
        <v>3.2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13342-2023</t>
        </is>
      </c>
      <c r="B2259" s="1" t="n">
        <v>45005</v>
      </c>
      <c r="C2259" s="1" t="n">
        <v>45957</v>
      </c>
      <c r="D2259" t="inlineStr">
        <is>
          <t>KRONOBERGS LÄN</t>
        </is>
      </c>
      <c r="E2259" t="inlineStr">
        <is>
          <t>TINGSRYD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62191-2022</t>
        </is>
      </c>
      <c r="B2260" s="1" t="n">
        <v>44922</v>
      </c>
      <c r="C2260" s="1" t="n">
        <v>45957</v>
      </c>
      <c r="D2260" t="inlineStr">
        <is>
          <t>KRONOBERGS LÄN</t>
        </is>
      </c>
      <c r="E2260" t="inlineStr">
        <is>
          <t>VÄXJÖ</t>
        </is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23398-2025</t>
        </is>
      </c>
      <c r="B2261" s="1" t="n">
        <v>45792.30664351852</v>
      </c>
      <c r="C2261" s="1" t="n">
        <v>45957</v>
      </c>
      <c r="D2261" t="inlineStr">
        <is>
          <t>KRONOBERGS LÄN</t>
        </is>
      </c>
      <c r="E2261" t="inlineStr">
        <is>
          <t>LJUNGBY</t>
        </is>
      </c>
      <c r="G2261" t="n">
        <v>0.4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23431-2025</t>
        </is>
      </c>
      <c r="B2262" s="1" t="n">
        <v>45792.36583333334</v>
      </c>
      <c r="C2262" s="1" t="n">
        <v>45957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47088-2023</t>
        </is>
      </c>
      <c r="B2263" s="1" t="n">
        <v>45201</v>
      </c>
      <c r="C2263" s="1" t="n">
        <v>45957</v>
      </c>
      <c r="D2263" t="inlineStr">
        <is>
          <t>KRONOBERGS LÄN</t>
        </is>
      </c>
      <c r="E2263" t="inlineStr">
        <is>
          <t>VÄXJÖ</t>
        </is>
      </c>
      <c r="G2263" t="n">
        <v>1.5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63539-2023</t>
        </is>
      </c>
      <c r="B2264" s="1" t="n">
        <v>45275.30907407407</v>
      </c>
      <c r="C2264" s="1" t="n">
        <v>45957</v>
      </c>
      <c r="D2264" t="inlineStr">
        <is>
          <t>KRONOBERGS LÄN</t>
        </is>
      </c>
      <c r="E2264" t="inlineStr">
        <is>
          <t>LJUNGBY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64603-2023</t>
        </is>
      </c>
      <c r="B2265" s="1" t="n">
        <v>45281</v>
      </c>
      <c r="C2265" s="1" t="n">
        <v>45957</v>
      </c>
      <c r="D2265" t="inlineStr">
        <is>
          <t>KRONOBERGS LÄN</t>
        </is>
      </c>
      <c r="E2265" t="inlineStr">
        <is>
          <t>VÄXJÖ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23401-2025</t>
        </is>
      </c>
      <c r="B2266" s="1" t="n">
        <v>45792.33170138889</v>
      </c>
      <c r="C2266" s="1" t="n">
        <v>45957</v>
      </c>
      <c r="D2266" t="inlineStr">
        <is>
          <t>KRONOBERGS LÄN</t>
        </is>
      </c>
      <c r="E2266" t="inlineStr">
        <is>
          <t>LJUNGBY</t>
        </is>
      </c>
      <c r="G2266" t="n">
        <v>0.6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39187-2022</t>
        </is>
      </c>
      <c r="B2267" s="1" t="n">
        <v>44817</v>
      </c>
      <c r="C2267" s="1" t="n">
        <v>45957</v>
      </c>
      <c r="D2267" t="inlineStr">
        <is>
          <t>KRONOBERGS LÄN</t>
        </is>
      </c>
      <c r="E2267" t="inlineStr">
        <is>
          <t>LJUNGBY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7464-2025</t>
        </is>
      </c>
      <c r="B2268" s="1" t="n">
        <v>45705.44603009259</v>
      </c>
      <c r="C2268" s="1" t="n">
        <v>45957</v>
      </c>
      <c r="D2268" t="inlineStr">
        <is>
          <t>KRONOBERGS LÄN</t>
        </is>
      </c>
      <c r="E2268" t="inlineStr">
        <is>
          <t>ALVESTA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2081-2025</t>
        </is>
      </c>
      <c r="B2269" s="1" t="n">
        <v>45672.58387731481</v>
      </c>
      <c r="C2269" s="1" t="n">
        <v>45957</v>
      </c>
      <c r="D2269" t="inlineStr">
        <is>
          <t>KRONOBERGS LÄN</t>
        </is>
      </c>
      <c r="E2269" t="inlineStr">
        <is>
          <t>LJUNGBY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39380-2023</t>
        </is>
      </c>
      <c r="B2270" s="1" t="n">
        <v>45166.64127314815</v>
      </c>
      <c r="C2270" s="1" t="n">
        <v>45957</v>
      </c>
      <c r="D2270" t="inlineStr">
        <is>
          <t>KRONOBERGS LÄN</t>
        </is>
      </c>
      <c r="E2270" t="inlineStr">
        <is>
          <t>ÄLMHULT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11938-2024</t>
        </is>
      </c>
      <c r="B2271" s="1" t="n">
        <v>45376.66356481481</v>
      </c>
      <c r="C2271" s="1" t="n">
        <v>45957</v>
      </c>
      <c r="D2271" t="inlineStr">
        <is>
          <t>KRONOBERGS LÄN</t>
        </is>
      </c>
      <c r="E2271" t="inlineStr">
        <is>
          <t>ÄLMHULT</t>
        </is>
      </c>
      <c r="G2271" t="n">
        <v>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2252-2023</t>
        </is>
      </c>
      <c r="B2272" s="1" t="n">
        <v>44942</v>
      </c>
      <c r="C2272" s="1" t="n">
        <v>45957</v>
      </c>
      <c r="D2272" t="inlineStr">
        <is>
          <t>KRONOBERGS LÄN</t>
        </is>
      </c>
      <c r="E2272" t="inlineStr">
        <is>
          <t>ÄLMHULT</t>
        </is>
      </c>
      <c r="G2272" t="n">
        <v>0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29152-2024</t>
        </is>
      </c>
      <c r="B2273" s="1" t="n">
        <v>45482</v>
      </c>
      <c r="C2273" s="1" t="n">
        <v>45957</v>
      </c>
      <c r="D2273" t="inlineStr">
        <is>
          <t>KRONOBERGS LÄN</t>
        </is>
      </c>
      <c r="E2273" t="inlineStr">
        <is>
          <t>ALVESTA</t>
        </is>
      </c>
      <c r="G2273" t="n">
        <v>3.2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29157-2024</t>
        </is>
      </c>
      <c r="B2274" s="1" t="n">
        <v>45482</v>
      </c>
      <c r="C2274" s="1" t="n">
        <v>45957</v>
      </c>
      <c r="D2274" t="inlineStr">
        <is>
          <t>KRONOBERGS LÄN</t>
        </is>
      </c>
      <c r="E2274" t="inlineStr">
        <is>
          <t>LJUNGBY</t>
        </is>
      </c>
      <c r="G2274" t="n">
        <v>9.5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64089-2020</t>
        </is>
      </c>
      <c r="B2275" s="1" t="n">
        <v>44167</v>
      </c>
      <c r="C2275" s="1" t="n">
        <v>45957</v>
      </c>
      <c r="D2275" t="inlineStr">
        <is>
          <t>KRONOBERGS LÄN</t>
        </is>
      </c>
      <c r="E2275" t="inlineStr">
        <is>
          <t>UPPVIDINGE</t>
        </is>
      </c>
      <c r="G2275" t="n">
        <v>0.6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527-2023</t>
        </is>
      </c>
      <c r="B2276" s="1" t="n">
        <v>44930.4346875</v>
      </c>
      <c r="C2276" s="1" t="n">
        <v>45957</v>
      </c>
      <c r="D2276" t="inlineStr">
        <is>
          <t>KRONOBERGS LÄN</t>
        </is>
      </c>
      <c r="E2276" t="inlineStr">
        <is>
          <t>ÄLMHULT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4320-2024</t>
        </is>
      </c>
      <c r="B2277" s="1" t="n">
        <v>45324.66358796296</v>
      </c>
      <c r="C2277" s="1" t="n">
        <v>45957</v>
      </c>
      <c r="D2277" t="inlineStr">
        <is>
          <t>KRONOBERGS LÄN</t>
        </is>
      </c>
      <c r="E2277" t="inlineStr">
        <is>
          <t>VÄXJÖ</t>
        </is>
      </c>
      <c r="G2277" t="n">
        <v>1.3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14890-2023</t>
        </is>
      </c>
      <c r="B2278" s="1" t="n">
        <v>45015.31724537037</v>
      </c>
      <c r="C2278" s="1" t="n">
        <v>45957</v>
      </c>
      <c r="D2278" t="inlineStr">
        <is>
          <t>KRONOBERGS LÄN</t>
        </is>
      </c>
      <c r="E2278" t="inlineStr">
        <is>
          <t>ÄLMHULT</t>
        </is>
      </c>
      <c r="G2278" t="n">
        <v>1.9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31571-2025</t>
        </is>
      </c>
      <c r="B2279" s="1" t="n">
        <v>45833.66576388889</v>
      </c>
      <c r="C2279" s="1" t="n">
        <v>45957</v>
      </c>
      <c r="D2279" t="inlineStr">
        <is>
          <t>KRONOBERGS LÄN</t>
        </is>
      </c>
      <c r="E2279" t="inlineStr">
        <is>
          <t>VÄXJÖ</t>
        </is>
      </c>
      <c r="G2279" t="n">
        <v>2.5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29336-2024</t>
        </is>
      </c>
      <c r="B2280" s="1" t="n">
        <v>45483</v>
      </c>
      <c r="C2280" s="1" t="n">
        <v>45957</v>
      </c>
      <c r="D2280" t="inlineStr">
        <is>
          <t>KRONOBERGS LÄN</t>
        </is>
      </c>
      <c r="E2280" t="inlineStr">
        <is>
          <t>LJUNGBY</t>
        </is>
      </c>
      <c r="G2280" t="n">
        <v>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25427-2024</t>
        </is>
      </c>
      <c r="B2281" s="1" t="n">
        <v>45463</v>
      </c>
      <c r="C2281" s="1" t="n">
        <v>45957</v>
      </c>
      <c r="D2281" t="inlineStr">
        <is>
          <t>KRONOBERGS LÄN</t>
        </is>
      </c>
      <c r="E2281" t="inlineStr">
        <is>
          <t>LJUNGBY</t>
        </is>
      </c>
      <c r="F2281" t="inlineStr">
        <is>
          <t>Sveaskog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71802-2021</t>
        </is>
      </c>
      <c r="B2282" s="1" t="n">
        <v>44543</v>
      </c>
      <c r="C2282" s="1" t="n">
        <v>45957</v>
      </c>
      <c r="D2282" t="inlineStr">
        <is>
          <t>KRONOBERGS LÄN</t>
        </is>
      </c>
      <c r="E2282" t="inlineStr">
        <is>
          <t>ÄLMHULT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35478-2024</t>
        </is>
      </c>
      <c r="B2283" s="1" t="n">
        <v>45531</v>
      </c>
      <c r="C2283" s="1" t="n">
        <v>45957</v>
      </c>
      <c r="D2283" t="inlineStr">
        <is>
          <t>KRONOBERGS LÄN</t>
        </is>
      </c>
      <c r="E2283" t="inlineStr">
        <is>
          <t>ÄLMHULT</t>
        </is>
      </c>
      <c r="F2283" t="inlineStr">
        <is>
          <t>Kyrkan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22122-2023</t>
        </is>
      </c>
      <c r="B2284" s="1" t="n">
        <v>45069.57748842592</v>
      </c>
      <c r="C2284" s="1" t="n">
        <v>45957</v>
      </c>
      <c r="D2284" t="inlineStr">
        <is>
          <t>KRONOBERGS LÄN</t>
        </is>
      </c>
      <c r="E2284" t="inlineStr">
        <is>
          <t>TINGSRYD</t>
        </is>
      </c>
      <c r="G2284" t="n">
        <v>5.5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63517-2020</t>
        </is>
      </c>
      <c r="B2285" s="1" t="n">
        <v>44161</v>
      </c>
      <c r="C2285" s="1" t="n">
        <v>45957</v>
      </c>
      <c r="D2285" t="inlineStr">
        <is>
          <t>KRONOBERGS LÄN</t>
        </is>
      </c>
      <c r="E2285" t="inlineStr">
        <is>
          <t>VÄXJÖ</t>
        </is>
      </c>
      <c r="G2285" t="n">
        <v>4.6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6559-2023</t>
        </is>
      </c>
      <c r="B2286" s="1" t="n">
        <v>44966.45240740741</v>
      </c>
      <c r="C2286" s="1" t="n">
        <v>45957</v>
      </c>
      <c r="D2286" t="inlineStr">
        <is>
          <t>KRONOBERGS LÄN</t>
        </is>
      </c>
      <c r="E2286" t="inlineStr">
        <is>
          <t>ALVESTA</t>
        </is>
      </c>
      <c r="G2286" t="n">
        <v>0.9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6070-2024</t>
        </is>
      </c>
      <c r="B2287" s="1" t="n">
        <v>45336.92125</v>
      </c>
      <c r="C2287" s="1" t="n">
        <v>45957</v>
      </c>
      <c r="D2287" t="inlineStr">
        <is>
          <t>KRONOBERGS LÄN</t>
        </is>
      </c>
      <c r="E2287" t="inlineStr">
        <is>
          <t>UPPVIDINGE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63697-2023</t>
        </is>
      </c>
      <c r="B2288" s="1" t="n">
        <v>45275</v>
      </c>
      <c r="C2288" s="1" t="n">
        <v>45957</v>
      </c>
      <c r="D2288" t="inlineStr">
        <is>
          <t>KRONOBERGS LÄN</t>
        </is>
      </c>
      <c r="E2288" t="inlineStr">
        <is>
          <t>TINGSRYD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12339-2023</t>
        </is>
      </c>
      <c r="B2289" s="1" t="n">
        <v>44998</v>
      </c>
      <c r="C2289" s="1" t="n">
        <v>45957</v>
      </c>
      <c r="D2289" t="inlineStr">
        <is>
          <t>KRONOBERGS LÄN</t>
        </is>
      </c>
      <c r="E2289" t="inlineStr">
        <is>
          <t>UPPVIDINGE</t>
        </is>
      </c>
      <c r="F2289" t="inlineStr">
        <is>
          <t>Kyrkan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43858-2022</t>
        </is>
      </c>
      <c r="B2290" s="1" t="n">
        <v>44838.42135416667</v>
      </c>
      <c r="C2290" s="1" t="n">
        <v>45957</v>
      </c>
      <c r="D2290" t="inlineStr">
        <is>
          <t>KRONOBERGS LÄN</t>
        </is>
      </c>
      <c r="E2290" t="inlineStr">
        <is>
          <t>TINGSRYD</t>
        </is>
      </c>
      <c r="G2290" t="n">
        <v>2.9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72447-2021</t>
        </is>
      </c>
      <c r="B2291" s="1" t="n">
        <v>44545.69108796296</v>
      </c>
      <c r="C2291" s="1" t="n">
        <v>45957</v>
      </c>
      <c r="D2291" t="inlineStr">
        <is>
          <t>KRONOBERGS LÄN</t>
        </is>
      </c>
      <c r="E2291" t="inlineStr">
        <is>
          <t>TINGSRYD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3268-2023</t>
        </is>
      </c>
      <c r="B2292" s="1" t="n">
        <v>44945</v>
      </c>
      <c r="C2292" s="1" t="n">
        <v>45957</v>
      </c>
      <c r="D2292" t="inlineStr">
        <is>
          <t>KRONOBERGS LÄN</t>
        </is>
      </c>
      <c r="E2292" t="inlineStr">
        <is>
          <t>TINGSRYD</t>
        </is>
      </c>
      <c r="G2292" t="n">
        <v>2.2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21715-2025</t>
        </is>
      </c>
      <c r="B2293" s="1" t="n">
        <v>45783</v>
      </c>
      <c r="C2293" s="1" t="n">
        <v>45957</v>
      </c>
      <c r="D2293" t="inlineStr">
        <is>
          <t>KRONOBERGS LÄN</t>
        </is>
      </c>
      <c r="E2293" t="inlineStr">
        <is>
          <t>UPPVIDINGE</t>
        </is>
      </c>
      <c r="G2293" t="n">
        <v>3.4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67565-2021</t>
        </is>
      </c>
      <c r="B2294" s="1" t="n">
        <v>44524</v>
      </c>
      <c r="C2294" s="1" t="n">
        <v>45957</v>
      </c>
      <c r="D2294" t="inlineStr">
        <is>
          <t>KRONOBERGS LÄN</t>
        </is>
      </c>
      <c r="E2294" t="inlineStr">
        <is>
          <t>TINGSRYD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28445-2023</t>
        </is>
      </c>
      <c r="B2295" s="1" t="n">
        <v>45103</v>
      </c>
      <c r="C2295" s="1" t="n">
        <v>45957</v>
      </c>
      <c r="D2295" t="inlineStr">
        <is>
          <t>KRONOBERGS LÄN</t>
        </is>
      </c>
      <c r="E2295" t="inlineStr">
        <is>
          <t>UPPVIDINGE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15731-2023</t>
        </is>
      </c>
      <c r="B2296" s="1" t="n">
        <v>45021.58115740741</v>
      </c>
      <c r="C2296" s="1" t="n">
        <v>45957</v>
      </c>
      <c r="D2296" t="inlineStr">
        <is>
          <t>KRONOBERGS LÄN</t>
        </is>
      </c>
      <c r="E2296" t="inlineStr">
        <is>
          <t>MARKARYD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58135-2020</t>
        </is>
      </c>
      <c r="B2297" s="1" t="n">
        <v>44144</v>
      </c>
      <c r="C2297" s="1" t="n">
        <v>45957</v>
      </c>
      <c r="D2297" t="inlineStr">
        <is>
          <t>KRONOBERGS LÄN</t>
        </is>
      </c>
      <c r="E2297" t="inlineStr">
        <is>
          <t>MARKARYD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37015-2023</t>
        </is>
      </c>
      <c r="B2298" s="1" t="n">
        <v>45155.3446875</v>
      </c>
      <c r="C2298" s="1" t="n">
        <v>45957</v>
      </c>
      <c r="D2298" t="inlineStr">
        <is>
          <t>KRONOBERGS LÄN</t>
        </is>
      </c>
      <c r="E2298" t="inlineStr">
        <is>
          <t>ÄLMHULT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54136-2022</t>
        </is>
      </c>
      <c r="B2299" s="1" t="n">
        <v>44881.59844907407</v>
      </c>
      <c r="C2299" s="1" t="n">
        <v>45957</v>
      </c>
      <c r="D2299" t="inlineStr">
        <is>
          <t>KRONOBERGS LÄN</t>
        </is>
      </c>
      <c r="E2299" t="inlineStr">
        <is>
          <t>TINGSRYD</t>
        </is>
      </c>
      <c r="G2299" t="n">
        <v>1.1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18379-2024</t>
        </is>
      </c>
      <c r="B2300" s="1" t="n">
        <v>45424.34530092592</v>
      </c>
      <c r="C2300" s="1" t="n">
        <v>45957</v>
      </c>
      <c r="D2300" t="inlineStr">
        <is>
          <t>KRONOBERGS LÄN</t>
        </is>
      </c>
      <c r="E2300" t="inlineStr">
        <is>
          <t>TINGSRYD</t>
        </is>
      </c>
      <c r="G2300" t="n">
        <v>1.6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15391-2023</t>
        </is>
      </c>
      <c r="B2301" s="1" t="n">
        <v>45019.64087962963</v>
      </c>
      <c r="C2301" s="1" t="n">
        <v>45957</v>
      </c>
      <c r="D2301" t="inlineStr">
        <is>
          <t>KRONOBERGS LÄN</t>
        </is>
      </c>
      <c r="E2301" t="inlineStr">
        <is>
          <t>TINGSRYD</t>
        </is>
      </c>
      <c r="G2301" t="n">
        <v>1.8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12743-2024</t>
        </is>
      </c>
      <c r="B2302" s="1" t="n">
        <v>45384.54092592592</v>
      </c>
      <c r="C2302" s="1" t="n">
        <v>45957</v>
      </c>
      <c r="D2302" t="inlineStr">
        <is>
          <t>KRONOBERGS LÄN</t>
        </is>
      </c>
      <c r="E2302" t="inlineStr">
        <is>
          <t>ÄLMHULT</t>
        </is>
      </c>
      <c r="F2302" t="inlineStr">
        <is>
          <t>Sveaskog</t>
        </is>
      </c>
      <c r="G2302" t="n">
        <v>6.3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11175-2023</t>
        </is>
      </c>
      <c r="B2303" s="1" t="n">
        <v>44992</v>
      </c>
      <c r="C2303" s="1" t="n">
        <v>45957</v>
      </c>
      <c r="D2303" t="inlineStr">
        <is>
          <t>KRONOBERGS LÄN</t>
        </is>
      </c>
      <c r="E2303" t="inlineStr">
        <is>
          <t>MARKARYD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604-2023</t>
        </is>
      </c>
      <c r="B2304" s="1" t="n">
        <v>44930.58833333333</v>
      </c>
      <c r="C2304" s="1" t="n">
        <v>45957</v>
      </c>
      <c r="D2304" t="inlineStr">
        <is>
          <t>KRONOBERGS LÄN</t>
        </is>
      </c>
      <c r="E2304" t="inlineStr">
        <is>
          <t>TINGSRYD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32042-2024</t>
        </is>
      </c>
      <c r="B2305" s="1" t="n">
        <v>45510</v>
      </c>
      <c r="C2305" s="1" t="n">
        <v>45957</v>
      </c>
      <c r="D2305" t="inlineStr">
        <is>
          <t>KRONOBERGS LÄN</t>
        </is>
      </c>
      <c r="E2305" t="inlineStr">
        <is>
          <t>LJUNGBY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55794-2020</t>
        </is>
      </c>
      <c r="B2306" s="1" t="n">
        <v>44132.48459490741</v>
      </c>
      <c r="C2306" s="1" t="n">
        <v>45957</v>
      </c>
      <c r="D2306" t="inlineStr">
        <is>
          <t>KRONOBERGS LÄN</t>
        </is>
      </c>
      <c r="E2306" t="inlineStr">
        <is>
          <t>VÄXJÖ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67204-2021</t>
        </is>
      </c>
      <c r="B2307" s="1" t="n">
        <v>44523.46746527778</v>
      </c>
      <c r="C2307" s="1" t="n">
        <v>45957</v>
      </c>
      <c r="D2307" t="inlineStr">
        <is>
          <t>KRONOBERGS LÄN</t>
        </is>
      </c>
      <c r="E2307" t="inlineStr">
        <is>
          <t>LJUNGBY</t>
        </is>
      </c>
      <c r="G2307" t="n">
        <v>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23104-2024</t>
        </is>
      </c>
      <c r="B2308" s="1" t="n">
        <v>45450.54707175926</v>
      </c>
      <c r="C2308" s="1" t="n">
        <v>45957</v>
      </c>
      <c r="D2308" t="inlineStr">
        <is>
          <t>KRONOBERGS LÄN</t>
        </is>
      </c>
      <c r="E2308" t="inlineStr">
        <is>
          <t>ÄLMHULT</t>
        </is>
      </c>
      <c r="G2308" t="n">
        <v>0.5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9933-2024</t>
        </is>
      </c>
      <c r="B2309" s="1" t="n">
        <v>45363.58059027778</v>
      </c>
      <c r="C2309" s="1" t="n">
        <v>45957</v>
      </c>
      <c r="D2309" t="inlineStr">
        <is>
          <t>KRONOBERGS LÄN</t>
        </is>
      </c>
      <c r="E2309" t="inlineStr">
        <is>
          <t>ALVESTA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11506-2024</t>
        </is>
      </c>
      <c r="B2310" s="1" t="n">
        <v>45372.68917824074</v>
      </c>
      <c r="C2310" s="1" t="n">
        <v>45957</v>
      </c>
      <c r="D2310" t="inlineStr">
        <is>
          <t>KRONOBERGS LÄN</t>
        </is>
      </c>
      <c r="E2310" t="inlineStr">
        <is>
          <t>LJUNGBY</t>
        </is>
      </c>
      <c r="G2310" t="n">
        <v>0.9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38296-2025</t>
        </is>
      </c>
      <c r="B2311" s="1" t="n">
        <v>45883.45405092592</v>
      </c>
      <c r="C2311" s="1" t="n">
        <v>45957</v>
      </c>
      <c r="D2311" t="inlineStr">
        <is>
          <t>KRONOBERGS LÄN</t>
        </is>
      </c>
      <c r="E2311" t="inlineStr">
        <is>
          <t>LESSEBO</t>
        </is>
      </c>
      <c r="G2311" t="n">
        <v>0.6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55517-2024</t>
        </is>
      </c>
      <c r="B2312" s="1" t="n">
        <v>45622.47103009259</v>
      </c>
      <c r="C2312" s="1" t="n">
        <v>45957</v>
      </c>
      <c r="D2312" t="inlineStr">
        <is>
          <t>KRONOBERGS LÄN</t>
        </is>
      </c>
      <c r="E2312" t="inlineStr">
        <is>
          <t>VÄXJÖ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19379-2024</t>
        </is>
      </c>
      <c r="B2313" s="1" t="n">
        <v>45428</v>
      </c>
      <c r="C2313" s="1" t="n">
        <v>45957</v>
      </c>
      <c r="D2313" t="inlineStr">
        <is>
          <t>KRONOBERGS LÄN</t>
        </is>
      </c>
      <c r="E2313" t="inlineStr">
        <is>
          <t>VÄXJÖ</t>
        </is>
      </c>
      <c r="F2313" t="inlineStr">
        <is>
          <t>Kyrkan</t>
        </is>
      </c>
      <c r="G2313" t="n">
        <v>9.4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62643-2022</t>
        </is>
      </c>
      <c r="B2314" s="1" t="n">
        <v>44925</v>
      </c>
      <c r="C2314" s="1" t="n">
        <v>45957</v>
      </c>
      <c r="D2314" t="inlineStr">
        <is>
          <t>KRONOBERGS LÄN</t>
        </is>
      </c>
      <c r="E2314" t="inlineStr">
        <is>
          <t>ALVESTA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62645-2022</t>
        </is>
      </c>
      <c r="B2315" s="1" t="n">
        <v>44925</v>
      </c>
      <c r="C2315" s="1" t="n">
        <v>45957</v>
      </c>
      <c r="D2315" t="inlineStr">
        <is>
          <t>KRONOBERGS LÄN</t>
        </is>
      </c>
      <c r="E2315" t="inlineStr">
        <is>
          <t>ALVESTA</t>
        </is>
      </c>
      <c r="G2315" t="n">
        <v>0.4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23228-2025</t>
        </is>
      </c>
      <c r="B2316" s="1" t="n">
        <v>45791.48850694444</v>
      </c>
      <c r="C2316" s="1" t="n">
        <v>45957</v>
      </c>
      <c r="D2316" t="inlineStr">
        <is>
          <t>KRONOBERGS LÄN</t>
        </is>
      </c>
      <c r="E2316" t="inlineStr">
        <is>
          <t>VÄXJÖ</t>
        </is>
      </c>
      <c r="G2316" t="n">
        <v>1.9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6475-2022</t>
        </is>
      </c>
      <c r="B2317" s="1" t="n">
        <v>44601.39091435185</v>
      </c>
      <c r="C2317" s="1" t="n">
        <v>45957</v>
      </c>
      <c r="D2317" t="inlineStr">
        <is>
          <t>KRONOBERGS LÄN</t>
        </is>
      </c>
      <c r="E2317" t="inlineStr">
        <is>
          <t>ALVESTA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19310-2023</t>
        </is>
      </c>
      <c r="B2318" s="1" t="n">
        <v>45049</v>
      </c>
      <c r="C2318" s="1" t="n">
        <v>45957</v>
      </c>
      <c r="D2318" t="inlineStr">
        <is>
          <t>KRONOBERGS LÄN</t>
        </is>
      </c>
      <c r="E2318" t="inlineStr">
        <is>
          <t>TINGSRYD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27545-2023</t>
        </is>
      </c>
      <c r="B2319" s="1" t="n">
        <v>45097</v>
      </c>
      <c r="C2319" s="1" t="n">
        <v>45957</v>
      </c>
      <c r="D2319" t="inlineStr">
        <is>
          <t>KRONOBERGS LÄN</t>
        </is>
      </c>
      <c r="E2319" t="inlineStr">
        <is>
          <t>TINGSRYD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35309-2024</t>
        </is>
      </c>
      <c r="B2320" s="1" t="n">
        <v>45530</v>
      </c>
      <c r="C2320" s="1" t="n">
        <v>45957</v>
      </c>
      <c r="D2320" t="inlineStr">
        <is>
          <t>KRONOBERGS LÄN</t>
        </is>
      </c>
      <c r="E2320" t="inlineStr">
        <is>
          <t>MARKARYD</t>
        </is>
      </c>
      <c r="F2320" t="inlineStr">
        <is>
          <t>Sveaskog</t>
        </is>
      </c>
      <c r="G2320" t="n">
        <v>0.4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35313-2024</t>
        </is>
      </c>
      <c r="B2321" s="1" t="n">
        <v>45530</v>
      </c>
      <c r="C2321" s="1" t="n">
        <v>45957</v>
      </c>
      <c r="D2321" t="inlineStr">
        <is>
          <t>KRONOBERGS LÄN</t>
        </is>
      </c>
      <c r="E2321" t="inlineStr">
        <is>
          <t>LJUNGBY</t>
        </is>
      </c>
      <c r="G2321" t="n">
        <v>0.6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42755-2023</t>
        </is>
      </c>
      <c r="B2322" s="1" t="n">
        <v>45181</v>
      </c>
      <c r="C2322" s="1" t="n">
        <v>45957</v>
      </c>
      <c r="D2322" t="inlineStr">
        <is>
          <t>KRONOBERGS LÄN</t>
        </is>
      </c>
      <c r="E2322" t="inlineStr">
        <is>
          <t>UPPVIDINGE</t>
        </is>
      </c>
      <c r="G2322" t="n">
        <v>1.1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70676-2021</t>
        </is>
      </c>
      <c r="B2323" s="1" t="n">
        <v>44537.56209490741</v>
      </c>
      <c r="C2323" s="1" t="n">
        <v>45957</v>
      </c>
      <c r="D2323" t="inlineStr">
        <is>
          <t>KRONOBERGS LÄN</t>
        </is>
      </c>
      <c r="E2323" t="inlineStr">
        <is>
          <t>VÄXJÖ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56213-2023</t>
        </is>
      </c>
      <c r="B2324" s="1" t="n">
        <v>45240</v>
      </c>
      <c r="C2324" s="1" t="n">
        <v>45957</v>
      </c>
      <c r="D2324" t="inlineStr">
        <is>
          <t>KRONOBERGS LÄN</t>
        </is>
      </c>
      <c r="E2324" t="inlineStr">
        <is>
          <t>VÄXJÖ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23436-2025</t>
        </is>
      </c>
      <c r="B2325" s="1" t="n">
        <v>45792.37166666667</v>
      </c>
      <c r="C2325" s="1" t="n">
        <v>45957</v>
      </c>
      <c r="D2325" t="inlineStr">
        <is>
          <t>KRONOBERGS LÄN</t>
        </is>
      </c>
      <c r="E2325" t="inlineStr">
        <is>
          <t>MARKARYD</t>
        </is>
      </c>
      <c r="G2325" t="n">
        <v>4.1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54633-2022</t>
        </is>
      </c>
      <c r="B2326" s="1" t="n">
        <v>44883</v>
      </c>
      <c r="C2326" s="1" t="n">
        <v>45957</v>
      </c>
      <c r="D2326" t="inlineStr">
        <is>
          <t>KRONOBERGS LÄN</t>
        </is>
      </c>
      <c r="E2326" t="inlineStr">
        <is>
          <t>ÄLMHULT</t>
        </is>
      </c>
      <c r="G2326" t="n">
        <v>0.6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1356-2023</t>
        </is>
      </c>
      <c r="B2327" s="1" t="n">
        <v>44936.62181712963</v>
      </c>
      <c r="C2327" s="1" t="n">
        <v>45957</v>
      </c>
      <c r="D2327" t="inlineStr">
        <is>
          <t>KRONOBERGS LÄN</t>
        </is>
      </c>
      <c r="E2327" t="inlineStr">
        <is>
          <t>TINGSRYD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1360-2023</t>
        </is>
      </c>
      <c r="B2328" s="1" t="n">
        <v>44936</v>
      </c>
      <c r="C2328" s="1" t="n">
        <v>45957</v>
      </c>
      <c r="D2328" t="inlineStr">
        <is>
          <t>KRONOBERGS LÄN</t>
        </is>
      </c>
      <c r="E2328" t="inlineStr">
        <is>
          <t>TINGSRYD</t>
        </is>
      </c>
      <c r="G2328" t="n">
        <v>0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50154-2022</t>
        </is>
      </c>
      <c r="B2329" s="1" t="n">
        <v>44865</v>
      </c>
      <c r="C2329" s="1" t="n">
        <v>45957</v>
      </c>
      <c r="D2329" t="inlineStr">
        <is>
          <t>KRONOBERGS LÄN</t>
        </is>
      </c>
      <c r="E2329" t="inlineStr">
        <is>
          <t>LESSEBO</t>
        </is>
      </c>
      <c r="G2329" t="n">
        <v>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23203-2025</t>
        </is>
      </c>
      <c r="B2330" s="1" t="n">
        <v>45791.46324074074</v>
      </c>
      <c r="C2330" s="1" t="n">
        <v>45957</v>
      </c>
      <c r="D2330" t="inlineStr">
        <is>
          <t>KRONOBERGS LÄN</t>
        </is>
      </c>
      <c r="E2330" t="inlineStr">
        <is>
          <t>VÄXJÖ</t>
        </is>
      </c>
      <c r="G2330" t="n">
        <v>0.4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19209-2024</t>
        </is>
      </c>
      <c r="B2331" s="1" t="n">
        <v>45428.54546296296</v>
      </c>
      <c r="C2331" s="1" t="n">
        <v>45957</v>
      </c>
      <c r="D2331" t="inlineStr">
        <is>
          <t>KRONOBERGS LÄN</t>
        </is>
      </c>
      <c r="E2331" t="inlineStr">
        <is>
          <t>UPPVIDINGE</t>
        </is>
      </c>
      <c r="G2331" t="n">
        <v>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37170-2024</t>
        </is>
      </c>
      <c r="B2332" s="1" t="n">
        <v>45539</v>
      </c>
      <c r="C2332" s="1" t="n">
        <v>45957</v>
      </c>
      <c r="D2332" t="inlineStr">
        <is>
          <t>KRONOBERGS LÄN</t>
        </is>
      </c>
      <c r="E2332" t="inlineStr">
        <is>
          <t>MARKARYD</t>
        </is>
      </c>
      <c r="F2332" t="inlineStr">
        <is>
          <t>Kyrkan</t>
        </is>
      </c>
      <c r="G2332" t="n">
        <v>10.3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23830-2025</t>
        </is>
      </c>
      <c r="B2333" s="1" t="n">
        <v>45793.60109953704</v>
      </c>
      <c r="C2333" s="1" t="n">
        <v>45957</v>
      </c>
      <c r="D2333" t="inlineStr">
        <is>
          <t>KRONOBERGS LÄN</t>
        </is>
      </c>
      <c r="E2333" t="inlineStr">
        <is>
          <t>TINGSRYD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12221-2023</t>
        </is>
      </c>
      <c r="B2334" s="1" t="n">
        <v>44998</v>
      </c>
      <c r="C2334" s="1" t="n">
        <v>45957</v>
      </c>
      <c r="D2334" t="inlineStr">
        <is>
          <t>KRONOBERGS LÄN</t>
        </is>
      </c>
      <c r="E2334" t="inlineStr">
        <is>
          <t>ÄLMHULT</t>
        </is>
      </c>
      <c r="F2334" t="inlineStr">
        <is>
          <t>Sveaskog</t>
        </is>
      </c>
      <c r="G2334" t="n">
        <v>9.300000000000001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50086-2024</t>
        </is>
      </c>
      <c r="B2335" s="1" t="n">
        <v>45597</v>
      </c>
      <c r="C2335" s="1" t="n">
        <v>45957</v>
      </c>
      <c r="D2335" t="inlineStr">
        <is>
          <t>KRONOBERGS LÄN</t>
        </is>
      </c>
      <c r="E2335" t="inlineStr">
        <is>
          <t>VÄXJÖ</t>
        </is>
      </c>
      <c r="G2335" t="n">
        <v>6.8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11585-2024</t>
        </is>
      </c>
      <c r="B2336" s="1" t="n">
        <v>45373.36293981481</v>
      </c>
      <c r="C2336" s="1" t="n">
        <v>45957</v>
      </c>
      <c r="D2336" t="inlineStr">
        <is>
          <t>KRONOBERGS LÄN</t>
        </is>
      </c>
      <c r="E2336" t="inlineStr">
        <is>
          <t>ÄLMHULT</t>
        </is>
      </c>
      <c r="F2336" t="inlineStr">
        <is>
          <t>Sveaskog</t>
        </is>
      </c>
      <c r="G2336" t="n">
        <v>3.6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11591-2024</t>
        </is>
      </c>
      <c r="B2337" s="1" t="n">
        <v>45373.37415509259</v>
      </c>
      <c r="C2337" s="1" t="n">
        <v>45957</v>
      </c>
      <c r="D2337" t="inlineStr">
        <is>
          <t>KRONOBERGS LÄN</t>
        </is>
      </c>
      <c r="E2337" t="inlineStr">
        <is>
          <t>ÄLMHULT</t>
        </is>
      </c>
      <c r="F2337" t="inlineStr">
        <is>
          <t>Sveaskog</t>
        </is>
      </c>
      <c r="G2337" t="n">
        <v>0.5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46474-2025</t>
        </is>
      </c>
      <c r="B2338" s="1" t="n">
        <v>45925.68758101852</v>
      </c>
      <c r="C2338" s="1" t="n">
        <v>45957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20377-2024</t>
        </is>
      </c>
      <c r="B2339" s="1" t="n">
        <v>45435.48994212963</v>
      </c>
      <c r="C2339" s="1" t="n">
        <v>45957</v>
      </c>
      <c r="D2339" t="inlineStr">
        <is>
          <t>KRONOBERGS LÄN</t>
        </is>
      </c>
      <c r="E2339" t="inlineStr">
        <is>
          <t>ÄLMHULT</t>
        </is>
      </c>
      <c r="G2339" t="n">
        <v>1.2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20380-2024</t>
        </is>
      </c>
      <c r="B2340" s="1" t="n">
        <v>45435.49695601852</v>
      </c>
      <c r="C2340" s="1" t="n">
        <v>45957</v>
      </c>
      <c r="D2340" t="inlineStr">
        <is>
          <t>KRONOBERGS LÄN</t>
        </is>
      </c>
      <c r="E2340" t="inlineStr">
        <is>
          <t>ÄLMHULT</t>
        </is>
      </c>
      <c r="G2340" t="n">
        <v>0.7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20382-2024</t>
        </is>
      </c>
      <c r="B2341" s="1" t="n">
        <v>45435.50355324074</v>
      </c>
      <c r="C2341" s="1" t="n">
        <v>45957</v>
      </c>
      <c r="D2341" t="inlineStr">
        <is>
          <t>KRONOBERGS LÄN</t>
        </is>
      </c>
      <c r="E2341" t="inlineStr">
        <is>
          <t>ÄLMHULT</t>
        </is>
      </c>
      <c r="G2341" t="n">
        <v>0.8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25615-2024</t>
        </is>
      </c>
      <c r="B2342" s="1" t="n">
        <v>45463.63934027778</v>
      </c>
      <c r="C2342" s="1" t="n">
        <v>45957</v>
      </c>
      <c r="D2342" t="inlineStr">
        <is>
          <t>KRONOBERGS LÄN</t>
        </is>
      </c>
      <c r="E2342" t="inlineStr">
        <is>
          <t>ALVESTA</t>
        </is>
      </c>
      <c r="G2342" t="n">
        <v>0.9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43447-2022</t>
        </is>
      </c>
      <c r="B2343" s="1" t="n">
        <v>44835</v>
      </c>
      <c r="C2343" s="1" t="n">
        <v>45957</v>
      </c>
      <c r="D2343" t="inlineStr">
        <is>
          <t>KRONOBERGS LÄN</t>
        </is>
      </c>
      <c r="E2343" t="inlineStr">
        <is>
          <t>MARKARYD</t>
        </is>
      </c>
      <c r="G2343" t="n">
        <v>4.6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52172-2022</t>
        </is>
      </c>
      <c r="B2344" s="1" t="n">
        <v>44873.49165509259</v>
      </c>
      <c r="C2344" s="1" t="n">
        <v>45957</v>
      </c>
      <c r="D2344" t="inlineStr">
        <is>
          <t>KRONOBERGS LÄN</t>
        </is>
      </c>
      <c r="E2344" t="inlineStr">
        <is>
          <t>ALVESTA</t>
        </is>
      </c>
      <c r="G2344" t="n">
        <v>1.7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67257-2021</t>
        </is>
      </c>
      <c r="B2345" s="1" t="n">
        <v>44523</v>
      </c>
      <c r="C2345" s="1" t="n">
        <v>45957</v>
      </c>
      <c r="D2345" t="inlineStr">
        <is>
          <t>KRONOBERGS LÄN</t>
        </is>
      </c>
      <c r="E2345" t="inlineStr">
        <is>
          <t>ÄLMHULT</t>
        </is>
      </c>
      <c r="G2345" t="n">
        <v>6.7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57451-2023</t>
        </is>
      </c>
      <c r="B2346" s="1" t="n">
        <v>45246.34444444445</v>
      </c>
      <c r="C2346" s="1" t="n">
        <v>45957</v>
      </c>
      <c r="D2346" t="inlineStr">
        <is>
          <t>KRONOBERGS LÄN</t>
        </is>
      </c>
      <c r="E2346" t="inlineStr">
        <is>
          <t>TINGSRYD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38340-2025</t>
        </is>
      </c>
      <c r="B2347" s="1" t="n">
        <v>45883.49791666667</v>
      </c>
      <c r="C2347" s="1" t="n">
        <v>45957</v>
      </c>
      <c r="D2347" t="inlineStr">
        <is>
          <t>KRONOBERGS LÄN</t>
        </is>
      </c>
      <c r="E2347" t="inlineStr">
        <is>
          <t>VÄXJÖ</t>
        </is>
      </c>
      <c r="G2347" t="n">
        <v>1.1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61173-2021</t>
        </is>
      </c>
      <c r="B2348" s="1" t="n">
        <v>44498.45456018519</v>
      </c>
      <c r="C2348" s="1" t="n">
        <v>45957</v>
      </c>
      <c r="D2348" t="inlineStr">
        <is>
          <t>KRONOBERGS LÄN</t>
        </is>
      </c>
      <c r="E2348" t="inlineStr">
        <is>
          <t>MARKARYD</t>
        </is>
      </c>
      <c r="G2348" t="n">
        <v>3.5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47536-2022</t>
        </is>
      </c>
      <c r="B2349" s="1" t="n">
        <v>44853.81002314815</v>
      </c>
      <c r="C2349" s="1" t="n">
        <v>45957</v>
      </c>
      <c r="D2349" t="inlineStr">
        <is>
          <t>KRONOBERGS LÄN</t>
        </is>
      </c>
      <c r="E2349" t="inlineStr">
        <is>
          <t>ÄLMHULT</t>
        </is>
      </c>
      <c r="G2349" t="n">
        <v>9.6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51718-2024</t>
        </is>
      </c>
      <c r="B2350" s="1" t="n">
        <v>45607.37846064815</v>
      </c>
      <c r="C2350" s="1" t="n">
        <v>45957</v>
      </c>
      <c r="D2350" t="inlineStr">
        <is>
          <t>KRONOBERGS LÄN</t>
        </is>
      </c>
      <c r="E2350" t="inlineStr">
        <is>
          <t>UPPVIDINGE</t>
        </is>
      </c>
      <c r="G2350" t="n">
        <v>1.6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37278-2024</t>
        </is>
      </c>
      <c r="B2351" s="1" t="n">
        <v>45540.40850694444</v>
      </c>
      <c r="C2351" s="1" t="n">
        <v>45957</v>
      </c>
      <c r="D2351" t="inlineStr">
        <is>
          <t>KRONOBERGS LÄN</t>
        </is>
      </c>
      <c r="E2351" t="inlineStr">
        <is>
          <t>ALVESTA</t>
        </is>
      </c>
      <c r="G2351" t="n">
        <v>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38595-2024</t>
        </is>
      </c>
      <c r="B2352" s="1" t="n">
        <v>45546.66178240741</v>
      </c>
      <c r="C2352" s="1" t="n">
        <v>45957</v>
      </c>
      <c r="D2352" t="inlineStr">
        <is>
          <t>KRONOBERGS LÄN</t>
        </is>
      </c>
      <c r="E2352" t="inlineStr">
        <is>
          <t>TINGSRYD</t>
        </is>
      </c>
      <c r="G2352" t="n">
        <v>3.6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64865-2023</t>
        </is>
      </c>
      <c r="B2353" s="1" t="n">
        <v>45282.50063657408</v>
      </c>
      <c r="C2353" s="1" t="n">
        <v>45957</v>
      </c>
      <c r="D2353" t="inlineStr">
        <is>
          <t>KRONOBERGS LÄN</t>
        </is>
      </c>
      <c r="E2353" t="inlineStr">
        <is>
          <t>LESSEBO</t>
        </is>
      </c>
      <c r="F2353" t="inlineStr">
        <is>
          <t>Sveaskog</t>
        </is>
      </c>
      <c r="G2353" t="n">
        <v>5.6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1562-2024</t>
        </is>
      </c>
      <c r="B2354" s="1" t="n">
        <v>45306</v>
      </c>
      <c r="C2354" s="1" t="n">
        <v>45957</v>
      </c>
      <c r="D2354" t="inlineStr">
        <is>
          <t>KRONOBERGS LÄN</t>
        </is>
      </c>
      <c r="E2354" t="inlineStr">
        <is>
          <t>LJUNGBY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40972-2024</t>
        </is>
      </c>
      <c r="B2355" s="1" t="n">
        <v>45558.67806712963</v>
      </c>
      <c r="C2355" s="1" t="n">
        <v>45957</v>
      </c>
      <c r="D2355" t="inlineStr">
        <is>
          <t>KRONOBERGS LÄN</t>
        </is>
      </c>
      <c r="E2355" t="inlineStr">
        <is>
          <t>VÄXJÖ</t>
        </is>
      </c>
      <c r="G2355" t="n">
        <v>2.1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55629-2021</t>
        </is>
      </c>
      <c r="B2356" s="1" t="n">
        <v>44476.32795138889</v>
      </c>
      <c r="C2356" s="1" t="n">
        <v>45957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2112-2024</t>
        </is>
      </c>
      <c r="B2357" s="1" t="n">
        <v>45309.48236111111</v>
      </c>
      <c r="C2357" s="1" t="n">
        <v>45957</v>
      </c>
      <c r="D2357" t="inlineStr">
        <is>
          <t>KRONOBERGS LÄN</t>
        </is>
      </c>
      <c r="E2357" t="inlineStr">
        <is>
          <t>VÄXJÖ</t>
        </is>
      </c>
      <c r="G2357" t="n">
        <v>1.2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2114-2024</t>
        </is>
      </c>
      <c r="B2358" s="1" t="n">
        <v>45309.48623842592</v>
      </c>
      <c r="C2358" s="1" t="n">
        <v>45957</v>
      </c>
      <c r="D2358" t="inlineStr">
        <is>
          <t>KRONOBERGS LÄN</t>
        </is>
      </c>
      <c r="E2358" t="inlineStr">
        <is>
          <t>VÄXJÖ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26344-2024</t>
        </is>
      </c>
      <c r="B2359" s="1" t="n">
        <v>45469.34783564815</v>
      </c>
      <c r="C2359" s="1" t="n">
        <v>45957</v>
      </c>
      <c r="D2359" t="inlineStr">
        <is>
          <t>KRONOBERGS LÄN</t>
        </is>
      </c>
      <c r="E2359" t="inlineStr">
        <is>
          <t>UPPVIDINGE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48868-2024</t>
        </is>
      </c>
      <c r="B2360" s="1" t="n">
        <v>45594</v>
      </c>
      <c r="C2360" s="1" t="n">
        <v>45957</v>
      </c>
      <c r="D2360" t="inlineStr">
        <is>
          <t>KRONOBERGS LÄN</t>
        </is>
      </c>
      <c r="E2360" t="inlineStr">
        <is>
          <t>MARKARYD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47281-2024</t>
        </is>
      </c>
      <c r="B2361" s="1" t="n">
        <v>45586</v>
      </c>
      <c r="C2361" s="1" t="n">
        <v>45957</v>
      </c>
      <c r="D2361" t="inlineStr">
        <is>
          <t>KRONOBERGS LÄN</t>
        </is>
      </c>
      <c r="E2361" t="inlineStr">
        <is>
          <t>ÄLMHULT</t>
        </is>
      </c>
      <c r="G2361" t="n">
        <v>0.4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23838-2025</t>
        </is>
      </c>
      <c r="B2362" s="1" t="n">
        <v>45793.61269675926</v>
      </c>
      <c r="C2362" s="1" t="n">
        <v>45957</v>
      </c>
      <c r="D2362" t="inlineStr">
        <is>
          <t>KRONOBERGS LÄN</t>
        </is>
      </c>
      <c r="E2362" t="inlineStr">
        <is>
          <t>TINGSRYD</t>
        </is>
      </c>
      <c r="G2362" t="n">
        <v>1.5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11787-2023</t>
        </is>
      </c>
      <c r="B2363" s="1" t="n">
        <v>44994</v>
      </c>
      <c r="C2363" s="1" t="n">
        <v>45957</v>
      </c>
      <c r="D2363" t="inlineStr">
        <is>
          <t>KRONOBERGS LÄN</t>
        </is>
      </c>
      <c r="E2363" t="inlineStr">
        <is>
          <t>ÄLMHULT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11798-2023</t>
        </is>
      </c>
      <c r="B2364" s="1" t="n">
        <v>44994.69185185185</v>
      </c>
      <c r="C2364" s="1" t="n">
        <v>45957</v>
      </c>
      <c r="D2364" t="inlineStr">
        <is>
          <t>KRONOBERGS LÄN</t>
        </is>
      </c>
      <c r="E2364" t="inlineStr">
        <is>
          <t>ÄLMHULT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23960-2025</t>
        </is>
      </c>
      <c r="B2365" s="1" t="n">
        <v>45796.36819444445</v>
      </c>
      <c r="C2365" s="1" t="n">
        <v>45957</v>
      </c>
      <c r="D2365" t="inlineStr">
        <is>
          <t>KRONOBERGS LÄN</t>
        </is>
      </c>
      <c r="E2365" t="inlineStr">
        <is>
          <t>LJUNGBY</t>
        </is>
      </c>
      <c r="F2365" t="inlineStr">
        <is>
          <t>Sveaskog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17313-2024</t>
        </is>
      </c>
      <c r="B2366" s="1" t="n">
        <v>45414.51543981482</v>
      </c>
      <c r="C2366" s="1" t="n">
        <v>45957</v>
      </c>
      <c r="D2366" t="inlineStr">
        <is>
          <t>KRONOBERGS LÄN</t>
        </is>
      </c>
      <c r="E2366" t="inlineStr">
        <is>
          <t>ALVESTA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54734-2021</t>
        </is>
      </c>
      <c r="B2367" s="1" t="n">
        <v>44473.86554398148</v>
      </c>
      <c r="C2367" s="1" t="n">
        <v>45957</v>
      </c>
      <c r="D2367" t="inlineStr">
        <is>
          <t>KRONOBERGS LÄN</t>
        </is>
      </c>
      <c r="E2367" t="inlineStr">
        <is>
          <t>ÄLMHULT</t>
        </is>
      </c>
      <c r="G2367" t="n">
        <v>4.9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24080-2025</t>
        </is>
      </c>
      <c r="B2368" s="1" t="n">
        <v>45796.55706018519</v>
      </c>
      <c r="C2368" s="1" t="n">
        <v>45957</v>
      </c>
      <c r="D2368" t="inlineStr">
        <is>
          <t>KRONOBERGS LÄN</t>
        </is>
      </c>
      <c r="E2368" t="inlineStr">
        <is>
          <t>LJUNGBY</t>
        </is>
      </c>
      <c r="F2368" t="inlineStr">
        <is>
          <t>Sveaskog</t>
        </is>
      </c>
      <c r="G2368" t="n">
        <v>6.2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69444-2021</t>
        </is>
      </c>
      <c r="B2369" s="1" t="n">
        <v>44531</v>
      </c>
      <c r="C2369" s="1" t="n">
        <v>45957</v>
      </c>
      <c r="D2369" t="inlineStr">
        <is>
          <t>KRONOBERGS LÄN</t>
        </is>
      </c>
      <c r="E2369" t="inlineStr">
        <is>
          <t>ÄLMHULT</t>
        </is>
      </c>
      <c r="G2369" t="n">
        <v>1.7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60783-2024</t>
        </is>
      </c>
      <c r="B2370" s="1" t="n">
        <v>45644.59047453704</v>
      </c>
      <c r="C2370" s="1" t="n">
        <v>45957</v>
      </c>
      <c r="D2370" t="inlineStr">
        <is>
          <t>KRONOBERGS LÄN</t>
        </is>
      </c>
      <c r="E2370" t="inlineStr">
        <is>
          <t>TINGSRYD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24089-2025</t>
        </is>
      </c>
      <c r="B2371" s="1" t="n">
        <v>45796.56827546296</v>
      </c>
      <c r="C2371" s="1" t="n">
        <v>45957</v>
      </c>
      <c r="D2371" t="inlineStr">
        <is>
          <t>KRONOBERGS LÄN</t>
        </is>
      </c>
      <c r="E2371" t="inlineStr">
        <is>
          <t>LJUNGBY</t>
        </is>
      </c>
      <c r="F2371" t="inlineStr">
        <is>
          <t>Sveaskog</t>
        </is>
      </c>
      <c r="G2371" t="n">
        <v>2.3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24108-2025</t>
        </is>
      </c>
      <c r="B2372" s="1" t="n">
        <v>45796.60440972223</v>
      </c>
      <c r="C2372" s="1" t="n">
        <v>45957</v>
      </c>
      <c r="D2372" t="inlineStr">
        <is>
          <t>KRONOBERGS LÄN</t>
        </is>
      </c>
      <c r="E2372" t="inlineStr">
        <is>
          <t>LJUNGBY</t>
        </is>
      </c>
      <c r="F2372" t="inlineStr">
        <is>
          <t>Sveaskog</t>
        </is>
      </c>
      <c r="G2372" t="n">
        <v>5.9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46602-2025</t>
        </is>
      </c>
      <c r="B2373" s="1" t="n">
        <v>45926.40893518519</v>
      </c>
      <c r="C2373" s="1" t="n">
        <v>45957</v>
      </c>
      <c r="D2373" t="inlineStr">
        <is>
          <t>KRONOBERGS LÄN</t>
        </is>
      </c>
      <c r="E2373" t="inlineStr">
        <is>
          <t>UPPVIDINGE</t>
        </is>
      </c>
      <c r="G2373" t="n">
        <v>2.6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34386-2023</t>
        </is>
      </c>
      <c r="B2374" s="1" t="n">
        <v>45139</v>
      </c>
      <c r="C2374" s="1" t="n">
        <v>45957</v>
      </c>
      <c r="D2374" t="inlineStr">
        <is>
          <t>KRONOBERGS LÄN</t>
        </is>
      </c>
      <c r="E2374" t="inlineStr">
        <is>
          <t>LESSEBO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29155-2024</t>
        </is>
      </c>
      <c r="B2375" s="1" t="n">
        <v>45482</v>
      </c>
      <c r="C2375" s="1" t="n">
        <v>45957</v>
      </c>
      <c r="D2375" t="inlineStr">
        <is>
          <t>KRONOBERGS LÄN</t>
        </is>
      </c>
      <c r="E2375" t="inlineStr">
        <is>
          <t>ALVESTA</t>
        </is>
      </c>
      <c r="G2375" t="n">
        <v>2.4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23980-2025</t>
        </is>
      </c>
      <c r="B2376" s="1" t="n">
        <v>45796.38944444444</v>
      </c>
      <c r="C2376" s="1" t="n">
        <v>45957</v>
      </c>
      <c r="D2376" t="inlineStr">
        <is>
          <t>KRONOBERGS LÄN</t>
        </is>
      </c>
      <c r="E2376" t="inlineStr">
        <is>
          <t>LJUNGBY</t>
        </is>
      </c>
      <c r="F2376" t="inlineStr">
        <is>
          <t>Sveaskog</t>
        </is>
      </c>
      <c r="G2376" t="n">
        <v>5.3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24041-2025</t>
        </is>
      </c>
      <c r="B2377" s="1" t="n">
        <v>45796.48868055556</v>
      </c>
      <c r="C2377" s="1" t="n">
        <v>45957</v>
      </c>
      <c r="D2377" t="inlineStr">
        <is>
          <t>KRONOBERGS LÄN</t>
        </is>
      </c>
      <c r="E2377" t="inlineStr">
        <is>
          <t>VÄXJÖ</t>
        </is>
      </c>
      <c r="G2377" t="n">
        <v>1.7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14844-2022</t>
        </is>
      </c>
      <c r="B2378" s="1" t="n">
        <v>44656.61335648148</v>
      </c>
      <c r="C2378" s="1" t="n">
        <v>45957</v>
      </c>
      <c r="D2378" t="inlineStr">
        <is>
          <t>KRONOBERGS LÄN</t>
        </is>
      </c>
      <c r="E2378" t="inlineStr">
        <is>
          <t>LJUNGBY</t>
        </is>
      </c>
      <c r="G2378" t="n">
        <v>0.5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23828-2025</t>
        </is>
      </c>
      <c r="B2379" s="1" t="n">
        <v>45793.59478009259</v>
      </c>
      <c r="C2379" s="1" t="n">
        <v>45957</v>
      </c>
      <c r="D2379" t="inlineStr">
        <is>
          <t>KRONOBERGS LÄN</t>
        </is>
      </c>
      <c r="E2379" t="inlineStr">
        <is>
          <t>TINGSRYD</t>
        </is>
      </c>
      <c r="G2379" t="n">
        <v>3.1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25503-2023</t>
        </is>
      </c>
      <c r="B2380" s="1" t="n">
        <v>45089</v>
      </c>
      <c r="C2380" s="1" t="n">
        <v>45957</v>
      </c>
      <c r="D2380" t="inlineStr">
        <is>
          <t>KRONOBERGS LÄN</t>
        </is>
      </c>
      <c r="E2380" t="inlineStr">
        <is>
          <t>UPPVIDINGE</t>
        </is>
      </c>
      <c r="G2380" t="n">
        <v>2.1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25016-2023</t>
        </is>
      </c>
      <c r="B2381" s="1" t="n">
        <v>45085.6996412037</v>
      </c>
      <c r="C2381" s="1" t="n">
        <v>45957</v>
      </c>
      <c r="D2381" t="inlineStr">
        <is>
          <t>KRONOBERGS LÄN</t>
        </is>
      </c>
      <c r="E2381" t="inlineStr">
        <is>
          <t>MARKARYD</t>
        </is>
      </c>
      <c r="G2381" t="n">
        <v>0.6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19216-2024</t>
        </is>
      </c>
      <c r="B2382" s="1" t="n">
        <v>45428.5499537037</v>
      </c>
      <c r="C2382" s="1" t="n">
        <v>45957</v>
      </c>
      <c r="D2382" t="inlineStr">
        <is>
          <t>KRONOBERGS LÄN</t>
        </is>
      </c>
      <c r="E2382" t="inlineStr">
        <is>
          <t>UPPVIDINGE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46229-2025</t>
        </is>
      </c>
      <c r="B2383" s="1" t="n">
        <v>45924.93699074074</v>
      </c>
      <c r="C2383" s="1" t="n">
        <v>45957</v>
      </c>
      <c r="D2383" t="inlineStr">
        <is>
          <t>KRONOBERGS LÄN</t>
        </is>
      </c>
      <c r="E2383" t="inlineStr">
        <is>
          <t>LJUNGBY</t>
        </is>
      </c>
      <c r="G2383" t="n">
        <v>3.9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11587-2024</t>
        </is>
      </c>
      <c r="B2384" s="1" t="n">
        <v>45373.3674537037</v>
      </c>
      <c r="C2384" s="1" t="n">
        <v>45957</v>
      </c>
      <c r="D2384" t="inlineStr">
        <is>
          <t>KRONOBERGS LÄN</t>
        </is>
      </c>
      <c r="E2384" t="inlineStr">
        <is>
          <t>ÄLMHULT</t>
        </is>
      </c>
      <c r="F2384" t="inlineStr">
        <is>
          <t>Sveaskog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14391-2024</t>
        </is>
      </c>
      <c r="B2385" s="1" t="n">
        <v>45394.33961805556</v>
      </c>
      <c r="C2385" s="1" t="n">
        <v>45957</v>
      </c>
      <c r="D2385" t="inlineStr">
        <is>
          <t>KRONOBERGS LÄN</t>
        </is>
      </c>
      <c r="E2385" t="inlineStr">
        <is>
          <t>TINGSRYD</t>
        </is>
      </c>
      <c r="G2385" t="n">
        <v>0.5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35627-2024</t>
        </is>
      </c>
      <c r="B2386" s="1" t="n">
        <v>45531.74303240741</v>
      </c>
      <c r="C2386" s="1" t="n">
        <v>45957</v>
      </c>
      <c r="D2386" t="inlineStr">
        <is>
          <t>KRONOBERGS LÄN</t>
        </is>
      </c>
      <c r="E2386" t="inlineStr">
        <is>
          <t>ÄLMHULT</t>
        </is>
      </c>
      <c r="G2386" t="n">
        <v>6.9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49541-2024</t>
        </is>
      </c>
      <c r="B2387" s="1" t="n">
        <v>45596.44083333333</v>
      </c>
      <c r="C2387" s="1" t="n">
        <v>45957</v>
      </c>
      <c r="D2387" t="inlineStr">
        <is>
          <t>KRONOBERGS LÄN</t>
        </is>
      </c>
      <c r="E2387" t="inlineStr">
        <is>
          <t>LJUNGBY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38312-2025</t>
        </is>
      </c>
      <c r="B2388" s="1" t="n">
        <v>45883.47663194445</v>
      </c>
      <c r="C2388" s="1" t="n">
        <v>45957</v>
      </c>
      <c r="D2388" t="inlineStr">
        <is>
          <t>KRONOBERGS LÄN</t>
        </is>
      </c>
      <c r="E2388" t="inlineStr">
        <is>
          <t>ÄLMHULT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38346-2025</t>
        </is>
      </c>
      <c r="B2389" s="1" t="n">
        <v>45883.51181712963</v>
      </c>
      <c r="C2389" s="1" t="n">
        <v>45957</v>
      </c>
      <c r="D2389" t="inlineStr">
        <is>
          <t>KRONOBERGS LÄN</t>
        </is>
      </c>
      <c r="E2389" t="inlineStr">
        <is>
          <t>VÄXJÖ</t>
        </is>
      </c>
      <c r="G2389" t="n">
        <v>2.6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1495-2024</t>
        </is>
      </c>
      <c r="B2390" s="1" t="n">
        <v>45305.87826388889</v>
      </c>
      <c r="C2390" s="1" t="n">
        <v>45957</v>
      </c>
      <c r="D2390" t="inlineStr">
        <is>
          <t>KRONOBERGS LÄN</t>
        </is>
      </c>
      <c r="E2390" t="inlineStr">
        <is>
          <t>ALVESTA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57443-2022</t>
        </is>
      </c>
      <c r="B2391" s="1" t="n">
        <v>44896</v>
      </c>
      <c r="C2391" s="1" t="n">
        <v>45957</v>
      </c>
      <c r="D2391" t="inlineStr">
        <is>
          <t>KRONOBERGS LÄN</t>
        </is>
      </c>
      <c r="E2391" t="inlineStr">
        <is>
          <t>VÄXJÖ</t>
        </is>
      </c>
      <c r="G2391" t="n">
        <v>1.6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60487-2022</t>
        </is>
      </c>
      <c r="B2392" s="1" t="n">
        <v>44911</v>
      </c>
      <c r="C2392" s="1" t="n">
        <v>45957</v>
      </c>
      <c r="D2392" t="inlineStr">
        <is>
          <t>KRONOBERGS LÄN</t>
        </is>
      </c>
      <c r="E2392" t="inlineStr">
        <is>
          <t>ÄLMHULT</t>
        </is>
      </c>
      <c r="G2392" t="n">
        <v>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38374-2025</t>
        </is>
      </c>
      <c r="B2393" s="1" t="n">
        <v>45883.56824074074</v>
      </c>
      <c r="C2393" s="1" t="n">
        <v>45957</v>
      </c>
      <c r="D2393" t="inlineStr">
        <is>
          <t>KRONOBERGS LÄN</t>
        </is>
      </c>
      <c r="E2393" t="inlineStr">
        <is>
          <t>VÄXJÖ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38393-2025</t>
        </is>
      </c>
      <c r="B2394" s="1" t="n">
        <v>45883.57520833334</v>
      </c>
      <c r="C2394" s="1" t="n">
        <v>45957</v>
      </c>
      <c r="D2394" t="inlineStr">
        <is>
          <t>KRONOBERGS LÄN</t>
        </is>
      </c>
      <c r="E2394" t="inlineStr">
        <is>
          <t>VÄXJÖ</t>
        </is>
      </c>
      <c r="G2394" t="n">
        <v>2.9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60499-2022</t>
        </is>
      </c>
      <c r="B2395" s="1" t="n">
        <v>44911</v>
      </c>
      <c r="C2395" s="1" t="n">
        <v>45957</v>
      </c>
      <c r="D2395" t="inlineStr">
        <is>
          <t>KRONOBERGS LÄN</t>
        </is>
      </c>
      <c r="E2395" t="inlineStr">
        <is>
          <t>TINGSRYD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4878-2024</t>
        </is>
      </c>
      <c r="B2396" s="1" t="n">
        <v>45329</v>
      </c>
      <c r="C2396" s="1" t="n">
        <v>45957</v>
      </c>
      <c r="D2396" t="inlineStr">
        <is>
          <t>KRONOBERGS LÄN</t>
        </is>
      </c>
      <c r="E2396" t="inlineStr">
        <is>
          <t>TINGSRYD</t>
        </is>
      </c>
      <c r="F2396" t="inlineStr">
        <is>
          <t>Kommuner</t>
        </is>
      </c>
      <c r="G2396" t="n">
        <v>1.5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48676-2023</t>
        </is>
      </c>
      <c r="B2397" s="1" t="n">
        <v>45208.64244212963</v>
      </c>
      <c r="C2397" s="1" t="n">
        <v>45957</v>
      </c>
      <c r="D2397" t="inlineStr">
        <is>
          <t>KRONOBERGS LÄN</t>
        </is>
      </c>
      <c r="E2397" t="inlineStr">
        <is>
          <t>UPPVIDINGE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38433-2025</t>
        </is>
      </c>
      <c r="B2398" s="1" t="n">
        <v>45883.64103009259</v>
      </c>
      <c r="C2398" s="1" t="n">
        <v>45957</v>
      </c>
      <c r="D2398" t="inlineStr">
        <is>
          <t>KRONOBERGS LÄN</t>
        </is>
      </c>
      <c r="E2398" t="inlineStr">
        <is>
          <t>VÄXJÖ</t>
        </is>
      </c>
      <c r="G2398" t="n">
        <v>1.7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56529-2022</t>
        </is>
      </c>
      <c r="B2399" s="1" t="n">
        <v>44893.46648148148</v>
      </c>
      <c r="C2399" s="1" t="n">
        <v>45957</v>
      </c>
      <c r="D2399" t="inlineStr">
        <is>
          <t>KRONOBERGS LÄN</t>
        </is>
      </c>
      <c r="E2399" t="inlineStr">
        <is>
          <t>LESSEBO</t>
        </is>
      </c>
      <c r="G2399" t="n">
        <v>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23868-2025</t>
        </is>
      </c>
      <c r="B2400" s="1" t="n">
        <v>45793.67645833334</v>
      </c>
      <c r="C2400" s="1" t="n">
        <v>45957</v>
      </c>
      <c r="D2400" t="inlineStr">
        <is>
          <t>KRONOBERGS LÄN</t>
        </is>
      </c>
      <c r="E2400" t="inlineStr">
        <is>
          <t>TINGSRYD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59692-2022</t>
        </is>
      </c>
      <c r="B2401" s="1" t="n">
        <v>44908</v>
      </c>
      <c r="C2401" s="1" t="n">
        <v>45957</v>
      </c>
      <c r="D2401" t="inlineStr">
        <is>
          <t>KRONOBERGS LÄN</t>
        </is>
      </c>
      <c r="E2401" t="inlineStr">
        <is>
          <t>LJUNGBY</t>
        </is>
      </c>
      <c r="F2401" t="inlineStr">
        <is>
          <t>Sveaskog</t>
        </is>
      </c>
      <c r="G2401" t="n">
        <v>2.3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17350-2023</t>
        </is>
      </c>
      <c r="B2402" s="1" t="n">
        <v>45035.58962962963</v>
      </c>
      <c r="C2402" s="1" t="n">
        <v>45957</v>
      </c>
      <c r="D2402" t="inlineStr">
        <is>
          <t>KRONOBERGS LÄN</t>
        </is>
      </c>
      <c r="E2402" t="inlineStr">
        <is>
          <t>LESSEBO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12608-2023</t>
        </is>
      </c>
      <c r="B2403" s="1" t="n">
        <v>45000</v>
      </c>
      <c r="C2403" s="1" t="n">
        <v>45957</v>
      </c>
      <c r="D2403" t="inlineStr">
        <is>
          <t>KRONOBERGS LÄN</t>
        </is>
      </c>
      <c r="E2403" t="inlineStr">
        <is>
          <t>ALVESTA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53661-2024</t>
        </is>
      </c>
      <c r="B2404" s="1" t="n">
        <v>45615.32158564815</v>
      </c>
      <c r="C2404" s="1" t="n">
        <v>45957</v>
      </c>
      <c r="D2404" t="inlineStr">
        <is>
          <t>KRONOBERGS LÄN</t>
        </is>
      </c>
      <c r="E2404" t="inlineStr">
        <is>
          <t>ÄLMHULT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58864-2022</t>
        </is>
      </c>
      <c r="B2405" s="1" t="n">
        <v>44895</v>
      </c>
      <c r="C2405" s="1" t="n">
        <v>45957</v>
      </c>
      <c r="D2405" t="inlineStr">
        <is>
          <t>KRONOBERGS LÄN</t>
        </is>
      </c>
      <c r="E2405" t="inlineStr">
        <is>
          <t>TINGSRYD</t>
        </is>
      </c>
      <c r="G2405" t="n">
        <v>1.9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33215-2024</t>
        </is>
      </c>
      <c r="B2406" s="1" t="n">
        <v>45518.54971064815</v>
      </c>
      <c r="C2406" s="1" t="n">
        <v>45957</v>
      </c>
      <c r="D2406" t="inlineStr">
        <is>
          <t>KRONOBERGS LÄN</t>
        </is>
      </c>
      <c r="E2406" t="inlineStr">
        <is>
          <t>ALVESTA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5972-2023</t>
        </is>
      </c>
      <c r="B2407" s="1" t="n">
        <v>44964.34165509259</v>
      </c>
      <c r="C2407" s="1" t="n">
        <v>45957</v>
      </c>
      <c r="D2407" t="inlineStr">
        <is>
          <t>KRONOBERGS LÄN</t>
        </is>
      </c>
      <c r="E2407" t="inlineStr">
        <is>
          <t>TINGSRYD</t>
        </is>
      </c>
      <c r="G2407" t="n">
        <v>1.9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36968-2024</t>
        </is>
      </c>
      <c r="B2408" s="1" t="n">
        <v>45538</v>
      </c>
      <c r="C2408" s="1" t="n">
        <v>45957</v>
      </c>
      <c r="D2408" t="inlineStr">
        <is>
          <t>KRONOBERGS LÄN</t>
        </is>
      </c>
      <c r="E2408" t="inlineStr">
        <is>
          <t>ÄLMHULT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13039-2025</t>
        </is>
      </c>
      <c r="B2409" s="1" t="n">
        <v>45734.57873842592</v>
      </c>
      <c r="C2409" s="1" t="n">
        <v>45957</v>
      </c>
      <c r="D2409" t="inlineStr">
        <is>
          <t>KRONOBERGS LÄN</t>
        </is>
      </c>
      <c r="E2409" t="inlineStr">
        <is>
          <t>LJUNGBY</t>
        </is>
      </c>
      <c r="G2409" t="n">
        <v>1.3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44345-2021</t>
        </is>
      </c>
      <c r="B2410" s="1" t="n">
        <v>44435.41690972223</v>
      </c>
      <c r="C2410" s="1" t="n">
        <v>45957</v>
      </c>
      <c r="D2410" t="inlineStr">
        <is>
          <t>KRONOBERGS LÄN</t>
        </is>
      </c>
      <c r="E2410" t="inlineStr">
        <is>
          <t>LJUNGBY</t>
        </is>
      </c>
      <c r="F2410" t="inlineStr">
        <is>
          <t>Kyrkan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60432-2020</t>
        </is>
      </c>
      <c r="B2411" s="1" t="n">
        <v>44153</v>
      </c>
      <c r="C2411" s="1" t="n">
        <v>45957</v>
      </c>
      <c r="D2411" t="inlineStr">
        <is>
          <t>KRONOBERGS LÄN</t>
        </is>
      </c>
      <c r="E2411" t="inlineStr">
        <is>
          <t>ÄLMHULT</t>
        </is>
      </c>
      <c r="G2411" t="n">
        <v>2.8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14940-2024</t>
        </is>
      </c>
      <c r="B2412" s="1" t="n">
        <v>45398.68222222223</v>
      </c>
      <c r="C2412" s="1" t="n">
        <v>45957</v>
      </c>
      <c r="D2412" t="inlineStr">
        <is>
          <t>KRONOBERGS LÄN</t>
        </is>
      </c>
      <c r="E2412" t="inlineStr">
        <is>
          <t>LESSEBO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24774-2022</t>
        </is>
      </c>
      <c r="B2413" s="1" t="n">
        <v>44728</v>
      </c>
      <c r="C2413" s="1" t="n">
        <v>45957</v>
      </c>
      <c r="D2413" t="inlineStr">
        <is>
          <t>KRONOBERGS LÄN</t>
        </is>
      </c>
      <c r="E2413" t="inlineStr">
        <is>
          <t>TINGSRYD</t>
        </is>
      </c>
      <c r="G2413" t="n">
        <v>4.3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37940-2024</t>
        </is>
      </c>
      <c r="B2414" s="1" t="n">
        <v>45544.49640046297</v>
      </c>
      <c r="C2414" s="1" t="n">
        <v>45957</v>
      </c>
      <c r="D2414" t="inlineStr">
        <is>
          <t>KRONOBERGS LÄN</t>
        </is>
      </c>
      <c r="E2414" t="inlineStr">
        <is>
          <t>ALVESTA</t>
        </is>
      </c>
      <c r="G2414" t="n">
        <v>4.8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23973-2025</t>
        </is>
      </c>
      <c r="B2415" s="1" t="n">
        <v>45796.38582175926</v>
      </c>
      <c r="C2415" s="1" t="n">
        <v>45957</v>
      </c>
      <c r="D2415" t="inlineStr">
        <is>
          <t>KRONOBERGS LÄN</t>
        </is>
      </c>
      <c r="E2415" t="inlineStr">
        <is>
          <t>LJUNGBY</t>
        </is>
      </c>
      <c r="F2415" t="inlineStr">
        <is>
          <t>Sveaskog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23985-2025</t>
        </is>
      </c>
      <c r="B2416" s="1" t="n">
        <v>45796.39645833334</v>
      </c>
      <c r="C2416" s="1" t="n">
        <v>45957</v>
      </c>
      <c r="D2416" t="inlineStr">
        <is>
          <t>KRONOBERGS LÄN</t>
        </is>
      </c>
      <c r="E2416" t="inlineStr">
        <is>
          <t>TINGSRYD</t>
        </is>
      </c>
      <c r="G2416" t="n">
        <v>0.6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34117-2024</t>
        </is>
      </c>
      <c r="B2417" s="1" t="n">
        <v>45524</v>
      </c>
      <c r="C2417" s="1" t="n">
        <v>45957</v>
      </c>
      <c r="D2417" t="inlineStr">
        <is>
          <t>KRONOBERGS LÄN</t>
        </is>
      </c>
      <c r="E2417" t="inlineStr">
        <is>
          <t>MARKARYD</t>
        </is>
      </c>
      <c r="F2417" t="inlineStr">
        <is>
          <t>Sveaskog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5135-2023</t>
        </is>
      </c>
      <c r="B2418" s="1" t="n">
        <v>44958.84677083333</v>
      </c>
      <c r="C2418" s="1" t="n">
        <v>45957</v>
      </c>
      <c r="D2418" t="inlineStr">
        <is>
          <t>KRONOBERGS LÄN</t>
        </is>
      </c>
      <c r="E2418" t="inlineStr">
        <is>
          <t>ÄLMHULT</t>
        </is>
      </c>
      <c r="G2418" t="n">
        <v>1.5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31126-2023</t>
        </is>
      </c>
      <c r="B2419" s="1" t="n">
        <v>45113</v>
      </c>
      <c r="C2419" s="1" t="n">
        <v>45957</v>
      </c>
      <c r="D2419" t="inlineStr">
        <is>
          <t>KRONOBERGS LÄN</t>
        </is>
      </c>
      <c r="E2419" t="inlineStr">
        <is>
          <t>VÄXJÖ</t>
        </is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37359-2024</t>
        </is>
      </c>
      <c r="B2420" s="1" t="n">
        <v>45540.55045138889</v>
      </c>
      <c r="C2420" s="1" t="n">
        <v>45957</v>
      </c>
      <c r="D2420" t="inlineStr">
        <is>
          <t>KRONOBERGS LÄN</t>
        </is>
      </c>
      <c r="E2420" t="inlineStr">
        <is>
          <t>TINGSRYD</t>
        </is>
      </c>
      <c r="G2420" t="n">
        <v>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27756-2023</t>
        </is>
      </c>
      <c r="B2421" s="1" t="n">
        <v>45098</v>
      </c>
      <c r="C2421" s="1" t="n">
        <v>45957</v>
      </c>
      <c r="D2421" t="inlineStr">
        <is>
          <t>KRONOBERGS LÄN</t>
        </is>
      </c>
      <c r="E2421" t="inlineStr">
        <is>
          <t>ÄLMHULT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  <c r="U2421">
        <f>HYPERLINK("https://klasma.github.io/Logging_0765/knärot/A 27756-2023 karta knärot.png", "A 27756-2023")</f>
        <v/>
      </c>
      <c r="V2421">
        <f>HYPERLINK("https://klasma.github.io/Logging_0765/klagomål/A 27756-2023 FSC-klagomål.docx", "A 27756-2023")</f>
        <v/>
      </c>
      <c r="W2421">
        <f>HYPERLINK("https://klasma.github.io/Logging_0765/klagomålsmail/A 27756-2023 FSC-klagomål mail.docx", "A 27756-2023")</f>
        <v/>
      </c>
      <c r="X2421">
        <f>HYPERLINK("https://klasma.github.io/Logging_0765/tillsyn/A 27756-2023 tillsynsbegäran.docx", "A 27756-2023")</f>
        <v/>
      </c>
      <c r="Y2421">
        <f>HYPERLINK("https://klasma.github.io/Logging_0765/tillsynsmail/A 27756-2023 tillsynsbegäran mail.docx", "A 27756-2023")</f>
        <v/>
      </c>
    </row>
    <row r="2422" ht="15" customHeight="1">
      <c r="A2422" t="inlineStr">
        <is>
          <t>A 56860-2021</t>
        </is>
      </c>
      <c r="B2422" s="1" t="n">
        <v>44481.71746527778</v>
      </c>
      <c r="C2422" s="1" t="n">
        <v>45957</v>
      </c>
      <c r="D2422" t="inlineStr">
        <is>
          <t>KRONOBERGS LÄN</t>
        </is>
      </c>
      <c r="E2422" t="inlineStr">
        <is>
          <t>TINGSRYD</t>
        </is>
      </c>
      <c r="G2422" t="n">
        <v>2.6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41305-2021</t>
        </is>
      </c>
      <c r="B2423" s="1" t="n">
        <v>44424.56576388889</v>
      </c>
      <c r="C2423" s="1" t="n">
        <v>45957</v>
      </c>
      <c r="D2423" t="inlineStr">
        <is>
          <t>KRONOBERGS LÄN</t>
        </is>
      </c>
      <c r="E2423" t="inlineStr">
        <is>
          <t>VÄXJÖ</t>
        </is>
      </c>
      <c r="G2423" t="n">
        <v>3.8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61193-2022</t>
        </is>
      </c>
      <c r="B2424" s="1" t="n">
        <v>44915</v>
      </c>
      <c r="C2424" s="1" t="n">
        <v>45957</v>
      </c>
      <c r="D2424" t="inlineStr">
        <is>
          <t>KRONOBERGS LÄN</t>
        </is>
      </c>
      <c r="E2424" t="inlineStr">
        <is>
          <t>LJUNGBY</t>
        </is>
      </c>
      <c r="G2424" t="n">
        <v>3.1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36601-2023</t>
        </is>
      </c>
      <c r="B2425" s="1" t="n">
        <v>45153</v>
      </c>
      <c r="C2425" s="1" t="n">
        <v>45957</v>
      </c>
      <c r="D2425" t="inlineStr">
        <is>
          <t>KRONOBERGS LÄN</t>
        </is>
      </c>
      <c r="E2425" t="inlineStr">
        <is>
          <t>UPPVIDINGE</t>
        </is>
      </c>
      <c r="G2425" t="n">
        <v>0.1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17775-2023</t>
        </is>
      </c>
      <c r="B2426" s="1" t="n">
        <v>45037</v>
      </c>
      <c r="C2426" s="1" t="n">
        <v>45957</v>
      </c>
      <c r="D2426" t="inlineStr">
        <is>
          <t>KRONOBERGS LÄN</t>
        </is>
      </c>
      <c r="E2426" t="inlineStr">
        <is>
          <t>VÄXJÖ</t>
        </is>
      </c>
      <c r="G2426" t="n">
        <v>1.4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17778-2023</t>
        </is>
      </c>
      <c r="B2427" s="1" t="n">
        <v>45037.5341087963</v>
      </c>
      <c r="C2427" s="1" t="n">
        <v>45957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43024-2024</t>
        </is>
      </c>
      <c r="B2428" s="1" t="n">
        <v>45567</v>
      </c>
      <c r="C2428" s="1" t="n">
        <v>45957</v>
      </c>
      <c r="D2428" t="inlineStr">
        <is>
          <t>KRONOBERGS LÄN</t>
        </is>
      </c>
      <c r="E2428" t="inlineStr">
        <is>
          <t>LJUNGBY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5500-2025</t>
        </is>
      </c>
      <c r="B2429" s="1" t="n">
        <v>45692</v>
      </c>
      <c r="C2429" s="1" t="n">
        <v>45957</v>
      </c>
      <c r="D2429" t="inlineStr">
        <is>
          <t>KRONOBERGS LÄN</t>
        </is>
      </c>
      <c r="E2429" t="inlineStr">
        <is>
          <t>UPPVIDINGE</t>
        </is>
      </c>
      <c r="F2429" t="inlineStr">
        <is>
          <t>Kyrkan</t>
        </is>
      </c>
      <c r="G2429" t="n">
        <v>9.4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20631-2024</t>
        </is>
      </c>
      <c r="B2430" s="1" t="n">
        <v>45436.47582175926</v>
      </c>
      <c r="C2430" s="1" t="n">
        <v>45957</v>
      </c>
      <c r="D2430" t="inlineStr">
        <is>
          <t>KRONOBERGS LÄN</t>
        </is>
      </c>
      <c r="E2430" t="inlineStr">
        <is>
          <t>ALVESTA</t>
        </is>
      </c>
      <c r="G2430" t="n">
        <v>2.4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2363-2022</t>
        </is>
      </c>
      <c r="B2431" s="1" t="n">
        <v>44579.31209490741</v>
      </c>
      <c r="C2431" s="1" t="n">
        <v>45957</v>
      </c>
      <c r="D2431" t="inlineStr">
        <is>
          <t>KRONOBERGS LÄN</t>
        </is>
      </c>
      <c r="E2431" t="inlineStr">
        <is>
          <t>MARKARYD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24168-2025</t>
        </is>
      </c>
      <c r="B2432" s="1" t="n">
        <v>45796.67884259259</v>
      </c>
      <c r="C2432" s="1" t="n">
        <v>45957</v>
      </c>
      <c r="D2432" t="inlineStr">
        <is>
          <t>KRONOBERGS LÄN</t>
        </is>
      </c>
      <c r="E2432" t="inlineStr">
        <is>
          <t>ALVESTA</t>
        </is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23807-2025</t>
        </is>
      </c>
      <c r="B2433" s="1" t="n">
        <v>45793.56459490741</v>
      </c>
      <c r="C2433" s="1" t="n">
        <v>45957</v>
      </c>
      <c r="D2433" t="inlineStr">
        <is>
          <t>KRONOBERGS LÄN</t>
        </is>
      </c>
      <c r="E2433" t="inlineStr">
        <is>
          <t>VÄXJÖ</t>
        </is>
      </c>
      <c r="G2433" t="n">
        <v>0.5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42364-2024</t>
        </is>
      </c>
      <c r="B2434" s="1" t="n">
        <v>45563.45512731482</v>
      </c>
      <c r="C2434" s="1" t="n">
        <v>45957</v>
      </c>
      <c r="D2434" t="inlineStr">
        <is>
          <t>KRONOBERGS LÄN</t>
        </is>
      </c>
      <c r="E2434" t="inlineStr">
        <is>
          <t>ALVESTA</t>
        </is>
      </c>
      <c r="G2434" t="n">
        <v>0.4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4712-2022</t>
        </is>
      </c>
      <c r="B2435" s="1" t="n">
        <v>44592.50912037037</v>
      </c>
      <c r="C2435" s="1" t="n">
        <v>45957</v>
      </c>
      <c r="D2435" t="inlineStr">
        <is>
          <t>KRONOBERGS LÄN</t>
        </is>
      </c>
      <c r="E2435" t="inlineStr">
        <is>
          <t>UPPVIDINGE</t>
        </is>
      </c>
      <c r="G2435" t="n">
        <v>1.5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38227-2023</t>
        </is>
      </c>
      <c r="B2436" s="1" t="n">
        <v>45161.55212962963</v>
      </c>
      <c r="C2436" s="1" t="n">
        <v>45957</v>
      </c>
      <c r="D2436" t="inlineStr">
        <is>
          <t>KRONOBERGS LÄN</t>
        </is>
      </c>
      <c r="E2436" t="inlineStr">
        <is>
          <t>LESSEBO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1654-2024</t>
        </is>
      </c>
      <c r="B2437" s="1" t="n">
        <v>45306.79482638889</v>
      </c>
      <c r="C2437" s="1" t="n">
        <v>45957</v>
      </c>
      <c r="D2437" t="inlineStr">
        <is>
          <t>KRONOBERGS LÄN</t>
        </is>
      </c>
      <c r="E2437" t="inlineStr">
        <is>
          <t>MARKARYD</t>
        </is>
      </c>
      <c r="G2437" t="n">
        <v>1.5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28323-2023</t>
        </is>
      </c>
      <c r="B2438" s="1" t="n">
        <v>45099</v>
      </c>
      <c r="C2438" s="1" t="n">
        <v>45957</v>
      </c>
      <c r="D2438" t="inlineStr">
        <is>
          <t>KRONOBERGS LÄN</t>
        </is>
      </c>
      <c r="E2438" t="inlineStr">
        <is>
          <t>LJUNGBY</t>
        </is>
      </c>
      <c r="G2438" t="n">
        <v>5.9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17836-2023</t>
        </is>
      </c>
      <c r="B2439" s="1" t="n">
        <v>45037.63707175926</v>
      </c>
      <c r="C2439" s="1" t="n">
        <v>45957</v>
      </c>
      <c r="D2439" t="inlineStr">
        <is>
          <t>KRONOBERGS LÄN</t>
        </is>
      </c>
      <c r="E2439" t="inlineStr">
        <is>
          <t>LESSEBO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24573-2024</t>
        </is>
      </c>
      <c r="B2440" s="1" t="n">
        <v>45460.45409722222</v>
      </c>
      <c r="C2440" s="1" t="n">
        <v>45957</v>
      </c>
      <c r="D2440" t="inlineStr">
        <is>
          <t>KRONOBERGS LÄN</t>
        </is>
      </c>
      <c r="E2440" t="inlineStr">
        <is>
          <t>ALVESTA</t>
        </is>
      </c>
      <c r="G2440" t="n">
        <v>1.3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35868-2023</t>
        </is>
      </c>
      <c r="B2441" s="1" t="n">
        <v>45148.54725694445</v>
      </c>
      <c r="C2441" s="1" t="n">
        <v>45957</v>
      </c>
      <c r="D2441" t="inlineStr">
        <is>
          <t>KRONOBERGS LÄN</t>
        </is>
      </c>
      <c r="E2441" t="inlineStr">
        <is>
          <t>VÄXJÖ</t>
        </is>
      </c>
      <c r="G2441" t="n">
        <v>2.8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42397-2023</t>
        </is>
      </c>
      <c r="B2442" s="1" t="n">
        <v>45180</v>
      </c>
      <c r="C2442" s="1" t="n">
        <v>45957</v>
      </c>
      <c r="D2442" t="inlineStr">
        <is>
          <t>KRONOBERGS LÄN</t>
        </is>
      </c>
      <c r="E2442" t="inlineStr">
        <is>
          <t>ALVESTA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35876-2023</t>
        </is>
      </c>
      <c r="B2443" s="1" t="n">
        <v>45148</v>
      </c>
      <c r="C2443" s="1" t="n">
        <v>45957</v>
      </c>
      <c r="D2443" t="inlineStr">
        <is>
          <t>KRONOBERGS LÄN</t>
        </is>
      </c>
      <c r="E2443" t="inlineStr">
        <is>
          <t>VÄXJÖ</t>
        </is>
      </c>
      <c r="G2443" t="n">
        <v>2.8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31074-2023</t>
        </is>
      </c>
      <c r="B2444" s="1" t="n">
        <v>45113.63806712963</v>
      </c>
      <c r="C2444" s="1" t="n">
        <v>45957</v>
      </c>
      <c r="D2444" t="inlineStr">
        <is>
          <t>KRONOBERGS LÄN</t>
        </is>
      </c>
      <c r="E2444" t="inlineStr">
        <is>
          <t>ALVESTA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14836-2022</t>
        </is>
      </c>
      <c r="B2445" s="1" t="n">
        <v>44656</v>
      </c>
      <c r="C2445" s="1" t="n">
        <v>45957</v>
      </c>
      <c r="D2445" t="inlineStr">
        <is>
          <t>KRONOBERGS LÄN</t>
        </is>
      </c>
      <c r="E2445" t="inlineStr">
        <is>
          <t>ALVESTA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9742-2024</t>
        </is>
      </c>
      <c r="B2446" s="1" t="n">
        <v>45362</v>
      </c>
      <c r="C2446" s="1" t="n">
        <v>45957</v>
      </c>
      <c r="D2446" t="inlineStr">
        <is>
          <t>KRONOBERGS LÄN</t>
        </is>
      </c>
      <c r="E2446" t="inlineStr">
        <is>
          <t>TINGSRYD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61659-2024</t>
        </is>
      </c>
      <c r="B2447" s="1" t="n">
        <v>45646.8040625</v>
      </c>
      <c r="C2447" s="1" t="n">
        <v>45957</v>
      </c>
      <c r="D2447" t="inlineStr">
        <is>
          <t>KRONOBERGS LÄN</t>
        </is>
      </c>
      <c r="E2447" t="inlineStr">
        <is>
          <t>TINGSRYD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35147-2024</t>
        </is>
      </c>
      <c r="B2448" s="1" t="n">
        <v>45530.36846064815</v>
      </c>
      <c r="C2448" s="1" t="n">
        <v>45957</v>
      </c>
      <c r="D2448" t="inlineStr">
        <is>
          <t>KRONOBERGS LÄN</t>
        </is>
      </c>
      <c r="E2448" t="inlineStr">
        <is>
          <t>UPPVIDINGE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62862-2023</t>
        </is>
      </c>
      <c r="B2449" s="1" t="n">
        <v>45272</v>
      </c>
      <c r="C2449" s="1" t="n">
        <v>45957</v>
      </c>
      <c r="D2449" t="inlineStr">
        <is>
          <t>KRONOBERGS LÄN</t>
        </is>
      </c>
      <c r="E2449" t="inlineStr">
        <is>
          <t>LJUNGBY</t>
        </is>
      </c>
      <c r="G2449" t="n">
        <v>4.2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23808-2025</t>
        </is>
      </c>
      <c r="B2450" s="1" t="n">
        <v>45793.56537037037</v>
      </c>
      <c r="C2450" s="1" t="n">
        <v>45957</v>
      </c>
      <c r="D2450" t="inlineStr">
        <is>
          <t>KRONOBERGS LÄN</t>
        </is>
      </c>
      <c r="E2450" t="inlineStr">
        <is>
          <t>LJUNGBY</t>
        </is>
      </c>
      <c r="G2450" t="n">
        <v>5.9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60607-2023</t>
        </is>
      </c>
      <c r="B2451" s="1" t="n">
        <v>45260</v>
      </c>
      <c r="C2451" s="1" t="n">
        <v>45957</v>
      </c>
      <c r="D2451" t="inlineStr">
        <is>
          <t>KRONOBERGS LÄN</t>
        </is>
      </c>
      <c r="E2451" t="inlineStr">
        <is>
          <t>LJUNGBY</t>
        </is>
      </c>
      <c r="G2451" t="n">
        <v>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56305-2020</t>
        </is>
      </c>
      <c r="B2452" s="1" t="n">
        <v>44134</v>
      </c>
      <c r="C2452" s="1" t="n">
        <v>45957</v>
      </c>
      <c r="D2452" t="inlineStr">
        <is>
          <t>KRONOBERGS LÄN</t>
        </is>
      </c>
      <c r="E2452" t="inlineStr">
        <is>
          <t>TINGSRYD</t>
        </is>
      </c>
      <c r="G2452" t="n">
        <v>23.3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44818-2024</t>
        </is>
      </c>
      <c r="B2453" s="1" t="n">
        <v>45574.66055555556</v>
      </c>
      <c r="C2453" s="1" t="n">
        <v>45957</v>
      </c>
      <c r="D2453" t="inlineStr">
        <is>
          <t>KRONOBERGS LÄN</t>
        </is>
      </c>
      <c r="E2453" t="inlineStr">
        <is>
          <t>ALVESTA</t>
        </is>
      </c>
      <c r="G2453" t="n">
        <v>0.2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19793-2025</t>
        </is>
      </c>
      <c r="B2454" s="1" t="n">
        <v>45771.44638888889</v>
      </c>
      <c r="C2454" s="1" t="n">
        <v>45957</v>
      </c>
      <c r="D2454" t="inlineStr">
        <is>
          <t>KRONOBERGS LÄN</t>
        </is>
      </c>
      <c r="E2454" t="inlineStr">
        <is>
          <t>ALVESTA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19796-2025</t>
        </is>
      </c>
      <c r="B2455" s="1" t="n">
        <v>45771.44725694445</v>
      </c>
      <c r="C2455" s="1" t="n">
        <v>45957</v>
      </c>
      <c r="D2455" t="inlineStr">
        <is>
          <t>KRONOBERGS LÄN</t>
        </is>
      </c>
      <c r="E2455" t="inlineStr">
        <is>
          <t>ALVESTA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16754-2025</t>
        </is>
      </c>
      <c r="B2456" s="1" t="n">
        <v>45754.56905092593</v>
      </c>
      <c r="C2456" s="1" t="n">
        <v>45957</v>
      </c>
      <c r="D2456" t="inlineStr">
        <is>
          <t>KRONOBERGS LÄN</t>
        </is>
      </c>
      <c r="E2456" t="inlineStr">
        <is>
          <t>LJUNGBY</t>
        </is>
      </c>
      <c r="G2456" t="n">
        <v>0.5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5849-2025</t>
        </is>
      </c>
      <c r="B2457" s="1" t="n">
        <v>45695.32108796296</v>
      </c>
      <c r="C2457" s="1" t="n">
        <v>45957</v>
      </c>
      <c r="D2457" t="inlineStr">
        <is>
          <t>KRONOBERGS LÄN</t>
        </is>
      </c>
      <c r="E2457" t="inlineStr">
        <is>
          <t>ÄLMHULT</t>
        </is>
      </c>
      <c r="G2457" t="n">
        <v>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41492-2023</t>
        </is>
      </c>
      <c r="B2458" s="1" t="n">
        <v>45175</v>
      </c>
      <c r="C2458" s="1" t="n">
        <v>45957</v>
      </c>
      <c r="D2458" t="inlineStr">
        <is>
          <t>KRONOBERGS LÄN</t>
        </is>
      </c>
      <c r="E2458" t="inlineStr">
        <is>
          <t>ÄLMHULT</t>
        </is>
      </c>
      <c r="G2458" t="n">
        <v>2.1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52996-2023</t>
        </is>
      </c>
      <c r="B2459" s="1" t="n">
        <v>45222</v>
      </c>
      <c r="C2459" s="1" t="n">
        <v>45957</v>
      </c>
      <c r="D2459" t="inlineStr">
        <is>
          <t>KRONOBERGS LÄN</t>
        </is>
      </c>
      <c r="E2459" t="inlineStr">
        <is>
          <t>VÄXJÖ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62241-2021</t>
        </is>
      </c>
      <c r="B2460" s="1" t="n">
        <v>44503</v>
      </c>
      <c r="C2460" s="1" t="n">
        <v>45957</v>
      </c>
      <c r="D2460" t="inlineStr">
        <is>
          <t>KRONOBERGS LÄN</t>
        </is>
      </c>
      <c r="E2460" t="inlineStr">
        <is>
          <t>ÄLMHULT</t>
        </is>
      </c>
      <c r="G2460" t="n">
        <v>0.4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525-2025</t>
        </is>
      </c>
      <c r="B2461" s="1" t="n">
        <v>45664.49270833333</v>
      </c>
      <c r="C2461" s="1" t="n">
        <v>45957</v>
      </c>
      <c r="D2461" t="inlineStr">
        <is>
          <t>KRONOBERGS LÄN</t>
        </is>
      </c>
      <c r="E2461" t="inlineStr">
        <is>
          <t>TINGSRYD</t>
        </is>
      </c>
      <c r="G2461" t="n">
        <v>4.6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64278-2023</t>
        </is>
      </c>
      <c r="B2462" s="1" t="n">
        <v>45280</v>
      </c>
      <c r="C2462" s="1" t="n">
        <v>45957</v>
      </c>
      <c r="D2462" t="inlineStr">
        <is>
          <t>KRONOBERGS LÄN</t>
        </is>
      </c>
      <c r="E2462" t="inlineStr">
        <is>
          <t>VÄXJÖ</t>
        </is>
      </c>
      <c r="G2462" t="n">
        <v>0.4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48800-2022</t>
        </is>
      </c>
      <c r="B2463" s="1" t="n">
        <v>44859</v>
      </c>
      <c r="C2463" s="1" t="n">
        <v>45957</v>
      </c>
      <c r="D2463" t="inlineStr">
        <is>
          <t>KRONOBERGS LÄN</t>
        </is>
      </c>
      <c r="E2463" t="inlineStr">
        <is>
          <t>ÄLMHULT</t>
        </is>
      </c>
      <c r="G2463" t="n">
        <v>1.7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8901-2024</t>
        </is>
      </c>
      <c r="B2464" s="1" t="n">
        <v>45357</v>
      </c>
      <c r="C2464" s="1" t="n">
        <v>45957</v>
      </c>
      <c r="D2464" t="inlineStr">
        <is>
          <t>KRONOBERGS LÄN</t>
        </is>
      </c>
      <c r="E2464" t="inlineStr">
        <is>
          <t>LJUNGBY</t>
        </is>
      </c>
      <c r="G2464" t="n">
        <v>5.1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44737-2023</t>
        </is>
      </c>
      <c r="B2465" s="1" t="n">
        <v>45190.38162037037</v>
      </c>
      <c r="C2465" s="1" t="n">
        <v>45957</v>
      </c>
      <c r="D2465" t="inlineStr">
        <is>
          <t>KRONOBERGS LÄN</t>
        </is>
      </c>
      <c r="E2465" t="inlineStr">
        <is>
          <t>VÄXJÖ</t>
        </is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10566-2023</t>
        </is>
      </c>
      <c r="B2466" s="1" t="n">
        <v>44988.31290509259</v>
      </c>
      <c r="C2466" s="1" t="n">
        <v>45957</v>
      </c>
      <c r="D2466" t="inlineStr">
        <is>
          <t>KRONOBERGS LÄN</t>
        </is>
      </c>
      <c r="E2466" t="inlineStr">
        <is>
          <t>VÄXJÖ</t>
        </is>
      </c>
      <c r="G2466" t="n">
        <v>2.1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58301-2024</t>
        </is>
      </c>
      <c r="B2467" s="1" t="n">
        <v>45632.60225694445</v>
      </c>
      <c r="C2467" s="1" t="n">
        <v>45957</v>
      </c>
      <c r="D2467" t="inlineStr">
        <is>
          <t>KRONOBERGS LÄN</t>
        </is>
      </c>
      <c r="E2467" t="inlineStr">
        <is>
          <t>ALVESTA</t>
        </is>
      </c>
      <c r="G2467" t="n">
        <v>0.6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10289-2025</t>
        </is>
      </c>
      <c r="B2468" s="1" t="n">
        <v>45720.41747685185</v>
      </c>
      <c r="C2468" s="1" t="n">
        <v>45957</v>
      </c>
      <c r="D2468" t="inlineStr">
        <is>
          <t>KRONOBERGS LÄN</t>
        </is>
      </c>
      <c r="E2468" t="inlineStr">
        <is>
          <t>UPPVIDINGE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46360-2022</t>
        </is>
      </c>
      <c r="B2469" s="1" t="n">
        <v>44848.30996527777</v>
      </c>
      <c r="C2469" s="1" t="n">
        <v>45957</v>
      </c>
      <c r="D2469" t="inlineStr">
        <is>
          <t>KRONOBERGS LÄN</t>
        </is>
      </c>
      <c r="E2469" t="inlineStr">
        <is>
          <t>LJUNGBY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12963-2024</t>
        </is>
      </c>
      <c r="B2470" s="1" t="n">
        <v>45385.49362268519</v>
      </c>
      <c r="C2470" s="1" t="n">
        <v>45957</v>
      </c>
      <c r="D2470" t="inlineStr">
        <is>
          <t>KRONOBERGS LÄN</t>
        </is>
      </c>
      <c r="E2470" t="inlineStr">
        <is>
          <t>ALVESTA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58199-2023</t>
        </is>
      </c>
      <c r="B2471" s="1" t="n">
        <v>45250.43831018519</v>
      </c>
      <c r="C2471" s="1" t="n">
        <v>45957</v>
      </c>
      <c r="D2471" t="inlineStr">
        <is>
          <t>KRONOBERGS LÄN</t>
        </is>
      </c>
      <c r="E2471" t="inlineStr">
        <is>
          <t>TINGSRYD</t>
        </is>
      </c>
      <c r="G2471" t="n">
        <v>4.4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33223-2023</t>
        </is>
      </c>
      <c r="B2472" s="1" t="n">
        <v>45127</v>
      </c>
      <c r="C2472" s="1" t="n">
        <v>45957</v>
      </c>
      <c r="D2472" t="inlineStr">
        <is>
          <t>KRONOBERGS LÄN</t>
        </is>
      </c>
      <c r="E2472" t="inlineStr">
        <is>
          <t>VÄXJÖ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2420-2025</t>
        </is>
      </c>
      <c r="B2473" s="1" t="n">
        <v>45674.38413194445</v>
      </c>
      <c r="C2473" s="1" t="n">
        <v>45957</v>
      </c>
      <c r="D2473" t="inlineStr">
        <is>
          <t>KRONOBERGS LÄN</t>
        </is>
      </c>
      <c r="E2473" t="inlineStr">
        <is>
          <t>UPPVIDINGE</t>
        </is>
      </c>
      <c r="F2473" t="inlineStr">
        <is>
          <t>Sveaskog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17787-2024</t>
        </is>
      </c>
      <c r="B2474" s="1" t="n">
        <v>45418</v>
      </c>
      <c r="C2474" s="1" t="n">
        <v>45957</v>
      </c>
      <c r="D2474" t="inlineStr">
        <is>
          <t>KRONOBERGS LÄN</t>
        </is>
      </c>
      <c r="E2474" t="inlineStr">
        <is>
          <t>ALVESTA</t>
        </is>
      </c>
      <c r="G2474" t="n">
        <v>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17791-2024</t>
        </is>
      </c>
      <c r="B2475" s="1" t="n">
        <v>45418</v>
      </c>
      <c r="C2475" s="1" t="n">
        <v>45957</v>
      </c>
      <c r="D2475" t="inlineStr">
        <is>
          <t>KRONOBERGS LÄN</t>
        </is>
      </c>
      <c r="E2475" t="inlineStr">
        <is>
          <t>ALVESTA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23823-2025</t>
        </is>
      </c>
      <c r="B2476" s="1" t="n">
        <v>45793.59197916667</v>
      </c>
      <c r="C2476" s="1" t="n">
        <v>45957</v>
      </c>
      <c r="D2476" t="inlineStr">
        <is>
          <t>KRONOBERGS LÄN</t>
        </is>
      </c>
      <c r="E2476" t="inlineStr">
        <is>
          <t>TINGSRYD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68334-2020</t>
        </is>
      </c>
      <c r="B2477" s="1" t="n">
        <v>44186</v>
      </c>
      <c r="C2477" s="1" t="n">
        <v>45957</v>
      </c>
      <c r="D2477" t="inlineStr">
        <is>
          <t>KRONOBERGS LÄN</t>
        </is>
      </c>
      <c r="E2477" t="inlineStr">
        <is>
          <t>LJUNGBY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24084-2025</t>
        </is>
      </c>
      <c r="B2478" s="1" t="n">
        <v>45796.56221064815</v>
      </c>
      <c r="C2478" s="1" t="n">
        <v>45957</v>
      </c>
      <c r="D2478" t="inlineStr">
        <is>
          <t>KRONOBERGS LÄN</t>
        </is>
      </c>
      <c r="E2478" t="inlineStr">
        <is>
          <t>LJUNGBY</t>
        </is>
      </c>
      <c r="F2478" t="inlineStr">
        <is>
          <t>Sveaskog</t>
        </is>
      </c>
      <c r="G2478" t="n">
        <v>1.7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56305-2020</t>
        </is>
      </c>
      <c r="B2479" s="1" t="n">
        <v>44134</v>
      </c>
      <c r="C2479" s="1" t="n">
        <v>45957</v>
      </c>
      <c r="D2479" t="inlineStr">
        <is>
          <t>KRONOBERGS LÄN</t>
        </is>
      </c>
      <c r="E2479" t="inlineStr">
        <is>
          <t>TINGSRYD</t>
        </is>
      </c>
      <c r="G2479" t="n">
        <v>23.3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44492-2021</t>
        </is>
      </c>
      <c r="B2480" s="1" t="n">
        <v>44435</v>
      </c>
      <c r="C2480" s="1" t="n">
        <v>45957</v>
      </c>
      <c r="D2480" t="inlineStr">
        <is>
          <t>KRONOBERGS LÄN</t>
        </is>
      </c>
      <c r="E2480" t="inlineStr">
        <is>
          <t>TINGSRYD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24167-2025</t>
        </is>
      </c>
      <c r="B2481" s="1" t="n">
        <v>45796.67782407408</v>
      </c>
      <c r="C2481" s="1" t="n">
        <v>45957</v>
      </c>
      <c r="D2481" t="inlineStr">
        <is>
          <t>KRONOBERGS LÄN</t>
        </is>
      </c>
      <c r="E2481" t="inlineStr">
        <is>
          <t>ALVESTA</t>
        </is>
      </c>
      <c r="G2481" t="n">
        <v>1.8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39150-2023</t>
        </is>
      </c>
      <c r="B2482" s="1" t="n">
        <v>45166.33278935185</v>
      </c>
      <c r="C2482" s="1" t="n">
        <v>45957</v>
      </c>
      <c r="D2482" t="inlineStr">
        <is>
          <t>KRONOBERGS LÄN</t>
        </is>
      </c>
      <c r="E2482" t="inlineStr">
        <is>
          <t>TINGSRYD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24097-2025</t>
        </is>
      </c>
      <c r="B2483" s="1" t="n">
        <v>45796.58149305556</v>
      </c>
      <c r="C2483" s="1" t="n">
        <v>45957</v>
      </c>
      <c r="D2483" t="inlineStr">
        <is>
          <t>KRONOBERGS LÄN</t>
        </is>
      </c>
      <c r="E2483" t="inlineStr">
        <is>
          <t>LJUNGBY</t>
        </is>
      </c>
      <c r="F2483" t="inlineStr">
        <is>
          <t>Sveaskog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39151-2023</t>
        </is>
      </c>
      <c r="B2484" s="1" t="n">
        <v>45166.33351851852</v>
      </c>
      <c r="C2484" s="1" t="n">
        <v>45957</v>
      </c>
      <c r="D2484" t="inlineStr">
        <is>
          <t>KRONOBERGS LÄN</t>
        </is>
      </c>
      <c r="E2484" t="inlineStr">
        <is>
          <t>MARKARYD</t>
        </is>
      </c>
      <c r="G2484" t="n">
        <v>0.6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34160-2023</t>
        </is>
      </c>
      <c r="B2485" s="1" t="n">
        <v>45137.90618055555</v>
      </c>
      <c r="C2485" s="1" t="n">
        <v>45957</v>
      </c>
      <c r="D2485" t="inlineStr">
        <is>
          <t>KRONOBERGS LÄN</t>
        </is>
      </c>
      <c r="E2485" t="inlineStr">
        <is>
          <t>LJUNGBY</t>
        </is>
      </c>
      <c r="G2485" t="n">
        <v>2.1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38639-2025</t>
        </is>
      </c>
      <c r="B2486" s="1" t="n">
        <v>45884.57052083333</v>
      </c>
      <c r="C2486" s="1" t="n">
        <v>45957</v>
      </c>
      <c r="D2486" t="inlineStr">
        <is>
          <t>KRONOBERGS LÄN</t>
        </is>
      </c>
      <c r="E2486" t="inlineStr">
        <is>
          <t>ALVESTA</t>
        </is>
      </c>
      <c r="G2486" t="n">
        <v>4.5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65734-2020</t>
        </is>
      </c>
      <c r="B2487" s="1" t="n">
        <v>44174</v>
      </c>
      <c r="C2487" s="1" t="n">
        <v>45957</v>
      </c>
      <c r="D2487" t="inlineStr">
        <is>
          <t>KRONOBERGS LÄN</t>
        </is>
      </c>
      <c r="E2487" t="inlineStr">
        <is>
          <t>LJUNGBY</t>
        </is>
      </c>
      <c r="F2487" t="inlineStr">
        <is>
          <t>Sveaskog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46472-2025</t>
        </is>
      </c>
      <c r="B2488" s="1" t="n">
        <v>45925.68578703704</v>
      </c>
      <c r="C2488" s="1" t="n">
        <v>45957</v>
      </c>
      <c r="D2488" t="inlineStr">
        <is>
          <t>KRONOBERGS LÄN</t>
        </is>
      </c>
      <c r="E2488" t="inlineStr">
        <is>
          <t>ALVESTA</t>
        </is>
      </c>
      <c r="G2488" t="n">
        <v>1.1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60876-2022</t>
        </is>
      </c>
      <c r="B2489" s="1" t="n">
        <v>44914.55465277778</v>
      </c>
      <c r="C2489" s="1" t="n">
        <v>45957</v>
      </c>
      <c r="D2489" t="inlineStr">
        <is>
          <t>KRONOBERGS LÄN</t>
        </is>
      </c>
      <c r="E2489" t="inlineStr">
        <is>
          <t>ÄLMHULT</t>
        </is>
      </c>
      <c r="G2489" t="n">
        <v>0.5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57637-2020</t>
        </is>
      </c>
      <c r="B2490" s="1" t="n">
        <v>44140.66925925926</v>
      </c>
      <c r="C2490" s="1" t="n">
        <v>45957</v>
      </c>
      <c r="D2490" t="inlineStr">
        <is>
          <t>KRONOBERGS LÄN</t>
        </is>
      </c>
      <c r="E2490" t="inlineStr">
        <is>
          <t>LESSEBO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57660-2020</t>
        </is>
      </c>
      <c r="B2491" s="1" t="n">
        <v>44140</v>
      </c>
      <c r="C2491" s="1" t="n">
        <v>45957</v>
      </c>
      <c r="D2491" t="inlineStr">
        <is>
          <t>KRONOBERGS LÄN</t>
        </is>
      </c>
      <c r="E2491" t="inlineStr">
        <is>
          <t>UPPVIDINGE</t>
        </is>
      </c>
      <c r="G2491" t="n">
        <v>6.1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59604-2022</t>
        </is>
      </c>
      <c r="B2492" s="1" t="n">
        <v>44907.72450231481</v>
      </c>
      <c r="C2492" s="1" t="n">
        <v>45957</v>
      </c>
      <c r="D2492" t="inlineStr">
        <is>
          <t>KRONOBERGS LÄN</t>
        </is>
      </c>
      <c r="E2492" t="inlineStr">
        <is>
          <t>TINGSRYD</t>
        </is>
      </c>
      <c r="G2492" t="n">
        <v>6.5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42823-2021</t>
        </is>
      </c>
      <c r="B2493" s="1" t="n">
        <v>44430.29293981481</v>
      </c>
      <c r="C2493" s="1" t="n">
        <v>45957</v>
      </c>
      <c r="D2493" t="inlineStr">
        <is>
          <t>KRONOBERGS LÄN</t>
        </is>
      </c>
      <c r="E2493" t="inlineStr">
        <is>
          <t>UPPVIDINGE</t>
        </is>
      </c>
      <c r="G2493" t="n">
        <v>0.4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37152-2024</t>
        </is>
      </c>
      <c r="B2494" s="1" t="n">
        <v>45539.60410879629</v>
      </c>
      <c r="C2494" s="1" t="n">
        <v>45957</v>
      </c>
      <c r="D2494" t="inlineStr">
        <is>
          <t>KRONOBERGS LÄN</t>
        </is>
      </c>
      <c r="E2494" t="inlineStr">
        <is>
          <t>TINGSRYD</t>
        </is>
      </c>
      <c r="G2494" t="n">
        <v>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9687-2024</t>
        </is>
      </c>
      <c r="B2495" s="1" t="n">
        <v>45362</v>
      </c>
      <c r="C2495" s="1" t="n">
        <v>45957</v>
      </c>
      <c r="D2495" t="inlineStr">
        <is>
          <t>KRONOBERGS LÄN</t>
        </is>
      </c>
      <c r="E2495" t="inlineStr">
        <is>
          <t>ALVESTA</t>
        </is>
      </c>
      <c r="G2495" t="n">
        <v>0.1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52709-2022</t>
        </is>
      </c>
      <c r="B2496" s="1" t="n">
        <v>44874</v>
      </c>
      <c r="C2496" s="1" t="n">
        <v>45957</v>
      </c>
      <c r="D2496" t="inlineStr">
        <is>
          <t>KRONOBERGS LÄN</t>
        </is>
      </c>
      <c r="E2496" t="inlineStr">
        <is>
          <t>LJUNGBY</t>
        </is>
      </c>
      <c r="G2496" t="n">
        <v>0.4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19400-2024</t>
        </is>
      </c>
      <c r="B2497" s="1" t="n">
        <v>45428</v>
      </c>
      <c r="C2497" s="1" t="n">
        <v>45957</v>
      </c>
      <c r="D2497" t="inlineStr">
        <is>
          <t>KRONOBERGS LÄN</t>
        </is>
      </c>
      <c r="E2497" t="inlineStr">
        <is>
          <t>VÄXJÖ</t>
        </is>
      </c>
      <c r="F2497" t="inlineStr">
        <is>
          <t>Kyrkan</t>
        </is>
      </c>
      <c r="G2497" t="n">
        <v>4.3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52873-2022</t>
        </is>
      </c>
      <c r="B2498" s="1" t="n">
        <v>44875</v>
      </c>
      <c r="C2498" s="1" t="n">
        <v>45957</v>
      </c>
      <c r="D2498" t="inlineStr">
        <is>
          <t>KRONOBERGS LÄN</t>
        </is>
      </c>
      <c r="E2498" t="inlineStr">
        <is>
          <t>MARKARYD</t>
        </is>
      </c>
      <c r="G2498" t="n">
        <v>5.6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24175-2025</t>
        </is>
      </c>
      <c r="B2499" s="1" t="n">
        <v>45796</v>
      </c>
      <c r="C2499" s="1" t="n">
        <v>45957</v>
      </c>
      <c r="D2499" t="inlineStr">
        <is>
          <t>KRONOBERGS LÄN</t>
        </is>
      </c>
      <c r="E2499" t="inlineStr">
        <is>
          <t>ALVESTA</t>
        </is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49609-2024</t>
        </is>
      </c>
      <c r="B2500" s="1" t="n">
        <v>45596.57131944445</v>
      </c>
      <c r="C2500" s="1" t="n">
        <v>45957</v>
      </c>
      <c r="D2500" t="inlineStr">
        <is>
          <t>KRONOBERGS LÄN</t>
        </is>
      </c>
      <c r="E2500" t="inlineStr">
        <is>
          <t>LJUNGBY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9714-2023</t>
        </is>
      </c>
      <c r="B2501" s="1" t="n">
        <v>44984</v>
      </c>
      <c r="C2501" s="1" t="n">
        <v>45957</v>
      </c>
      <c r="D2501" t="inlineStr">
        <is>
          <t>KRONOBERGS LÄN</t>
        </is>
      </c>
      <c r="E2501" t="inlineStr">
        <is>
          <t>UPPVIDINGE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52564-2023</t>
        </is>
      </c>
      <c r="B2502" s="1" t="n">
        <v>45225.5787037037</v>
      </c>
      <c r="C2502" s="1" t="n">
        <v>45957</v>
      </c>
      <c r="D2502" t="inlineStr">
        <is>
          <t>KRONOBERGS LÄN</t>
        </is>
      </c>
      <c r="E2502" t="inlineStr">
        <is>
          <t>VÄXJÖ</t>
        </is>
      </c>
      <c r="G2502" t="n">
        <v>3.3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19111-2023</t>
        </is>
      </c>
      <c r="B2503" s="1" t="n">
        <v>45048</v>
      </c>
      <c r="C2503" s="1" t="n">
        <v>45957</v>
      </c>
      <c r="D2503" t="inlineStr">
        <is>
          <t>KRONOBERGS LÄN</t>
        </is>
      </c>
      <c r="E2503" t="inlineStr">
        <is>
          <t>VÄXJÖ</t>
        </is>
      </c>
      <c r="G2503" t="n">
        <v>2.4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19584-2023</t>
        </is>
      </c>
      <c r="B2504" s="1" t="n">
        <v>45049</v>
      </c>
      <c r="C2504" s="1" t="n">
        <v>45957</v>
      </c>
      <c r="D2504" t="inlineStr">
        <is>
          <t>KRONOBERGS LÄN</t>
        </is>
      </c>
      <c r="E2504" t="inlineStr">
        <is>
          <t>UPPVIDINGE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38528-2024</t>
        </is>
      </c>
      <c r="B2505" s="1" t="n">
        <v>45546.58138888889</v>
      </c>
      <c r="C2505" s="1" t="n">
        <v>45957</v>
      </c>
      <c r="D2505" t="inlineStr">
        <is>
          <t>KRONOBERGS LÄN</t>
        </is>
      </c>
      <c r="E2505" t="inlineStr">
        <is>
          <t>TINGSRYD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44426-2024</t>
        </is>
      </c>
      <c r="B2506" s="1" t="n">
        <v>45573.91921296297</v>
      </c>
      <c r="C2506" s="1" t="n">
        <v>45957</v>
      </c>
      <c r="D2506" t="inlineStr">
        <is>
          <t>KRONOBERGS LÄN</t>
        </is>
      </c>
      <c r="E2506" t="inlineStr">
        <is>
          <t>VÄXJÖ</t>
        </is>
      </c>
      <c r="G2506" t="n">
        <v>0.5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44445-2024</t>
        </is>
      </c>
      <c r="B2507" s="1" t="n">
        <v>45574.31337962963</v>
      </c>
      <c r="C2507" s="1" t="n">
        <v>45957</v>
      </c>
      <c r="D2507" t="inlineStr">
        <is>
          <t>KRONOBERGS LÄN</t>
        </is>
      </c>
      <c r="E2507" t="inlineStr">
        <is>
          <t>ÄLMHULT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61274-2021</t>
        </is>
      </c>
      <c r="B2508" s="1" t="n">
        <v>44498.59428240741</v>
      </c>
      <c r="C2508" s="1" t="n">
        <v>45957</v>
      </c>
      <c r="D2508" t="inlineStr">
        <is>
          <t>KRONOBERGS LÄN</t>
        </is>
      </c>
      <c r="E2508" t="inlineStr">
        <is>
          <t>MARKARYD</t>
        </is>
      </c>
      <c r="G2508" t="n">
        <v>1.7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48801-2024</t>
        </is>
      </c>
      <c r="B2509" s="1" t="n">
        <v>45593</v>
      </c>
      <c r="C2509" s="1" t="n">
        <v>45957</v>
      </c>
      <c r="D2509" t="inlineStr">
        <is>
          <t>KRONOBERGS LÄN</t>
        </is>
      </c>
      <c r="E2509" t="inlineStr">
        <is>
          <t>MARKARYD</t>
        </is>
      </c>
      <c r="G2509" t="n">
        <v>2.7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25220-2025</t>
        </is>
      </c>
      <c r="B2510" s="1" t="n">
        <v>45798</v>
      </c>
      <c r="C2510" s="1" t="n">
        <v>45957</v>
      </c>
      <c r="D2510" t="inlineStr">
        <is>
          <t>KRONOBERGS LÄN</t>
        </is>
      </c>
      <c r="E2510" t="inlineStr">
        <is>
          <t>ALVESTA</t>
        </is>
      </c>
      <c r="G2510" t="n">
        <v>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24621-2025</t>
        </is>
      </c>
      <c r="B2511" s="1" t="n">
        <v>45798</v>
      </c>
      <c r="C2511" s="1" t="n">
        <v>45957</v>
      </c>
      <c r="D2511" t="inlineStr">
        <is>
          <t>KRONOBERGS LÄN</t>
        </is>
      </c>
      <c r="E2511" t="inlineStr">
        <is>
          <t>TINGSRYD</t>
        </is>
      </c>
      <c r="G2511" t="n">
        <v>9.199999999999999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12155-2022</t>
        </is>
      </c>
      <c r="B2512" s="1" t="n">
        <v>44636.65648148148</v>
      </c>
      <c r="C2512" s="1" t="n">
        <v>45957</v>
      </c>
      <c r="D2512" t="inlineStr">
        <is>
          <t>KRONOBERGS LÄN</t>
        </is>
      </c>
      <c r="E2512" t="inlineStr">
        <is>
          <t>MARKARYD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53134-2023</t>
        </is>
      </c>
      <c r="B2513" s="1" t="n">
        <v>45229</v>
      </c>
      <c r="C2513" s="1" t="n">
        <v>45957</v>
      </c>
      <c r="D2513" t="inlineStr">
        <is>
          <t>KRONOBERGS LÄN</t>
        </is>
      </c>
      <c r="E2513" t="inlineStr">
        <is>
          <t>UPPVIDINGE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46471-2025</t>
        </is>
      </c>
      <c r="B2514" s="1" t="n">
        <v>45925.68325231481</v>
      </c>
      <c r="C2514" s="1" t="n">
        <v>45957</v>
      </c>
      <c r="D2514" t="inlineStr">
        <is>
          <t>KRONOBERGS LÄN</t>
        </is>
      </c>
      <c r="E2514" t="inlineStr">
        <is>
          <t>VÄXJÖ</t>
        </is>
      </c>
      <c r="G2514" t="n">
        <v>1.4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24365-2025</t>
        </is>
      </c>
      <c r="B2515" s="1" t="n">
        <v>45797</v>
      </c>
      <c r="C2515" s="1" t="n">
        <v>45957</v>
      </c>
      <c r="D2515" t="inlineStr">
        <is>
          <t>KRONOBERGS LÄN</t>
        </is>
      </c>
      <c r="E2515" t="inlineStr">
        <is>
          <t>MARKARYD</t>
        </is>
      </c>
      <c r="F2515" t="inlineStr">
        <is>
          <t>Kyrkan</t>
        </is>
      </c>
      <c r="G2515" t="n">
        <v>4.9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65137-2023</t>
        </is>
      </c>
      <c r="B2516" s="1" t="n">
        <v>45288.54592592592</v>
      </c>
      <c r="C2516" s="1" t="n">
        <v>45957</v>
      </c>
      <c r="D2516" t="inlineStr">
        <is>
          <t>KRONOBERGS LÄN</t>
        </is>
      </c>
      <c r="E2516" t="inlineStr">
        <is>
          <t>LESSEBO</t>
        </is>
      </c>
      <c r="G2516" t="n">
        <v>5.4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24294-2025</t>
        </is>
      </c>
      <c r="B2517" s="1" t="n">
        <v>45797</v>
      </c>
      <c r="C2517" s="1" t="n">
        <v>45957</v>
      </c>
      <c r="D2517" t="inlineStr">
        <is>
          <t>KRONOBERGS LÄN</t>
        </is>
      </c>
      <c r="E2517" t="inlineStr">
        <is>
          <t>VÄXJÖ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38399-2023</t>
        </is>
      </c>
      <c r="B2518" s="1" t="n">
        <v>45162.32709490741</v>
      </c>
      <c r="C2518" s="1" t="n">
        <v>45957</v>
      </c>
      <c r="D2518" t="inlineStr">
        <is>
          <t>KRONOBERGS LÄN</t>
        </is>
      </c>
      <c r="E2518" t="inlineStr">
        <is>
          <t>LJUNGBY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50906-2022</t>
        </is>
      </c>
      <c r="B2519" s="1" t="n">
        <v>44867.62049768519</v>
      </c>
      <c r="C2519" s="1" t="n">
        <v>45957</v>
      </c>
      <c r="D2519" t="inlineStr">
        <is>
          <t>KRONOBERGS LÄN</t>
        </is>
      </c>
      <c r="E2519" t="inlineStr">
        <is>
          <t>VÄXJÖ</t>
        </is>
      </c>
      <c r="G2519" t="n">
        <v>1.3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2038-2023</t>
        </is>
      </c>
      <c r="B2520" s="1" t="n">
        <v>44938</v>
      </c>
      <c r="C2520" s="1" t="n">
        <v>45957</v>
      </c>
      <c r="D2520" t="inlineStr">
        <is>
          <t>KRONOBERGS LÄN</t>
        </is>
      </c>
      <c r="E2520" t="inlineStr">
        <is>
          <t>ALVESTA</t>
        </is>
      </c>
      <c r="G2520" t="n">
        <v>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52833-2022</t>
        </is>
      </c>
      <c r="B2521" s="1" t="n">
        <v>44872</v>
      </c>
      <c r="C2521" s="1" t="n">
        <v>45957</v>
      </c>
      <c r="D2521" t="inlineStr">
        <is>
          <t>KRONOBERGS LÄN</t>
        </is>
      </c>
      <c r="E2521" t="inlineStr">
        <is>
          <t>VÄXJÖ</t>
        </is>
      </c>
      <c r="G2521" t="n">
        <v>2.5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3714-2022</t>
        </is>
      </c>
      <c r="B2522" s="1" t="n">
        <v>44586.61754629629</v>
      </c>
      <c r="C2522" s="1" t="n">
        <v>45957</v>
      </c>
      <c r="D2522" t="inlineStr">
        <is>
          <t>KRONOBERGS LÄN</t>
        </is>
      </c>
      <c r="E2522" t="inlineStr">
        <is>
          <t>LESSEBO</t>
        </is>
      </c>
      <c r="F2522" t="inlineStr">
        <is>
          <t>Kommuner</t>
        </is>
      </c>
      <c r="G2522" t="n">
        <v>4.1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46461-2025</t>
        </is>
      </c>
      <c r="B2523" s="1" t="n">
        <v>45925.66645833333</v>
      </c>
      <c r="C2523" s="1" t="n">
        <v>45957</v>
      </c>
      <c r="D2523" t="inlineStr">
        <is>
          <t>KRONOBERGS LÄN</t>
        </is>
      </c>
      <c r="E2523" t="inlineStr">
        <is>
          <t>VÄXJÖ</t>
        </is>
      </c>
      <c r="G2523" t="n">
        <v>1.2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41055-2024</t>
        </is>
      </c>
      <c r="B2524" s="1" t="n">
        <v>45559.37751157407</v>
      </c>
      <c r="C2524" s="1" t="n">
        <v>45957</v>
      </c>
      <c r="D2524" t="inlineStr">
        <is>
          <t>KRONOBERGS LÄN</t>
        </is>
      </c>
      <c r="E2524" t="inlineStr">
        <is>
          <t>ÄLMHULT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24565-2025</t>
        </is>
      </c>
      <c r="B2525" s="1" t="n">
        <v>45797</v>
      </c>
      <c r="C2525" s="1" t="n">
        <v>45957</v>
      </c>
      <c r="D2525" t="inlineStr">
        <is>
          <t>KRONOBERGS LÄN</t>
        </is>
      </c>
      <c r="E2525" t="inlineStr">
        <is>
          <t>LJUNGBY</t>
        </is>
      </c>
      <c r="F2525" t="inlineStr">
        <is>
          <t>Kyrkan</t>
        </is>
      </c>
      <c r="G2525" t="n">
        <v>3.4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53854-2024</t>
        </is>
      </c>
      <c r="B2526" s="1" t="n">
        <v>45615.6362037037</v>
      </c>
      <c r="C2526" s="1" t="n">
        <v>45957</v>
      </c>
      <c r="D2526" t="inlineStr">
        <is>
          <t>KRONOBERGS LÄN</t>
        </is>
      </c>
      <c r="E2526" t="inlineStr">
        <is>
          <t>LJUNGBY</t>
        </is>
      </c>
      <c r="G2526" t="n">
        <v>2.2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52171-2024</t>
        </is>
      </c>
      <c r="B2527" s="1" t="n">
        <v>45608.54846064815</v>
      </c>
      <c r="C2527" s="1" t="n">
        <v>45957</v>
      </c>
      <c r="D2527" t="inlineStr">
        <is>
          <t>KRONOBERGS LÄN</t>
        </is>
      </c>
      <c r="E2527" t="inlineStr">
        <is>
          <t>ÄLMHULT</t>
        </is>
      </c>
      <c r="G2527" t="n">
        <v>1.8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61634-2024</t>
        </is>
      </c>
      <c r="B2528" s="1" t="n">
        <v>45646.67438657407</v>
      </c>
      <c r="C2528" s="1" t="n">
        <v>45957</v>
      </c>
      <c r="D2528" t="inlineStr">
        <is>
          <t>KRONOBERGS LÄN</t>
        </is>
      </c>
      <c r="E2528" t="inlineStr">
        <is>
          <t>LJUNGBY</t>
        </is>
      </c>
      <c r="G2528" t="n">
        <v>3.1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3840-2022</t>
        </is>
      </c>
      <c r="B2529" s="1" t="n">
        <v>44587.37592592592</v>
      </c>
      <c r="C2529" s="1" t="n">
        <v>45957</v>
      </c>
      <c r="D2529" t="inlineStr">
        <is>
          <t>KRONOBERGS LÄN</t>
        </is>
      </c>
      <c r="E2529" t="inlineStr">
        <is>
          <t>MARKARYD</t>
        </is>
      </c>
      <c r="G2529" t="n">
        <v>6.4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34921-2023</t>
        </is>
      </c>
      <c r="B2530" s="1" t="n">
        <v>45141</v>
      </c>
      <c r="C2530" s="1" t="n">
        <v>45957</v>
      </c>
      <c r="D2530" t="inlineStr">
        <is>
          <t>KRONOBERGS LÄN</t>
        </is>
      </c>
      <c r="E2530" t="inlineStr">
        <is>
          <t>MARKARYD</t>
        </is>
      </c>
      <c r="F2530" t="inlineStr">
        <is>
          <t>Kyrkan</t>
        </is>
      </c>
      <c r="G2530" t="n">
        <v>7.5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54614-2024</t>
        </is>
      </c>
      <c r="B2531" s="1" t="n">
        <v>45617.72069444445</v>
      </c>
      <c r="C2531" s="1" t="n">
        <v>45957</v>
      </c>
      <c r="D2531" t="inlineStr">
        <is>
          <t>KRONOBERGS LÄN</t>
        </is>
      </c>
      <c r="E2531" t="inlineStr">
        <is>
          <t>LJUNGBY</t>
        </is>
      </c>
      <c r="G2531" t="n">
        <v>0.5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24602-2025</t>
        </is>
      </c>
      <c r="B2532" s="1" t="n">
        <v>45798.56791666667</v>
      </c>
      <c r="C2532" s="1" t="n">
        <v>45957</v>
      </c>
      <c r="D2532" t="inlineStr">
        <is>
          <t>KRONOBERGS LÄN</t>
        </is>
      </c>
      <c r="E2532" t="inlineStr">
        <is>
          <t>MARKARYD</t>
        </is>
      </c>
      <c r="G2532" t="n">
        <v>3.9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42611-2023</t>
        </is>
      </c>
      <c r="B2533" s="1" t="n">
        <v>45181</v>
      </c>
      <c r="C2533" s="1" t="n">
        <v>45957</v>
      </c>
      <c r="D2533" t="inlineStr">
        <is>
          <t>KRONOBERGS LÄN</t>
        </is>
      </c>
      <c r="E2533" t="inlineStr">
        <is>
          <t>LJUNGBY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53452-2024</t>
        </is>
      </c>
      <c r="B2534" s="1" t="n">
        <v>45614.54758101852</v>
      </c>
      <c r="C2534" s="1" t="n">
        <v>45957</v>
      </c>
      <c r="D2534" t="inlineStr">
        <is>
          <t>KRONOBERGS LÄN</t>
        </is>
      </c>
      <c r="E2534" t="inlineStr">
        <is>
          <t>ALVESTA</t>
        </is>
      </c>
      <c r="G2534" t="n">
        <v>2.9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6051-2022</t>
        </is>
      </c>
      <c r="B2535" s="1" t="n">
        <v>44599.52814814815</v>
      </c>
      <c r="C2535" s="1" t="n">
        <v>45957</v>
      </c>
      <c r="D2535" t="inlineStr">
        <is>
          <t>KRONOBERGS LÄN</t>
        </is>
      </c>
      <c r="E2535" t="inlineStr">
        <is>
          <t>VÄXJÖ</t>
        </is>
      </c>
      <c r="G2535" t="n">
        <v>2.7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6119-2022</t>
        </is>
      </c>
      <c r="B2536" s="1" t="n">
        <v>44599</v>
      </c>
      <c r="C2536" s="1" t="n">
        <v>45957</v>
      </c>
      <c r="D2536" t="inlineStr">
        <is>
          <t>KRONOBERGS LÄN</t>
        </is>
      </c>
      <c r="E2536" t="inlineStr">
        <is>
          <t>UPPVIDINGE</t>
        </is>
      </c>
      <c r="G2536" t="n">
        <v>2.6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6139-2022</t>
        </is>
      </c>
      <c r="B2537" s="1" t="n">
        <v>44599.69871527778</v>
      </c>
      <c r="C2537" s="1" t="n">
        <v>45957</v>
      </c>
      <c r="D2537" t="inlineStr">
        <is>
          <t>KRONOBERGS LÄN</t>
        </is>
      </c>
      <c r="E2537" t="inlineStr">
        <is>
          <t>TINGSRYD</t>
        </is>
      </c>
      <c r="G2537" t="n">
        <v>0.6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8939-2024</t>
        </is>
      </c>
      <c r="B2538" s="1" t="n">
        <v>45357.42295138889</v>
      </c>
      <c r="C2538" s="1" t="n">
        <v>45957</v>
      </c>
      <c r="D2538" t="inlineStr">
        <is>
          <t>KRONOBERGS LÄN</t>
        </is>
      </c>
      <c r="E2538" t="inlineStr">
        <is>
          <t>MARKARYD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13583-2024</t>
        </is>
      </c>
      <c r="B2539" s="1" t="n">
        <v>45389.74396990741</v>
      </c>
      <c r="C2539" s="1" t="n">
        <v>45957</v>
      </c>
      <c r="D2539" t="inlineStr">
        <is>
          <t>KRONOBERGS LÄN</t>
        </is>
      </c>
      <c r="E2539" t="inlineStr">
        <is>
          <t>UPPVIDINGE</t>
        </is>
      </c>
      <c r="G2539" t="n">
        <v>2.3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74236-2021</t>
        </is>
      </c>
      <c r="B2540" s="1" t="n">
        <v>44558.59878472222</v>
      </c>
      <c r="C2540" s="1" t="n">
        <v>45957</v>
      </c>
      <c r="D2540" t="inlineStr">
        <is>
          <t>KRONOBERGS LÄN</t>
        </is>
      </c>
      <c r="E2540" t="inlineStr">
        <is>
          <t>TINGSRYD</t>
        </is>
      </c>
      <c r="G2540" t="n">
        <v>1.1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9027-2024</t>
        </is>
      </c>
      <c r="B2541" s="1" t="n">
        <v>45357</v>
      </c>
      <c r="C2541" s="1" t="n">
        <v>45957</v>
      </c>
      <c r="D2541" t="inlineStr">
        <is>
          <t>KRONOBERGS LÄN</t>
        </is>
      </c>
      <c r="E2541" t="inlineStr">
        <is>
          <t>LJUNGBY</t>
        </is>
      </c>
      <c r="G2541" t="n">
        <v>0.4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13608-2024</t>
        </is>
      </c>
      <c r="B2542" s="1" t="n">
        <v>45390</v>
      </c>
      <c r="C2542" s="1" t="n">
        <v>45957</v>
      </c>
      <c r="D2542" t="inlineStr">
        <is>
          <t>KRONOBERGS LÄN</t>
        </is>
      </c>
      <c r="E2542" t="inlineStr">
        <is>
          <t>LJUNGBY</t>
        </is>
      </c>
      <c r="G2542" t="n">
        <v>2.1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9617-2024</t>
        </is>
      </c>
      <c r="B2543" s="1" t="n">
        <v>45361.76549768518</v>
      </c>
      <c r="C2543" s="1" t="n">
        <v>45957</v>
      </c>
      <c r="D2543" t="inlineStr">
        <is>
          <t>KRONOBERGS LÄN</t>
        </is>
      </c>
      <c r="E2543" t="inlineStr">
        <is>
          <t>MARKARYD</t>
        </is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47680-2023</t>
        </is>
      </c>
      <c r="B2544" s="1" t="n">
        <v>45203.60788194444</v>
      </c>
      <c r="C2544" s="1" t="n">
        <v>45957</v>
      </c>
      <c r="D2544" t="inlineStr">
        <is>
          <t>KRONOBERGS LÄN</t>
        </is>
      </c>
      <c r="E2544" t="inlineStr">
        <is>
          <t>MARKARYD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24685-2025</t>
        </is>
      </c>
      <c r="B2545" s="1" t="n">
        <v>45798.66282407408</v>
      </c>
      <c r="C2545" s="1" t="n">
        <v>45957</v>
      </c>
      <c r="D2545" t="inlineStr">
        <is>
          <t>KRONOBERGS LÄN</t>
        </is>
      </c>
      <c r="E2545" t="inlineStr">
        <is>
          <t>TINGSRYD</t>
        </is>
      </c>
      <c r="G2545" t="n">
        <v>9.199999999999999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24583-2025</t>
        </is>
      </c>
      <c r="B2546" s="1" t="n">
        <v>45798.50189814815</v>
      </c>
      <c r="C2546" s="1" t="n">
        <v>45957</v>
      </c>
      <c r="D2546" t="inlineStr">
        <is>
          <t>KRONOBERGS LÄN</t>
        </is>
      </c>
      <c r="E2546" t="inlineStr">
        <is>
          <t>LJUNGBY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1634-2025</t>
        </is>
      </c>
      <c r="B2547" s="1" t="n">
        <v>45670</v>
      </c>
      <c r="C2547" s="1" t="n">
        <v>45957</v>
      </c>
      <c r="D2547" t="inlineStr">
        <is>
          <t>KRONOBERGS LÄN</t>
        </is>
      </c>
      <c r="E2547" t="inlineStr">
        <is>
          <t>VÄXJÖ</t>
        </is>
      </c>
      <c r="F2547" t="inlineStr">
        <is>
          <t>Kyrkan</t>
        </is>
      </c>
      <c r="G2547" t="n">
        <v>1.1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1643-2025</t>
        </is>
      </c>
      <c r="B2548" s="1" t="n">
        <v>45670</v>
      </c>
      <c r="C2548" s="1" t="n">
        <v>45957</v>
      </c>
      <c r="D2548" t="inlineStr">
        <is>
          <t>KRONOBERGS LÄN</t>
        </is>
      </c>
      <c r="E2548" t="inlineStr">
        <is>
          <t>VÄXJÖ</t>
        </is>
      </c>
      <c r="G2548" t="n">
        <v>12.9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2023-2025</t>
        </is>
      </c>
      <c r="B2549" s="1" t="n">
        <v>45672.47678240741</v>
      </c>
      <c r="C2549" s="1" t="n">
        <v>45957</v>
      </c>
      <c r="D2549" t="inlineStr">
        <is>
          <t>KRONOBERGS LÄN</t>
        </is>
      </c>
      <c r="E2549" t="inlineStr">
        <is>
          <t>VÄXJÖ</t>
        </is>
      </c>
      <c r="G2549" t="n">
        <v>0.4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20335-2023</t>
        </is>
      </c>
      <c r="B2550" s="1" t="n">
        <v>45056.48001157407</v>
      </c>
      <c r="C2550" s="1" t="n">
        <v>45957</v>
      </c>
      <c r="D2550" t="inlineStr">
        <is>
          <t>KRONOBERGS LÄN</t>
        </is>
      </c>
      <c r="E2550" t="inlineStr">
        <is>
          <t>VÄXJÖ</t>
        </is>
      </c>
      <c r="G2550" t="n">
        <v>1.3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59366-2024</t>
        </is>
      </c>
      <c r="B2551" s="1" t="n">
        <v>45638.33574074074</v>
      </c>
      <c r="C2551" s="1" t="n">
        <v>45957</v>
      </c>
      <c r="D2551" t="inlineStr">
        <is>
          <t>KRONOBERGS LÄN</t>
        </is>
      </c>
      <c r="E2551" t="inlineStr">
        <is>
          <t>VÄXJÖ</t>
        </is>
      </c>
      <c r="G2551" t="n">
        <v>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71388-2021</t>
        </is>
      </c>
      <c r="B2552" s="1" t="n">
        <v>44540.33586805555</v>
      </c>
      <c r="C2552" s="1" t="n">
        <v>45957</v>
      </c>
      <c r="D2552" t="inlineStr">
        <is>
          <t>KRONOBERGS LÄN</t>
        </is>
      </c>
      <c r="E2552" t="inlineStr">
        <is>
          <t>TINGSRYD</t>
        </is>
      </c>
      <c r="G2552" t="n">
        <v>1.4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60157-2024</t>
        </is>
      </c>
      <c r="B2553" s="1" t="n">
        <v>45642.62440972222</v>
      </c>
      <c r="C2553" s="1" t="n">
        <v>45957</v>
      </c>
      <c r="D2553" t="inlineStr">
        <is>
          <t>KRONOBERGS LÄN</t>
        </is>
      </c>
      <c r="E2553" t="inlineStr">
        <is>
          <t>ALVESTA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28090-2024</t>
        </is>
      </c>
      <c r="B2554" s="1" t="n">
        <v>45476</v>
      </c>
      <c r="C2554" s="1" t="n">
        <v>45957</v>
      </c>
      <c r="D2554" t="inlineStr">
        <is>
          <t>KRONOBERGS LÄN</t>
        </is>
      </c>
      <c r="E2554" t="inlineStr">
        <is>
          <t>UPPVIDINGE</t>
        </is>
      </c>
      <c r="G2554" t="n">
        <v>4.6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24296-2025</t>
        </is>
      </c>
      <c r="B2555" s="1" t="n">
        <v>45797.47237268519</v>
      </c>
      <c r="C2555" s="1" t="n">
        <v>45957</v>
      </c>
      <c r="D2555" t="inlineStr">
        <is>
          <t>KRONOBERGS LÄN</t>
        </is>
      </c>
      <c r="E2555" t="inlineStr">
        <is>
          <t>MARKARYD</t>
        </is>
      </c>
      <c r="G2555" t="n">
        <v>1.4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8-2023</t>
        </is>
      </c>
      <c r="B2556" s="1" t="n">
        <v>44927.74953703704</v>
      </c>
      <c r="C2556" s="1" t="n">
        <v>45957</v>
      </c>
      <c r="D2556" t="inlineStr">
        <is>
          <t>KRONOBERGS LÄN</t>
        </is>
      </c>
      <c r="E2556" t="inlineStr">
        <is>
          <t>LJUNGBY</t>
        </is>
      </c>
      <c r="G2556" t="n">
        <v>0.8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60190-2020</t>
        </is>
      </c>
      <c r="B2557" s="1" t="n">
        <v>44152</v>
      </c>
      <c r="C2557" s="1" t="n">
        <v>45957</v>
      </c>
      <c r="D2557" t="inlineStr">
        <is>
          <t>KRONOBERGS LÄN</t>
        </is>
      </c>
      <c r="E2557" t="inlineStr">
        <is>
          <t>UPPVIDINGE</t>
        </is>
      </c>
      <c r="G2557" t="n">
        <v>2.2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10489-2024</t>
        </is>
      </c>
      <c r="B2558" s="1" t="n">
        <v>45366</v>
      </c>
      <c r="C2558" s="1" t="n">
        <v>45957</v>
      </c>
      <c r="D2558" t="inlineStr">
        <is>
          <t>KRONOBERGS LÄN</t>
        </is>
      </c>
      <c r="E2558" t="inlineStr">
        <is>
          <t>UPPVIDINGE</t>
        </is>
      </c>
      <c r="G2558" t="n">
        <v>3.8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61087-2020</t>
        </is>
      </c>
      <c r="B2559" s="1" t="n">
        <v>44154</v>
      </c>
      <c r="C2559" s="1" t="n">
        <v>45957</v>
      </c>
      <c r="D2559" t="inlineStr">
        <is>
          <t>KRONOBERGS LÄN</t>
        </is>
      </c>
      <c r="E2559" t="inlineStr">
        <is>
          <t>UPPVIDINGE</t>
        </is>
      </c>
      <c r="G2559" t="n">
        <v>2.6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24577-2025</t>
        </is>
      </c>
      <c r="B2560" s="1" t="n">
        <v>45798.48481481482</v>
      </c>
      <c r="C2560" s="1" t="n">
        <v>45957</v>
      </c>
      <c r="D2560" t="inlineStr">
        <is>
          <t>KRONOBERGS LÄN</t>
        </is>
      </c>
      <c r="E2560" t="inlineStr">
        <is>
          <t>MARKARYD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15063-2023</t>
        </is>
      </c>
      <c r="B2561" s="1" t="n">
        <v>45015</v>
      </c>
      <c r="C2561" s="1" t="n">
        <v>45957</v>
      </c>
      <c r="D2561" t="inlineStr">
        <is>
          <t>KRONOBERGS LÄN</t>
        </is>
      </c>
      <c r="E2561" t="inlineStr">
        <is>
          <t>ALVESTA</t>
        </is>
      </c>
      <c r="G2561" t="n">
        <v>2.2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37297-2023</t>
        </is>
      </c>
      <c r="B2562" s="1" t="n">
        <v>45156</v>
      </c>
      <c r="C2562" s="1" t="n">
        <v>45957</v>
      </c>
      <c r="D2562" t="inlineStr">
        <is>
          <t>KRONOBERGS LÄN</t>
        </is>
      </c>
      <c r="E2562" t="inlineStr">
        <is>
          <t>ÄLMHULT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35900-2023</t>
        </is>
      </c>
      <c r="B2563" s="1" t="n">
        <v>45148.62439814815</v>
      </c>
      <c r="C2563" s="1" t="n">
        <v>45957</v>
      </c>
      <c r="D2563" t="inlineStr">
        <is>
          <t>KRONOBERGS LÄN</t>
        </is>
      </c>
      <c r="E2563" t="inlineStr">
        <is>
          <t>LJUNGBY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602-2023</t>
        </is>
      </c>
      <c r="B2564" s="1" t="n">
        <v>44930.58310185185</v>
      </c>
      <c r="C2564" s="1" t="n">
        <v>45957</v>
      </c>
      <c r="D2564" t="inlineStr">
        <is>
          <t>KRONOBERGS LÄN</t>
        </is>
      </c>
      <c r="E2564" t="inlineStr">
        <is>
          <t>TINGSRYD</t>
        </is>
      </c>
      <c r="G2564" t="n">
        <v>1.8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57374-2022</t>
        </is>
      </c>
      <c r="B2565" s="1" t="n">
        <v>44896</v>
      </c>
      <c r="C2565" s="1" t="n">
        <v>45957</v>
      </c>
      <c r="D2565" t="inlineStr">
        <is>
          <t>KRONOBERGS LÄN</t>
        </is>
      </c>
      <c r="E2565" t="inlineStr">
        <is>
          <t>VÄXJÖ</t>
        </is>
      </c>
      <c r="G2565" t="n">
        <v>0.2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18998-2025</t>
        </is>
      </c>
      <c r="B2566" s="1" t="n">
        <v>45764</v>
      </c>
      <c r="C2566" s="1" t="n">
        <v>45957</v>
      </c>
      <c r="D2566" t="inlineStr">
        <is>
          <t>KRONOBERGS LÄN</t>
        </is>
      </c>
      <c r="E2566" t="inlineStr">
        <is>
          <t>VÄXJÖ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17737-2024</t>
        </is>
      </c>
      <c r="B2567" s="1" t="n">
        <v>45418.57553240741</v>
      </c>
      <c r="C2567" s="1" t="n">
        <v>45957</v>
      </c>
      <c r="D2567" t="inlineStr">
        <is>
          <t>KRONOBERGS LÄN</t>
        </is>
      </c>
      <c r="E2567" t="inlineStr">
        <is>
          <t>ALVESTA</t>
        </is>
      </c>
      <c r="G2567" t="n">
        <v>2.3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13896-2024</t>
        </is>
      </c>
      <c r="B2568" s="1" t="n">
        <v>45391.63950231481</v>
      </c>
      <c r="C2568" s="1" t="n">
        <v>45957</v>
      </c>
      <c r="D2568" t="inlineStr">
        <is>
          <t>KRONOBERGS LÄN</t>
        </is>
      </c>
      <c r="E2568" t="inlineStr">
        <is>
          <t>ALVESTA</t>
        </is>
      </c>
      <c r="G2568" t="n">
        <v>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39835-2023</t>
        </is>
      </c>
      <c r="B2569" s="1" t="n">
        <v>45168.33265046297</v>
      </c>
      <c r="C2569" s="1" t="n">
        <v>45957</v>
      </c>
      <c r="D2569" t="inlineStr">
        <is>
          <t>KRONOBERGS LÄN</t>
        </is>
      </c>
      <c r="E2569" t="inlineStr">
        <is>
          <t>LJUNGBY</t>
        </is>
      </c>
      <c r="G2569" t="n">
        <v>1.4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59052-2021</t>
        </is>
      </c>
      <c r="B2570" s="1" t="n">
        <v>44490.3678125</v>
      </c>
      <c r="C2570" s="1" t="n">
        <v>45957</v>
      </c>
      <c r="D2570" t="inlineStr">
        <is>
          <t>KRONOBERGS LÄN</t>
        </is>
      </c>
      <c r="E2570" t="inlineStr">
        <is>
          <t>ALVESTA</t>
        </is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25285-2025</t>
        </is>
      </c>
      <c r="B2571" s="1" t="n">
        <v>45800.56219907408</v>
      </c>
      <c r="C2571" s="1" t="n">
        <v>45957</v>
      </c>
      <c r="D2571" t="inlineStr">
        <is>
          <t>KRONOBERGS LÄN</t>
        </is>
      </c>
      <c r="E2571" t="inlineStr">
        <is>
          <t>MARKARYD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11590-2025</t>
        </is>
      </c>
      <c r="B2572" s="1" t="n">
        <v>45727</v>
      </c>
      <c r="C2572" s="1" t="n">
        <v>45957</v>
      </c>
      <c r="D2572" t="inlineStr">
        <is>
          <t>KRONOBERGS LÄN</t>
        </is>
      </c>
      <c r="E2572" t="inlineStr">
        <is>
          <t>LJUNGBY</t>
        </is>
      </c>
      <c r="G2572" t="n">
        <v>10.6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38447-2025</t>
        </is>
      </c>
      <c r="B2573" s="1" t="n">
        <v>45883.65811342592</v>
      </c>
      <c r="C2573" s="1" t="n">
        <v>45957</v>
      </c>
      <c r="D2573" t="inlineStr">
        <is>
          <t>KRONOBERGS LÄN</t>
        </is>
      </c>
      <c r="E2573" t="inlineStr">
        <is>
          <t>ÄLMHULT</t>
        </is>
      </c>
      <c r="G2573" t="n">
        <v>3.4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4171-2025</t>
        </is>
      </c>
      <c r="B2574" s="1" t="n">
        <v>45685.42418981482</v>
      </c>
      <c r="C2574" s="1" t="n">
        <v>45957</v>
      </c>
      <c r="D2574" t="inlineStr">
        <is>
          <t>KRONOBERGS LÄN</t>
        </is>
      </c>
      <c r="E2574" t="inlineStr">
        <is>
          <t>VÄXJÖ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53487-2024</t>
        </is>
      </c>
      <c r="B2575" s="1" t="n">
        <v>45611</v>
      </c>
      <c r="C2575" s="1" t="n">
        <v>45957</v>
      </c>
      <c r="D2575" t="inlineStr">
        <is>
          <t>KRONOBERGS LÄN</t>
        </is>
      </c>
      <c r="E2575" t="inlineStr">
        <is>
          <t>LESSEBO</t>
        </is>
      </c>
      <c r="G2575" t="n">
        <v>0.9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40909-2024</t>
        </is>
      </c>
      <c r="B2576" s="1" t="n">
        <v>45558.62405092592</v>
      </c>
      <c r="C2576" s="1" t="n">
        <v>45957</v>
      </c>
      <c r="D2576" t="inlineStr">
        <is>
          <t>KRONOBERGS LÄN</t>
        </is>
      </c>
      <c r="E2576" t="inlineStr">
        <is>
          <t>ÄLMHULT</t>
        </is>
      </c>
      <c r="G2576" t="n">
        <v>1.8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44166-2023</t>
        </is>
      </c>
      <c r="B2577" s="1" t="n">
        <v>45188.49305555555</v>
      </c>
      <c r="C2577" s="1" t="n">
        <v>45957</v>
      </c>
      <c r="D2577" t="inlineStr">
        <is>
          <t>KRONOBERGS LÄN</t>
        </is>
      </c>
      <c r="E2577" t="inlineStr">
        <is>
          <t>LJUNGBY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9912-2023</t>
        </is>
      </c>
      <c r="B2578" s="1" t="n">
        <v>44985</v>
      </c>
      <c r="C2578" s="1" t="n">
        <v>45957</v>
      </c>
      <c r="D2578" t="inlineStr">
        <is>
          <t>KRONOBERGS LÄN</t>
        </is>
      </c>
      <c r="E2578" t="inlineStr">
        <is>
          <t>LJUNGBY</t>
        </is>
      </c>
      <c r="G2578" t="n">
        <v>2.4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9919-2023</t>
        </is>
      </c>
      <c r="B2579" s="1" t="n">
        <v>44985</v>
      </c>
      <c r="C2579" s="1" t="n">
        <v>45957</v>
      </c>
      <c r="D2579" t="inlineStr">
        <is>
          <t>KRONOBERGS LÄN</t>
        </is>
      </c>
      <c r="E2579" t="inlineStr">
        <is>
          <t>LJUNGBY</t>
        </is>
      </c>
      <c r="G2579" t="n">
        <v>1.2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42931-2024</t>
        </is>
      </c>
      <c r="B2580" s="1" t="n">
        <v>45567.33017361111</v>
      </c>
      <c r="C2580" s="1" t="n">
        <v>45957</v>
      </c>
      <c r="D2580" t="inlineStr">
        <is>
          <t>KRONOBERGS LÄN</t>
        </is>
      </c>
      <c r="E2580" t="inlineStr">
        <is>
          <t>LJUNGBY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25280-2025</t>
        </is>
      </c>
      <c r="B2581" s="1" t="n">
        <v>45800.55723379629</v>
      </c>
      <c r="C2581" s="1" t="n">
        <v>45957</v>
      </c>
      <c r="D2581" t="inlineStr">
        <is>
          <t>KRONOBERGS LÄN</t>
        </is>
      </c>
      <c r="E2581" t="inlineStr">
        <is>
          <t>MARKARYD</t>
        </is>
      </c>
      <c r="G2581" t="n">
        <v>1.2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25290-2025</t>
        </is>
      </c>
      <c r="B2582" s="1" t="n">
        <v>45800.56369212963</v>
      </c>
      <c r="C2582" s="1" t="n">
        <v>45957</v>
      </c>
      <c r="D2582" t="inlineStr">
        <is>
          <t>KRONOBERGS LÄN</t>
        </is>
      </c>
      <c r="E2582" t="inlineStr">
        <is>
          <t>TINGSRYD</t>
        </is>
      </c>
      <c r="G2582" t="n">
        <v>2.4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25304-2025</t>
        </is>
      </c>
      <c r="B2583" s="1" t="n">
        <v>45800.57278935185</v>
      </c>
      <c r="C2583" s="1" t="n">
        <v>45957</v>
      </c>
      <c r="D2583" t="inlineStr">
        <is>
          <t>KRONOBERGS LÄN</t>
        </is>
      </c>
      <c r="E2583" t="inlineStr">
        <is>
          <t>TINGSRYD</t>
        </is>
      </c>
      <c r="G2583" t="n">
        <v>1.4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33222-2024</t>
        </is>
      </c>
      <c r="B2584" s="1" t="n">
        <v>45518.55765046296</v>
      </c>
      <c r="C2584" s="1" t="n">
        <v>45957</v>
      </c>
      <c r="D2584" t="inlineStr">
        <is>
          <t>KRONOBERGS LÄN</t>
        </is>
      </c>
      <c r="E2584" t="inlineStr">
        <is>
          <t>ALVESTA</t>
        </is>
      </c>
      <c r="G2584" t="n">
        <v>0.7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44564-2024</t>
        </is>
      </c>
      <c r="B2585" s="1" t="n">
        <v>45574.47497685185</v>
      </c>
      <c r="C2585" s="1" t="n">
        <v>45957</v>
      </c>
      <c r="D2585" t="inlineStr">
        <is>
          <t>KRONOBERGS LÄN</t>
        </is>
      </c>
      <c r="E2585" t="inlineStr">
        <is>
          <t>VÄXJÖ</t>
        </is>
      </c>
      <c r="G2585" t="n">
        <v>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37064-2024</t>
        </is>
      </c>
      <c r="B2586" s="1" t="n">
        <v>45539.46086805555</v>
      </c>
      <c r="C2586" s="1" t="n">
        <v>45957</v>
      </c>
      <c r="D2586" t="inlineStr">
        <is>
          <t>KRONOBERGS LÄN</t>
        </is>
      </c>
      <c r="E2586" t="inlineStr">
        <is>
          <t>ÄLMHULT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43846-2023</t>
        </is>
      </c>
      <c r="B2587" s="1" t="n">
        <v>45187.60013888889</v>
      </c>
      <c r="C2587" s="1" t="n">
        <v>45957</v>
      </c>
      <c r="D2587" t="inlineStr">
        <is>
          <t>KRONOBERGS LÄN</t>
        </is>
      </c>
      <c r="E2587" t="inlineStr">
        <is>
          <t>ÄLMHULT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48026-2024</t>
        </is>
      </c>
      <c r="B2588" s="1" t="n">
        <v>45589.48217592593</v>
      </c>
      <c r="C2588" s="1" t="n">
        <v>45957</v>
      </c>
      <c r="D2588" t="inlineStr">
        <is>
          <t>KRONOBERGS LÄN</t>
        </is>
      </c>
      <c r="E2588" t="inlineStr">
        <is>
          <t>ÄLMHULT</t>
        </is>
      </c>
      <c r="G2588" t="n">
        <v>1.5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54410-2024</t>
        </is>
      </c>
      <c r="B2589" s="1" t="n">
        <v>45617</v>
      </c>
      <c r="C2589" s="1" t="n">
        <v>45957</v>
      </c>
      <c r="D2589" t="inlineStr">
        <is>
          <t>KRONOBERGS LÄN</t>
        </is>
      </c>
      <c r="E2589" t="inlineStr">
        <is>
          <t>VÄXJÖ</t>
        </is>
      </c>
      <c r="F2589" t="inlineStr">
        <is>
          <t>Kommuner</t>
        </is>
      </c>
      <c r="G2589" t="n">
        <v>7.2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38300-2025</t>
        </is>
      </c>
      <c r="B2590" s="1" t="n">
        <v>45883.46064814815</v>
      </c>
      <c r="C2590" s="1" t="n">
        <v>45957</v>
      </c>
      <c r="D2590" t="inlineStr">
        <is>
          <t>KRONOBERGS LÄN</t>
        </is>
      </c>
      <c r="E2590" t="inlineStr">
        <is>
          <t>ÄLMHULT</t>
        </is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33844-2023</t>
        </is>
      </c>
      <c r="B2591" s="1" t="n">
        <v>45133.66960648148</v>
      </c>
      <c r="C2591" s="1" t="n">
        <v>45957</v>
      </c>
      <c r="D2591" t="inlineStr">
        <is>
          <t>KRONOBERGS LÄN</t>
        </is>
      </c>
      <c r="E2591" t="inlineStr">
        <is>
          <t>ÄLMHULT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53189-2024</t>
        </is>
      </c>
      <c r="B2592" s="1" t="n">
        <v>45611.70842592593</v>
      </c>
      <c r="C2592" s="1" t="n">
        <v>45957</v>
      </c>
      <c r="D2592" t="inlineStr">
        <is>
          <t>KRONOBERGS LÄN</t>
        </is>
      </c>
      <c r="E2592" t="inlineStr">
        <is>
          <t>VÄXJÖ</t>
        </is>
      </c>
      <c r="G2592" t="n">
        <v>0.4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11934-2023</t>
        </is>
      </c>
      <c r="B2593" s="1" t="n">
        <v>44995</v>
      </c>
      <c r="C2593" s="1" t="n">
        <v>45957</v>
      </c>
      <c r="D2593" t="inlineStr">
        <is>
          <t>KRONOBERGS LÄN</t>
        </is>
      </c>
      <c r="E2593" t="inlineStr">
        <is>
          <t>TINGSRYD</t>
        </is>
      </c>
      <c r="G2593" t="n">
        <v>1.5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2884-2025</t>
        </is>
      </c>
      <c r="B2594" s="1" t="n">
        <v>45677.70096064815</v>
      </c>
      <c r="C2594" s="1" t="n">
        <v>45957</v>
      </c>
      <c r="D2594" t="inlineStr">
        <is>
          <t>KRONOBERGS LÄN</t>
        </is>
      </c>
      <c r="E2594" t="inlineStr">
        <is>
          <t>UPPVIDINGE</t>
        </is>
      </c>
      <c r="G2594" t="n">
        <v>5.3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31528-2023</t>
        </is>
      </c>
      <c r="B2595" s="1" t="n">
        <v>45116.79090277778</v>
      </c>
      <c r="C2595" s="1" t="n">
        <v>45957</v>
      </c>
      <c r="D2595" t="inlineStr">
        <is>
          <t>KRONOBERGS LÄN</t>
        </is>
      </c>
      <c r="E2595" t="inlineStr">
        <is>
          <t>LJUNGBY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31529-2023</t>
        </is>
      </c>
      <c r="B2596" s="1" t="n">
        <v>45116.79268518519</v>
      </c>
      <c r="C2596" s="1" t="n">
        <v>45957</v>
      </c>
      <c r="D2596" t="inlineStr">
        <is>
          <t>KRONOBERGS LÄN</t>
        </is>
      </c>
      <c r="E2596" t="inlineStr">
        <is>
          <t>LJUNGBY</t>
        </is>
      </c>
      <c r="G2596" t="n">
        <v>0.4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41019-2024</t>
        </is>
      </c>
      <c r="B2597" s="1" t="n">
        <v>45559.33650462963</v>
      </c>
      <c r="C2597" s="1" t="n">
        <v>45957</v>
      </c>
      <c r="D2597" t="inlineStr">
        <is>
          <t>KRONOBERGS LÄN</t>
        </is>
      </c>
      <c r="E2597" t="inlineStr">
        <is>
          <t>VÄXJÖ</t>
        </is>
      </c>
      <c r="G2597" t="n">
        <v>0.5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9765-2025</t>
        </is>
      </c>
      <c r="B2598" s="1" t="n">
        <v>45716.48269675926</v>
      </c>
      <c r="C2598" s="1" t="n">
        <v>45957</v>
      </c>
      <c r="D2598" t="inlineStr">
        <is>
          <t>KRONOBERGS LÄN</t>
        </is>
      </c>
      <c r="E2598" t="inlineStr">
        <is>
          <t>ÄLMHULT</t>
        </is>
      </c>
      <c r="G2598" t="n">
        <v>0.7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40608-2024</t>
        </is>
      </c>
      <c r="B2599" s="1" t="n">
        <v>45556.88484953704</v>
      </c>
      <c r="C2599" s="1" t="n">
        <v>45957</v>
      </c>
      <c r="D2599" t="inlineStr">
        <is>
          <t>KRONOBERGS LÄN</t>
        </is>
      </c>
      <c r="E2599" t="inlineStr">
        <is>
          <t>MARKARYD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61491-2021</t>
        </is>
      </c>
      <c r="B2600" s="1" t="n">
        <v>44497</v>
      </c>
      <c r="C2600" s="1" t="n">
        <v>45957</v>
      </c>
      <c r="D2600" t="inlineStr">
        <is>
          <t>KRONOBERGS LÄN</t>
        </is>
      </c>
      <c r="E2600" t="inlineStr">
        <is>
          <t>UPPVIDINGE</t>
        </is>
      </c>
      <c r="G2600" t="n">
        <v>1.1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38471-2025</t>
        </is>
      </c>
      <c r="B2601" s="1" t="n">
        <v>45884.30076388889</v>
      </c>
      <c r="C2601" s="1" t="n">
        <v>45957</v>
      </c>
      <c r="D2601" t="inlineStr">
        <is>
          <t>KRONOBERGS LÄN</t>
        </is>
      </c>
      <c r="E2601" t="inlineStr">
        <is>
          <t>ÄLMHULT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10414-2025</t>
        </is>
      </c>
      <c r="B2602" s="1" t="n">
        <v>45720.63288194445</v>
      </c>
      <c r="C2602" s="1" t="n">
        <v>45957</v>
      </c>
      <c r="D2602" t="inlineStr">
        <is>
          <t>KRONOBERGS LÄN</t>
        </is>
      </c>
      <c r="E2602" t="inlineStr">
        <is>
          <t>LESSEBO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56958-2020</t>
        </is>
      </c>
      <c r="B2603" s="1" t="n">
        <v>44138</v>
      </c>
      <c r="C2603" s="1" t="n">
        <v>45957</v>
      </c>
      <c r="D2603" t="inlineStr">
        <is>
          <t>KRONOBERGS LÄN</t>
        </is>
      </c>
      <c r="E2603" t="inlineStr">
        <is>
          <t>VÄXJÖ</t>
        </is>
      </c>
      <c r="G2603" t="n">
        <v>2.1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38880-2023</t>
        </is>
      </c>
      <c r="B2604" s="1" t="n">
        <v>45161</v>
      </c>
      <c r="C2604" s="1" t="n">
        <v>45957</v>
      </c>
      <c r="D2604" t="inlineStr">
        <is>
          <t>KRONOBERGS LÄN</t>
        </is>
      </c>
      <c r="E2604" t="inlineStr">
        <is>
          <t>VÄXJÖ</t>
        </is>
      </c>
      <c r="G2604" t="n">
        <v>2.1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38890-2023</t>
        </is>
      </c>
      <c r="B2605" s="1" t="n">
        <v>45161</v>
      </c>
      <c r="C2605" s="1" t="n">
        <v>45957</v>
      </c>
      <c r="D2605" t="inlineStr">
        <is>
          <t>KRONOBERGS LÄN</t>
        </is>
      </c>
      <c r="E2605" t="inlineStr">
        <is>
          <t>ALVESTA</t>
        </is>
      </c>
      <c r="G2605" t="n">
        <v>4.7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24722-2025</t>
        </is>
      </c>
      <c r="B2606" s="1" t="n">
        <v>45799.30594907407</v>
      </c>
      <c r="C2606" s="1" t="n">
        <v>45957</v>
      </c>
      <c r="D2606" t="inlineStr">
        <is>
          <t>KRONOBERGS LÄN</t>
        </is>
      </c>
      <c r="E2606" t="inlineStr">
        <is>
          <t>ÄLMHULT</t>
        </is>
      </c>
      <c r="G2606" t="n">
        <v>3.8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37215-2023</t>
        </is>
      </c>
      <c r="B2607" s="1" t="n">
        <v>45155.72224537037</v>
      </c>
      <c r="C2607" s="1" t="n">
        <v>45957</v>
      </c>
      <c r="D2607" t="inlineStr">
        <is>
          <t>KRONOBERGS LÄN</t>
        </is>
      </c>
      <c r="E2607" t="inlineStr">
        <is>
          <t>TINGSRYD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24638-2024</t>
        </is>
      </c>
      <c r="B2608" s="1" t="n">
        <v>45460.54523148148</v>
      </c>
      <c r="C2608" s="1" t="n">
        <v>45957</v>
      </c>
      <c r="D2608" t="inlineStr">
        <is>
          <t>KRONOBERGS LÄN</t>
        </is>
      </c>
      <c r="E2608" t="inlineStr">
        <is>
          <t>ÄLMHULT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38476-2025</t>
        </is>
      </c>
      <c r="B2609" s="1" t="n">
        <v>45884.31721064815</v>
      </c>
      <c r="C2609" s="1" t="n">
        <v>45957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5522-2023</t>
        </is>
      </c>
      <c r="B2610" s="1" t="n">
        <v>44957</v>
      </c>
      <c r="C2610" s="1" t="n">
        <v>45957</v>
      </c>
      <c r="D2610" t="inlineStr">
        <is>
          <t>KRONOBERGS LÄN</t>
        </is>
      </c>
      <c r="E2610" t="inlineStr">
        <is>
          <t>ALVESTA</t>
        </is>
      </c>
      <c r="G2610" t="n">
        <v>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69752-2021</t>
        </is>
      </c>
      <c r="B2611" s="1" t="n">
        <v>44532</v>
      </c>
      <c r="C2611" s="1" t="n">
        <v>45957</v>
      </c>
      <c r="D2611" t="inlineStr">
        <is>
          <t>KRONOBERGS LÄN</t>
        </is>
      </c>
      <c r="E2611" t="inlineStr">
        <is>
          <t>VÄXJÖ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60849-2020</t>
        </is>
      </c>
      <c r="B2612" s="1" t="n">
        <v>44154</v>
      </c>
      <c r="C2612" s="1" t="n">
        <v>45957</v>
      </c>
      <c r="D2612" t="inlineStr">
        <is>
          <t>KRONOBERGS LÄN</t>
        </is>
      </c>
      <c r="E2612" t="inlineStr">
        <is>
          <t>UPPVIDINGE</t>
        </is>
      </c>
      <c r="G2612" t="n">
        <v>0.7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10889-2024</t>
        </is>
      </c>
      <c r="B2613" s="1" t="n">
        <v>45370.34275462963</v>
      </c>
      <c r="C2613" s="1" t="n">
        <v>45957</v>
      </c>
      <c r="D2613" t="inlineStr">
        <is>
          <t>KRONOBERGS LÄN</t>
        </is>
      </c>
      <c r="E2613" t="inlineStr">
        <is>
          <t>LJUNGBY</t>
        </is>
      </c>
      <c r="G2613" t="n">
        <v>1.9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887-2025</t>
        </is>
      </c>
      <c r="B2614" s="1" t="n">
        <v>45665.64802083333</v>
      </c>
      <c r="C2614" s="1" t="n">
        <v>45957</v>
      </c>
      <c r="D2614" t="inlineStr">
        <is>
          <t>KRONOBERGS LÄN</t>
        </is>
      </c>
      <c r="E2614" t="inlineStr">
        <is>
          <t>VÄXJÖ</t>
        </is>
      </c>
      <c r="G2614" t="n">
        <v>1.7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37318-2023</t>
        </is>
      </c>
      <c r="B2615" s="1" t="n">
        <v>45156</v>
      </c>
      <c r="C2615" s="1" t="n">
        <v>45957</v>
      </c>
      <c r="D2615" t="inlineStr">
        <is>
          <t>KRONOBERGS LÄN</t>
        </is>
      </c>
      <c r="E2615" t="inlineStr">
        <is>
          <t>LJUNGBY</t>
        </is>
      </c>
      <c r="G2615" t="n">
        <v>0.7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50503-2022</t>
        </is>
      </c>
      <c r="B2616" s="1" t="n">
        <v>44866.54954861111</v>
      </c>
      <c r="C2616" s="1" t="n">
        <v>45957</v>
      </c>
      <c r="D2616" t="inlineStr">
        <is>
          <t>KRONOBERGS LÄN</t>
        </is>
      </c>
      <c r="E2616" t="inlineStr">
        <is>
          <t>VÄXJÖ</t>
        </is>
      </c>
      <c r="G2616" t="n">
        <v>2.2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61141-2024</t>
        </is>
      </c>
      <c r="B2617" s="1" t="n">
        <v>45645.58603009259</v>
      </c>
      <c r="C2617" s="1" t="n">
        <v>45957</v>
      </c>
      <c r="D2617" t="inlineStr">
        <is>
          <t>KRONOBERGS LÄN</t>
        </is>
      </c>
      <c r="E2617" t="inlineStr">
        <is>
          <t>LJUNGBY</t>
        </is>
      </c>
      <c r="G2617" t="n">
        <v>5.3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8490-2024</t>
        </is>
      </c>
      <c r="B2618" s="1" t="n">
        <v>45355.43185185185</v>
      </c>
      <c r="C2618" s="1" t="n">
        <v>45957</v>
      </c>
      <c r="D2618" t="inlineStr">
        <is>
          <t>KRONOBERGS LÄN</t>
        </is>
      </c>
      <c r="E2618" t="inlineStr">
        <is>
          <t>ÄLMHULT</t>
        </is>
      </c>
      <c r="G2618" t="n">
        <v>0.4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8492-2024</t>
        </is>
      </c>
      <c r="B2619" s="1" t="n">
        <v>45355.44435185185</v>
      </c>
      <c r="C2619" s="1" t="n">
        <v>45957</v>
      </c>
      <c r="D2619" t="inlineStr">
        <is>
          <t>KRONOBERGS LÄN</t>
        </is>
      </c>
      <c r="E2619" t="inlineStr">
        <is>
          <t>ÄLMHULT</t>
        </is>
      </c>
      <c r="F2619" t="inlineStr">
        <is>
          <t>Sveaskog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25421-2025</t>
        </is>
      </c>
      <c r="B2620" s="1" t="n">
        <v>45800.69119212963</v>
      </c>
      <c r="C2620" s="1" t="n">
        <v>45957</v>
      </c>
      <c r="D2620" t="inlineStr">
        <is>
          <t>KRONOBERGS LÄN</t>
        </is>
      </c>
      <c r="E2620" t="inlineStr">
        <is>
          <t>MARKARYD</t>
        </is>
      </c>
      <c r="G2620" t="n">
        <v>1.7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25423-2025</t>
        </is>
      </c>
      <c r="B2621" s="1" t="n">
        <v>45800.69806712963</v>
      </c>
      <c r="C2621" s="1" t="n">
        <v>45957</v>
      </c>
      <c r="D2621" t="inlineStr">
        <is>
          <t>KRONOBERGS LÄN</t>
        </is>
      </c>
      <c r="E2621" t="inlineStr">
        <is>
          <t>MARKARYD</t>
        </is>
      </c>
      <c r="G2621" t="n">
        <v>2.7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15988-2024</t>
        </is>
      </c>
      <c r="B2622" s="1" t="n">
        <v>45405.59800925926</v>
      </c>
      <c r="C2622" s="1" t="n">
        <v>45957</v>
      </c>
      <c r="D2622" t="inlineStr">
        <is>
          <t>KRONOBERGS LÄN</t>
        </is>
      </c>
      <c r="E2622" t="inlineStr">
        <is>
          <t>ÄLMHULT</t>
        </is>
      </c>
      <c r="G2622" t="n">
        <v>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1618-2023</t>
        </is>
      </c>
      <c r="B2623" s="1" t="n">
        <v>44937.71841435185</v>
      </c>
      <c r="C2623" s="1" t="n">
        <v>45957</v>
      </c>
      <c r="D2623" t="inlineStr">
        <is>
          <t>KRONOBERGS LÄN</t>
        </is>
      </c>
      <c r="E2623" t="inlineStr">
        <is>
          <t>LJUNGBY</t>
        </is>
      </c>
      <c r="G2623" t="n">
        <v>4.6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6835-2024</t>
        </is>
      </c>
      <c r="B2624" s="1" t="n">
        <v>45342.61508101852</v>
      </c>
      <c r="C2624" s="1" t="n">
        <v>45957</v>
      </c>
      <c r="D2624" t="inlineStr">
        <is>
          <t>KRONOBERGS LÄN</t>
        </is>
      </c>
      <c r="E2624" t="inlineStr">
        <is>
          <t>ALVESTA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6837-2024</t>
        </is>
      </c>
      <c r="B2625" s="1" t="n">
        <v>45342.61726851852</v>
      </c>
      <c r="C2625" s="1" t="n">
        <v>45957</v>
      </c>
      <c r="D2625" t="inlineStr">
        <is>
          <t>KRONOBERGS LÄN</t>
        </is>
      </c>
      <c r="E2625" t="inlineStr">
        <is>
          <t>TINGSRYD</t>
        </is>
      </c>
      <c r="G2625" t="n">
        <v>1.2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5265-2025</t>
        </is>
      </c>
      <c r="B2626" s="1" t="n">
        <v>45692.37760416666</v>
      </c>
      <c r="C2626" s="1" t="n">
        <v>45957</v>
      </c>
      <c r="D2626" t="inlineStr">
        <is>
          <t>KRONOBERGS LÄN</t>
        </is>
      </c>
      <c r="E2626" t="inlineStr">
        <is>
          <t>TINGSRYD</t>
        </is>
      </c>
      <c r="G2626" t="n">
        <v>4.7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7143-2025</t>
        </is>
      </c>
      <c r="B2627" s="1" t="n">
        <v>45702.37107638889</v>
      </c>
      <c r="C2627" s="1" t="n">
        <v>45957</v>
      </c>
      <c r="D2627" t="inlineStr">
        <is>
          <t>KRONOBERGS LÄN</t>
        </is>
      </c>
      <c r="E2627" t="inlineStr">
        <is>
          <t>ÄLMHULT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6840-2024</t>
        </is>
      </c>
      <c r="B2628" s="1" t="n">
        <v>45342.62074074074</v>
      </c>
      <c r="C2628" s="1" t="n">
        <v>45957</v>
      </c>
      <c r="D2628" t="inlineStr">
        <is>
          <t>KRONOBERGS LÄN</t>
        </is>
      </c>
      <c r="E2628" t="inlineStr">
        <is>
          <t>ALVESTA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25092-2025</t>
        </is>
      </c>
      <c r="B2629" s="1" t="n">
        <v>45800.31851851852</v>
      </c>
      <c r="C2629" s="1" t="n">
        <v>45957</v>
      </c>
      <c r="D2629" t="inlineStr">
        <is>
          <t>KRONOBERGS LÄN</t>
        </is>
      </c>
      <c r="E2629" t="inlineStr">
        <is>
          <t>MARKARYD</t>
        </is>
      </c>
      <c r="G2629" t="n">
        <v>1.5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8949-2023</t>
        </is>
      </c>
      <c r="B2630" s="1" t="n">
        <v>44979.46550925926</v>
      </c>
      <c r="C2630" s="1" t="n">
        <v>45957</v>
      </c>
      <c r="D2630" t="inlineStr">
        <is>
          <t>KRONOBERGS LÄN</t>
        </is>
      </c>
      <c r="E2630" t="inlineStr">
        <is>
          <t>ÄLMHULT</t>
        </is>
      </c>
      <c r="G2630" t="n">
        <v>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2048-2022</t>
        </is>
      </c>
      <c r="B2631" s="1" t="n">
        <v>44575</v>
      </c>
      <c r="C2631" s="1" t="n">
        <v>45957</v>
      </c>
      <c r="D2631" t="inlineStr">
        <is>
          <t>KRONOBERGS LÄN</t>
        </is>
      </c>
      <c r="E2631" t="inlineStr">
        <is>
          <t>TINGSRYD</t>
        </is>
      </c>
      <c r="G2631" t="n">
        <v>2.1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25165-2025</t>
        </is>
      </c>
      <c r="B2632" s="1" t="n">
        <v>45800.43210648148</v>
      </c>
      <c r="C2632" s="1" t="n">
        <v>45957</v>
      </c>
      <c r="D2632" t="inlineStr">
        <is>
          <t>KRONOBERGS LÄN</t>
        </is>
      </c>
      <c r="E2632" t="inlineStr">
        <is>
          <t>TINGSRYD</t>
        </is>
      </c>
      <c r="G2632" t="n">
        <v>5.1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46554-2024</t>
        </is>
      </c>
      <c r="B2633" s="1" t="n">
        <v>45582.66775462963</v>
      </c>
      <c r="C2633" s="1" t="n">
        <v>45957</v>
      </c>
      <c r="D2633" t="inlineStr">
        <is>
          <t>KRONOBERGS LÄN</t>
        </is>
      </c>
      <c r="E2633" t="inlineStr">
        <is>
          <t>MARKARYD</t>
        </is>
      </c>
      <c r="G2633" t="n">
        <v>1.2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418-2025</t>
        </is>
      </c>
      <c r="B2634" s="1" t="n">
        <v>45663.86024305555</v>
      </c>
      <c r="C2634" s="1" t="n">
        <v>45957</v>
      </c>
      <c r="D2634" t="inlineStr">
        <is>
          <t>KRONOBERGS LÄN</t>
        </is>
      </c>
      <c r="E2634" t="inlineStr">
        <is>
          <t>ÄLMHULT</t>
        </is>
      </c>
      <c r="G2634" t="n">
        <v>2.7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25294-2025</t>
        </is>
      </c>
      <c r="B2635" s="1" t="n">
        <v>45800.56804398148</v>
      </c>
      <c r="C2635" s="1" t="n">
        <v>45957</v>
      </c>
      <c r="D2635" t="inlineStr">
        <is>
          <t>KRONOBERGS LÄN</t>
        </is>
      </c>
      <c r="E2635" t="inlineStr">
        <is>
          <t>MARKARYD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9674-2024</t>
        </is>
      </c>
      <c r="B2636" s="1" t="n">
        <v>45362</v>
      </c>
      <c r="C2636" s="1" t="n">
        <v>45957</v>
      </c>
      <c r="D2636" t="inlineStr">
        <is>
          <t>KRONOBERGS LÄN</t>
        </is>
      </c>
      <c r="E2636" t="inlineStr">
        <is>
          <t>ALVESTA</t>
        </is>
      </c>
      <c r="G2636" t="n">
        <v>5.1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25303-2025</t>
        </is>
      </c>
      <c r="B2637" s="1" t="n">
        <v>45800.57162037037</v>
      </c>
      <c r="C2637" s="1" t="n">
        <v>45957</v>
      </c>
      <c r="D2637" t="inlineStr">
        <is>
          <t>KRONOBERGS LÄN</t>
        </is>
      </c>
      <c r="E2637" t="inlineStr">
        <is>
          <t>MARKARYD</t>
        </is>
      </c>
      <c r="G2637" t="n">
        <v>3.3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42232-2024</t>
        </is>
      </c>
      <c r="B2638" s="1" t="n">
        <v>45562.55799768519</v>
      </c>
      <c r="C2638" s="1" t="n">
        <v>45957</v>
      </c>
      <c r="D2638" t="inlineStr">
        <is>
          <t>KRONOBERGS LÄN</t>
        </is>
      </c>
      <c r="E2638" t="inlineStr">
        <is>
          <t>LJUNGBY</t>
        </is>
      </c>
      <c r="G2638" t="n">
        <v>1.4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26828-2024</t>
        </is>
      </c>
      <c r="B2639" s="1" t="n">
        <v>45470</v>
      </c>
      <c r="C2639" s="1" t="n">
        <v>45957</v>
      </c>
      <c r="D2639" t="inlineStr">
        <is>
          <t>KRONOBERGS LÄN</t>
        </is>
      </c>
      <c r="E2639" t="inlineStr">
        <is>
          <t>LJUNGBY</t>
        </is>
      </c>
      <c r="G2639" t="n">
        <v>1.5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40642-2022</t>
        </is>
      </c>
      <c r="B2640" s="1" t="n">
        <v>44824.31822916667</v>
      </c>
      <c r="C2640" s="1" t="n">
        <v>45957</v>
      </c>
      <c r="D2640" t="inlineStr">
        <is>
          <t>KRONOBERGS LÄN</t>
        </is>
      </c>
      <c r="E2640" t="inlineStr">
        <is>
          <t>VÄXJÖ</t>
        </is>
      </c>
      <c r="G2640" t="n">
        <v>1.5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10283-2025</t>
        </is>
      </c>
      <c r="B2641" s="1" t="n">
        <v>45720.40681712963</v>
      </c>
      <c r="C2641" s="1" t="n">
        <v>45957</v>
      </c>
      <c r="D2641" t="inlineStr">
        <is>
          <t>KRONOBERGS LÄN</t>
        </is>
      </c>
      <c r="E2641" t="inlineStr">
        <is>
          <t>UPPVIDINGE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33059-2024</t>
        </is>
      </c>
      <c r="B2642" s="1" t="n">
        <v>45517</v>
      </c>
      <c r="C2642" s="1" t="n">
        <v>45957</v>
      </c>
      <c r="D2642" t="inlineStr">
        <is>
          <t>KRONOBERGS LÄN</t>
        </is>
      </c>
      <c r="E2642" t="inlineStr">
        <is>
          <t>ALVESTA</t>
        </is>
      </c>
      <c r="F2642" t="inlineStr">
        <is>
          <t>Kyrkan</t>
        </is>
      </c>
      <c r="G2642" t="n">
        <v>0.9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25393-2025</t>
        </is>
      </c>
      <c r="B2643" s="1" t="n">
        <v>45800.64748842592</v>
      </c>
      <c r="C2643" s="1" t="n">
        <v>45957</v>
      </c>
      <c r="D2643" t="inlineStr">
        <is>
          <t>KRONOBERGS LÄN</t>
        </is>
      </c>
      <c r="E2643" t="inlineStr">
        <is>
          <t>ALVESTA</t>
        </is>
      </c>
      <c r="G2643" t="n">
        <v>0.8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33713-2025</t>
        </is>
      </c>
      <c r="B2644" s="1" t="n">
        <v>45841.85952546296</v>
      </c>
      <c r="C2644" s="1" t="n">
        <v>45957</v>
      </c>
      <c r="D2644" t="inlineStr">
        <is>
          <t>KRONOBERGS LÄN</t>
        </is>
      </c>
      <c r="E2644" t="inlineStr">
        <is>
          <t>VÄXJÖ</t>
        </is>
      </c>
      <c r="G2644" t="n">
        <v>2.2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6489-2022</t>
        </is>
      </c>
      <c r="B2645" s="1" t="n">
        <v>44601</v>
      </c>
      <c r="C2645" s="1" t="n">
        <v>45957</v>
      </c>
      <c r="D2645" t="inlineStr">
        <is>
          <t>KRONOBERGS LÄN</t>
        </is>
      </c>
      <c r="E2645" t="inlineStr">
        <is>
          <t>ALVESTA</t>
        </is>
      </c>
      <c r="G2645" t="n">
        <v>0.1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9838-2022</t>
        </is>
      </c>
      <c r="B2646" s="1" t="n">
        <v>44620</v>
      </c>
      <c r="C2646" s="1" t="n">
        <v>45957</v>
      </c>
      <c r="D2646" t="inlineStr">
        <is>
          <t>KRONOBERGS LÄN</t>
        </is>
      </c>
      <c r="E2646" t="inlineStr">
        <is>
          <t>TINGSRYD</t>
        </is>
      </c>
      <c r="F2646" t="inlineStr">
        <is>
          <t>Kommuner</t>
        </is>
      </c>
      <c r="G2646" t="n">
        <v>1.8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63369-2023</t>
        </is>
      </c>
      <c r="B2647" s="1" t="n">
        <v>45273</v>
      </c>
      <c r="C2647" s="1" t="n">
        <v>45957</v>
      </c>
      <c r="D2647" t="inlineStr">
        <is>
          <t>KRONOBERGS LÄN</t>
        </is>
      </c>
      <c r="E2647" t="inlineStr">
        <is>
          <t>LJUNGBY</t>
        </is>
      </c>
      <c r="G2647" t="n">
        <v>0.8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9528-2021</t>
        </is>
      </c>
      <c r="B2648" s="1" t="n">
        <v>44251</v>
      </c>
      <c r="C2648" s="1" t="n">
        <v>45957</v>
      </c>
      <c r="D2648" t="inlineStr">
        <is>
          <t>KRONOBERGS LÄN</t>
        </is>
      </c>
      <c r="E2648" t="inlineStr">
        <is>
          <t>LJUNGBY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38246-2023</t>
        </is>
      </c>
      <c r="B2649" s="1" t="n">
        <v>45160</v>
      </c>
      <c r="C2649" s="1" t="n">
        <v>45957</v>
      </c>
      <c r="D2649" t="inlineStr">
        <is>
          <t>KRONOBERGS LÄN</t>
        </is>
      </c>
      <c r="E2649" t="inlineStr">
        <is>
          <t>TINGSRYD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27789-2023</t>
        </is>
      </c>
      <c r="B2650" s="1" t="n">
        <v>45098.44975694444</v>
      </c>
      <c r="C2650" s="1" t="n">
        <v>45957</v>
      </c>
      <c r="D2650" t="inlineStr">
        <is>
          <t>KRONOBERGS LÄN</t>
        </is>
      </c>
      <c r="E2650" t="inlineStr">
        <is>
          <t>UPPVIDINGE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63448-2023</t>
        </is>
      </c>
      <c r="B2651" s="1" t="n">
        <v>45274.61003472222</v>
      </c>
      <c r="C2651" s="1" t="n">
        <v>45957</v>
      </c>
      <c r="D2651" t="inlineStr">
        <is>
          <t>KRONOBERGS LÄN</t>
        </is>
      </c>
      <c r="E2651" t="inlineStr">
        <is>
          <t>TINGSRYD</t>
        </is>
      </c>
      <c r="G2651" t="n">
        <v>3.1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57484-2020</t>
        </is>
      </c>
      <c r="B2652" s="1" t="n">
        <v>44140</v>
      </c>
      <c r="C2652" s="1" t="n">
        <v>45957</v>
      </c>
      <c r="D2652" t="inlineStr">
        <is>
          <t>KRONOBERGS LÄN</t>
        </is>
      </c>
      <c r="E2652" t="inlineStr">
        <is>
          <t>LJUNGBY</t>
        </is>
      </c>
      <c r="F2652" t="inlineStr">
        <is>
          <t>Sveaskog</t>
        </is>
      </c>
      <c r="G2652" t="n">
        <v>2.1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44672-2023</t>
        </is>
      </c>
      <c r="B2653" s="1" t="n">
        <v>45189.7607175926</v>
      </c>
      <c r="C2653" s="1" t="n">
        <v>45957</v>
      </c>
      <c r="D2653" t="inlineStr">
        <is>
          <t>KRONOBERGS LÄN</t>
        </is>
      </c>
      <c r="E2653" t="inlineStr">
        <is>
          <t>ÄLMHULT</t>
        </is>
      </c>
      <c r="G2653" t="n">
        <v>1.9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36242-2024</t>
        </is>
      </c>
      <c r="B2654" s="1" t="n">
        <v>45534</v>
      </c>
      <c r="C2654" s="1" t="n">
        <v>45957</v>
      </c>
      <c r="D2654" t="inlineStr">
        <is>
          <t>KRONOBERGS LÄN</t>
        </is>
      </c>
      <c r="E2654" t="inlineStr">
        <is>
          <t>UPPVIDINGE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25012-2025</t>
        </is>
      </c>
      <c r="B2655" s="1" t="n">
        <v>45799.62875</v>
      </c>
      <c r="C2655" s="1" t="n">
        <v>45957</v>
      </c>
      <c r="D2655" t="inlineStr">
        <is>
          <t>KRONOBERGS LÄN</t>
        </is>
      </c>
      <c r="E2655" t="inlineStr">
        <is>
          <t>MARKARYD</t>
        </is>
      </c>
      <c r="G2655" t="n">
        <v>1.7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39239-2023</t>
        </is>
      </c>
      <c r="B2656" s="1" t="n">
        <v>45162</v>
      </c>
      <c r="C2656" s="1" t="n">
        <v>45957</v>
      </c>
      <c r="D2656" t="inlineStr">
        <is>
          <t>KRONOBERGS LÄN</t>
        </is>
      </c>
      <c r="E2656" t="inlineStr">
        <is>
          <t>UPPVIDINGE</t>
        </is>
      </c>
      <c r="G2656" t="n">
        <v>1.8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33204-2023</t>
        </is>
      </c>
      <c r="B2657" s="1" t="n">
        <v>45127.42803240741</v>
      </c>
      <c r="C2657" s="1" t="n">
        <v>45957</v>
      </c>
      <c r="D2657" t="inlineStr">
        <is>
          <t>KRONOBERGS LÄN</t>
        </is>
      </c>
      <c r="E2657" t="inlineStr">
        <is>
          <t>VÄXJÖ</t>
        </is>
      </c>
      <c r="G2657" t="n">
        <v>3.4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28843-2024</t>
        </is>
      </c>
      <c r="B2658" s="1" t="n">
        <v>45478.71304398148</v>
      </c>
      <c r="C2658" s="1" t="n">
        <v>45957</v>
      </c>
      <c r="D2658" t="inlineStr">
        <is>
          <t>KRONOBERGS LÄN</t>
        </is>
      </c>
      <c r="E2658" t="inlineStr">
        <is>
          <t>TINGSRYD</t>
        </is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35854-2024</t>
        </is>
      </c>
      <c r="B2659" s="1" t="n">
        <v>45533.27699074074</v>
      </c>
      <c r="C2659" s="1" t="n">
        <v>45957</v>
      </c>
      <c r="D2659" t="inlineStr">
        <is>
          <t>KRONOBERGS LÄN</t>
        </is>
      </c>
      <c r="E2659" t="inlineStr">
        <is>
          <t>TINGSRYD</t>
        </is>
      </c>
      <c r="G2659" t="n">
        <v>0.9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35963-2024</t>
        </is>
      </c>
      <c r="B2660" s="1" t="n">
        <v>45533</v>
      </c>
      <c r="C2660" s="1" t="n">
        <v>45957</v>
      </c>
      <c r="D2660" t="inlineStr">
        <is>
          <t>KRONOBERGS LÄN</t>
        </is>
      </c>
      <c r="E2660" t="inlineStr">
        <is>
          <t>LJUNGBY</t>
        </is>
      </c>
      <c r="F2660" t="inlineStr">
        <is>
          <t>Kyrkan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33240-2024</t>
        </is>
      </c>
      <c r="B2661" s="1" t="n">
        <v>45518.60223379629</v>
      </c>
      <c r="C2661" s="1" t="n">
        <v>45957</v>
      </c>
      <c r="D2661" t="inlineStr">
        <is>
          <t>KRONOBERGS LÄN</t>
        </is>
      </c>
      <c r="E2661" t="inlineStr">
        <is>
          <t>LESSEBO</t>
        </is>
      </c>
      <c r="G2661" t="n">
        <v>7.4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28226-2024</t>
        </is>
      </c>
      <c r="B2662" s="1" t="n">
        <v>45477.37409722222</v>
      </c>
      <c r="C2662" s="1" t="n">
        <v>45957</v>
      </c>
      <c r="D2662" t="inlineStr">
        <is>
          <t>KRONOBERGS LÄN</t>
        </is>
      </c>
      <c r="E2662" t="inlineStr">
        <is>
          <t>TINGSRYD</t>
        </is>
      </c>
      <c r="G2662" t="n">
        <v>3.3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50297-2023</t>
        </is>
      </c>
      <c r="B2663" s="1" t="n">
        <v>45216.48012731481</v>
      </c>
      <c r="C2663" s="1" t="n">
        <v>45957</v>
      </c>
      <c r="D2663" t="inlineStr">
        <is>
          <t>KRONOBERGS LÄN</t>
        </is>
      </c>
      <c r="E2663" t="inlineStr">
        <is>
          <t>MARKARYD</t>
        </is>
      </c>
      <c r="G2663" t="n">
        <v>0.5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7706-2024</t>
        </is>
      </c>
      <c r="B2664" s="1" t="n">
        <v>45349</v>
      </c>
      <c r="C2664" s="1" t="n">
        <v>45957</v>
      </c>
      <c r="D2664" t="inlineStr">
        <is>
          <t>KRONOBERGS LÄN</t>
        </is>
      </c>
      <c r="E2664" t="inlineStr">
        <is>
          <t>ALVESTA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14283-2023</t>
        </is>
      </c>
      <c r="B2665" s="1" t="n">
        <v>45010.45270833333</v>
      </c>
      <c r="C2665" s="1" t="n">
        <v>45957</v>
      </c>
      <c r="D2665" t="inlineStr">
        <is>
          <t>KRONOBERGS LÄN</t>
        </is>
      </c>
      <c r="E2665" t="inlineStr">
        <is>
          <t>ÄLMHULT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65581-2021</t>
        </is>
      </c>
      <c r="B2666" s="1" t="n">
        <v>44516</v>
      </c>
      <c r="C2666" s="1" t="n">
        <v>45957</v>
      </c>
      <c r="D2666" t="inlineStr">
        <is>
          <t>KRONOBERGS LÄN</t>
        </is>
      </c>
      <c r="E2666" t="inlineStr">
        <is>
          <t>MARKARYD</t>
        </is>
      </c>
      <c r="G2666" t="n">
        <v>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42315-2023</t>
        </is>
      </c>
      <c r="B2667" s="1" t="n">
        <v>45180.46916666667</v>
      </c>
      <c r="C2667" s="1" t="n">
        <v>45957</v>
      </c>
      <c r="D2667" t="inlineStr">
        <is>
          <t>KRONOBERGS LÄN</t>
        </is>
      </c>
      <c r="E2667" t="inlineStr">
        <is>
          <t>TINGSRYD</t>
        </is>
      </c>
      <c r="G2667" t="n">
        <v>3.8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50186-2023</t>
        </is>
      </c>
      <c r="B2668" s="1" t="n">
        <v>45215.7849074074</v>
      </c>
      <c r="C2668" s="1" t="n">
        <v>45957</v>
      </c>
      <c r="D2668" t="inlineStr">
        <is>
          <t>KRONOBERGS LÄN</t>
        </is>
      </c>
      <c r="E2668" t="inlineStr">
        <is>
          <t>LJUNGBY</t>
        </is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38921-2024</t>
        </is>
      </c>
      <c r="B2669" s="1" t="n">
        <v>45547</v>
      </c>
      <c r="C2669" s="1" t="n">
        <v>45957</v>
      </c>
      <c r="D2669" t="inlineStr">
        <is>
          <t>KRONOBERGS LÄN</t>
        </is>
      </c>
      <c r="E2669" t="inlineStr">
        <is>
          <t>MARKARYD</t>
        </is>
      </c>
      <c r="F2669" t="inlineStr">
        <is>
          <t>Kyrkan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42054-2024</t>
        </is>
      </c>
      <c r="B2670" s="1" t="n">
        <v>45561.88243055555</v>
      </c>
      <c r="C2670" s="1" t="n">
        <v>45957</v>
      </c>
      <c r="D2670" t="inlineStr">
        <is>
          <t>KRONOBERGS LÄN</t>
        </is>
      </c>
      <c r="E2670" t="inlineStr">
        <is>
          <t>LJUNGBY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15925-2025</t>
        </is>
      </c>
      <c r="B2671" s="1" t="n">
        <v>45749.46461805556</v>
      </c>
      <c r="C2671" s="1" t="n">
        <v>45957</v>
      </c>
      <c r="D2671" t="inlineStr">
        <is>
          <t>KRONOBERGS LÄN</t>
        </is>
      </c>
      <c r="E2671" t="inlineStr">
        <is>
          <t>UPPVIDINGE</t>
        </is>
      </c>
      <c r="G2671" t="n">
        <v>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34464-2023</t>
        </is>
      </c>
      <c r="B2672" s="1" t="n">
        <v>45139.7190625</v>
      </c>
      <c r="C2672" s="1" t="n">
        <v>45957</v>
      </c>
      <c r="D2672" t="inlineStr">
        <is>
          <t>KRONOBERGS LÄN</t>
        </is>
      </c>
      <c r="E2672" t="inlineStr">
        <is>
          <t>VÄXJÖ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25348-2025</t>
        </is>
      </c>
      <c r="B2673" s="1" t="n">
        <v>45800.6135300926</v>
      </c>
      <c r="C2673" s="1" t="n">
        <v>45957</v>
      </c>
      <c r="D2673" t="inlineStr">
        <is>
          <t>KRONOBERGS LÄN</t>
        </is>
      </c>
      <c r="E2673" t="inlineStr">
        <is>
          <t>UPPVIDINGE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15278-2025</t>
        </is>
      </c>
      <c r="B2674" s="1" t="n">
        <v>45744.68833333333</v>
      </c>
      <c r="C2674" s="1" t="n">
        <v>45957</v>
      </c>
      <c r="D2674" t="inlineStr">
        <is>
          <t>KRONOBERGS LÄN</t>
        </is>
      </c>
      <c r="E2674" t="inlineStr">
        <is>
          <t>MARKARYD</t>
        </is>
      </c>
      <c r="G2674" t="n">
        <v>7.5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48675-2024</t>
        </is>
      </c>
      <c r="B2675" s="1" t="n">
        <v>45593</v>
      </c>
      <c r="C2675" s="1" t="n">
        <v>45957</v>
      </c>
      <c r="D2675" t="inlineStr">
        <is>
          <t>KRONOBERGS LÄN</t>
        </is>
      </c>
      <c r="E2675" t="inlineStr">
        <is>
          <t>LJUNGBY</t>
        </is>
      </c>
      <c r="F2675" t="inlineStr">
        <is>
          <t>Sveaskog</t>
        </is>
      </c>
      <c r="G2675" t="n">
        <v>0.7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48731-2024</t>
        </is>
      </c>
      <c r="B2676" s="1" t="n">
        <v>45593</v>
      </c>
      <c r="C2676" s="1" t="n">
        <v>45957</v>
      </c>
      <c r="D2676" t="inlineStr">
        <is>
          <t>KRONOBERGS LÄN</t>
        </is>
      </c>
      <c r="E2676" t="inlineStr">
        <is>
          <t>LJUNGBY</t>
        </is>
      </c>
      <c r="F2676" t="inlineStr">
        <is>
          <t>Sveaskog</t>
        </is>
      </c>
      <c r="G2676" t="n">
        <v>1.5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43114-2024</t>
        </is>
      </c>
      <c r="B2677" s="1" t="n">
        <v>45567</v>
      </c>
      <c r="C2677" s="1" t="n">
        <v>45957</v>
      </c>
      <c r="D2677" t="inlineStr">
        <is>
          <t>KRONOBERGS LÄN</t>
        </is>
      </c>
      <c r="E2677" t="inlineStr">
        <is>
          <t>LESSEBO</t>
        </is>
      </c>
      <c r="F2677" t="inlineStr">
        <is>
          <t>Sveaskog</t>
        </is>
      </c>
      <c r="G2677" t="n">
        <v>4.6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30680-2023</t>
        </is>
      </c>
      <c r="B2678" s="1" t="n">
        <v>45112</v>
      </c>
      <c r="C2678" s="1" t="n">
        <v>45957</v>
      </c>
      <c r="D2678" t="inlineStr">
        <is>
          <t>KRONOBERGS LÄN</t>
        </is>
      </c>
      <c r="E2678" t="inlineStr">
        <is>
          <t>VÄXJÖ</t>
        </is>
      </c>
      <c r="G2678" t="n">
        <v>0.5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47462-2024</t>
        </is>
      </c>
      <c r="B2679" s="1" t="n">
        <v>45587.56011574074</v>
      </c>
      <c r="C2679" s="1" t="n">
        <v>45957</v>
      </c>
      <c r="D2679" t="inlineStr">
        <is>
          <t>KRONOBERGS LÄN</t>
        </is>
      </c>
      <c r="E2679" t="inlineStr">
        <is>
          <t>ALVESTA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45288-2023</t>
        </is>
      </c>
      <c r="B2680" s="1" t="n">
        <v>45191.65244212963</v>
      </c>
      <c r="C2680" s="1" t="n">
        <v>45957</v>
      </c>
      <c r="D2680" t="inlineStr">
        <is>
          <t>KRONOBERGS LÄN</t>
        </is>
      </c>
      <c r="E2680" t="inlineStr">
        <is>
          <t>MARKARYD</t>
        </is>
      </c>
      <c r="G2680" t="n">
        <v>0.8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22534-2024</t>
        </is>
      </c>
      <c r="B2681" s="1" t="n">
        <v>45447.46472222222</v>
      </c>
      <c r="C2681" s="1" t="n">
        <v>45957</v>
      </c>
      <c r="D2681" t="inlineStr">
        <is>
          <t>KRONOBERGS LÄN</t>
        </is>
      </c>
      <c r="E2681" t="inlineStr">
        <is>
          <t>ALVESTA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50568-2023</t>
        </is>
      </c>
      <c r="B2682" s="1" t="n">
        <v>45217.3809837963</v>
      </c>
      <c r="C2682" s="1" t="n">
        <v>45957</v>
      </c>
      <c r="D2682" t="inlineStr">
        <is>
          <t>KRONOBERGS LÄN</t>
        </is>
      </c>
      <c r="E2682" t="inlineStr">
        <is>
          <t>LJUNGBY</t>
        </is>
      </c>
      <c r="G2682" t="n">
        <v>2.7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37947-2024</t>
        </is>
      </c>
      <c r="B2683" s="1" t="n">
        <v>45544.50377314815</v>
      </c>
      <c r="C2683" s="1" t="n">
        <v>45957</v>
      </c>
      <c r="D2683" t="inlineStr">
        <is>
          <t>KRONOBERGS LÄN</t>
        </is>
      </c>
      <c r="E2683" t="inlineStr">
        <is>
          <t>ALVESTA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39100-2024</t>
        </is>
      </c>
      <c r="B2684" s="1" t="n">
        <v>45548.5656712963</v>
      </c>
      <c r="C2684" s="1" t="n">
        <v>45957</v>
      </c>
      <c r="D2684" t="inlineStr">
        <is>
          <t>KRONOBERGS LÄN</t>
        </is>
      </c>
      <c r="E2684" t="inlineStr">
        <is>
          <t>ALVESTA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20488-2024</t>
        </is>
      </c>
      <c r="B2685" s="1" t="n">
        <v>45435.77655092593</v>
      </c>
      <c r="C2685" s="1" t="n">
        <v>45957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3.6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54602-2024</t>
        </is>
      </c>
      <c r="B2686" s="1" t="n">
        <v>45617.68131944445</v>
      </c>
      <c r="C2686" s="1" t="n">
        <v>45957</v>
      </c>
      <c r="D2686" t="inlineStr">
        <is>
          <t>KRONOBERGS LÄN</t>
        </is>
      </c>
      <c r="E2686" t="inlineStr">
        <is>
          <t>LJUNGBY</t>
        </is>
      </c>
      <c r="G2686" t="n">
        <v>1.5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42188-2024</t>
        </is>
      </c>
      <c r="B2687" s="1" t="n">
        <v>45562.48428240741</v>
      </c>
      <c r="C2687" s="1" t="n">
        <v>45957</v>
      </c>
      <c r="D2687" t="inlineStr">
        <is>
          <t>KRONOBERGS LÄN</t>
        </is>
      </c>
      <c r="E2687" t="inlineStr">
        <is>
          <t>MARKARYD</t>
        </is>
      </c>
      <c r="G2687" t="n">
        <v>2.1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3686-2025</t>
        </is>
      </c>
      <c r="B2688" s="1" t="n">
        <v>45681.45844907407</v>
      </c>
      <c r="C2688" s="1" t="n">
        <v>45957</v>
      </c>
      <c r="D2688" t="inlineStr">
        <is>
          <t>KRONOBERGS LÄN</t>
        </is>
      </c>
      <c r="E2688" t="inlineStr">
        <is>
          <t>ÄLMHULT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25584-2025</t>
        </is>
      </c>
      <c r="B2689" s="1" t="n">
        <v>45803.48552083333</v>
      </c>
      <c r="C2689" s="1" t="n">
        <v>45957</v>
      </c>
      <c r="D2689" t="inlineStr">
        <is>
          <t>KRONOBERGS LÄN</t>
        </is>
      </c>
      <c r="E2689" t="inlineStr">
        <is>
          <t>VÄXJÖ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37130-2023</t>
        </is>
      </c>
      <c r="B2690" s="1" t="n">
        <v>45155.57315972223</v>
      </c>
      <c r="C2690" s="1" t="n">
        <v>45957</v>
      </c>
      <c r="D2690" t="inlineStr">
        <is>
          <t>KRONOBERGS LÄN</t>
        </is>
      </c>
      <c r="E2690" t="inlineStr">
        <is>
          <t>TINGSRYD</t>
        </is>
      </c>
      <c r="G2690" t="n">
        <v>1.1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25449-2025</t>
        </is>
      </c>
      <c r="B2691" s="1" t="n">
        <v>45801.7406712963</v>
      </c>
      <c r="C2691" s="1" t="n">
        <v>45957</v>
      </c>
      <c r="D2691" t="inlineStr">
        <is>
          <t>KRONOBERGS LÄN</t>
        </is>
      </c>
      <c r="E2691" t="inlineStr">
        <is>
          <t>UPPVIDINGE</t>
        </is>
      </c>
      <c r="G2691" t="n">
        <v>0.8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46553-2025</t>
        </is>
      </c>
      <c r="B2692" s="1" t="n">
        <v>45926.34652777778</v>
      </c>
      <c r="C2692" s="1" t="n">
        <v>45957</v>
      </c>
      <c r="D2692" t="inlineStr">
        <is>
          <t>KRONOBERGS LÄN</t>
        </is>
      </c>
      <c r="E2692" t="inlineStr">
        <is>
          <t>UPPVIDINGE</t>
        </is>
      </c>
      <c r="G2692" t="n">
        <v>7.2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64618-2021</t>
        </is>
      </c>
      <c r="B2693" s="1" t="n">
        <v>44511.80325231481</v>
      </c>
      <c r="C2693" s="1" t="n">
        <v>45957</v>
      </c>
      <c r="D2693" t="inlineStr">
        <is>
          <t>KRONOBERGS LÄN</t>
        </is>
      </c>
      <c r="E2693" t="inlineStr">
        <is>
          <t>ÄLMHULT</t>
        </is>
      </c>
      <c r="G2693" t="n">
        <v>1.4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64624-2021</t>
        </is>
      </c>
      <c r="B2694" s="1" t="n">
        <v>44511.87037037037</v>
      </c>
      <c r="C2694" s="1" t="n">
        <v>45957</v>
      </c>
      <c r="D2694" t="inlineStr">
        <is>
          <t>KRONOBERGS LÄN</t>
        </is>
      </c>
      <c r="E2694" t="inlineStr">
        <is>
          <t>ÄLMHULT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36870-2023</t>
        </is>
      </c>
      <c r="B2695" s="1" t="n">
        <v>45154.56967592592</v>
      </c>
      <c r="C2695" s="1" t="n">
        <v>45957</v>
      </c>
      <c r="D2695" t="inlineStr">
        <is>
          <t>KRONOBERGS LÄN</t>
        </is>
      </c>
      <c r="E2695" t="inlineStr">
        <is>
          <t>UPPVIDINGE</t>
        </is>
      </c>
      <c r="G2695" t="n">
        <v>0.7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37184-2023</t>
        </is>
      </c>
      <c r="B2696" s="1" t="n">
        <v>45155</v>
      </c>
      <c r="C2696" s="1" t="n">
        <v>45957</v>
      </c>
      <c r="D2696" t="inlineStr">
        <is>
          <t>KRONOBERGS LÄN</t>
        </is>
      </c>
      <c r="E2696" t="inlineStr">
        <is>
          <t>TINGSRYD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58566-2024</t>
        </is>
      </c>
      <c r="B2697" s="1" t="n">
        <v>45635.47542824074</v>
      </c>
      <c r="C2697" s="1" t="n">
        <v>45957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52110-2024</t>
        </is>
      </c>
      <c r="B2698" s="1" t="n">
        <v>45608.43467592593</v>
      </c>
      <c r="C2698" s="1" t="n">
        <v>45957</v>
      </c>
      <c r="D2698" t="inlineStr">
        <is>
          <t>KRONOBERGS LÄN</t>
        </is>
      </c>
      <c r="E2698" t="inlineStr">
        <is>
          <t>ALVESTA</t>
        </is>
      </c>
      <c r="G2698" t="n">
        <v>2.5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25011-2023</t>
        </is>
      </c>
      <c r="B2699" s="1" t="n">
        <v>45085</v>
      </c>
      <c r="C2699" s="1" t="n">
        <v>45957</v>
      </c>
      <c r="D2699" t="inlineStr">
        <is>
          <t>KRONOBERGS LÄN</t>
        </is>
      </c>
      <c r="E2699" t="inlineStr">
        <is>
          <t>MARKARYD</t>
        </is>
      </c>
      <c r="G2699" t="n">
        <v>3.7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4413-2022</t>
        </is>
      </c>
      <c r="B2700" s="1" t="n">
        <v>44589</v>
      </c>
      <c r="C2700" s="1" t="n">
        <v>45957</v>
      </c>
      <c r="D2700" t="inlineStr">
        <is>
          <t>KRONOBERGS LÄN</t>
        </is>
      </c>
      <c r="E2700" t="inlineStr">
        <is>
          <t>LESSEBO</t>
        </is>
      </c>
      <c r="G2700" t="n">
        <v>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4546-2022</t>
        </is>
      </c>
      <c r="B2701" s="1" t="n">
        <v>44590</v>
      </c>
      <c r="C2701" s="1" t="n">
        <v>45957</v>
      </c>
      <c r="D2701" t="inlineStr">
        <is>
          <t>KRONOBERGS LÄN</t>
        </is>
      </c>
      <c r="E2701" t="inlineStr">
        <is>
          <t>VÄXJÖ</t>
        </is>
      </c>
      <c r="F2701" t="inlineStr">
        <is>
          <t>Kommuner</t>
        </is>
      </c>
      <c r="G2701" t="n">
        <v>3.2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51512-2024</t>
        </is>
      </c>
      <c r="B2702" s="1" t="n">
        <v>45604.56101851852</v>
      </c>
      <c r="C2702" s="1" t="n">
        <v>45957</v>
      </c>
      <c r="D2702" t="inlineStr">
        <is>
          <t>KRONOBERGS LÄN</t>
        </is>
      </c>
      <c r="E2702" t="inlineStr">
        <is>
          <t>UPPVIDINGE</t>
        </is>
      </c>
      <c r="F2702" t="inlineStr">
        <is>
          <t>Sveaskog</t>
        </is>
      </c>
      <c r="G2702" t="n">
        <v>1.6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51513-2024</t>
        </is>
      </c>
      <c r="B2703" s="1" t="n">
        <v>45604.56190972222</v>
      </c>
      <c r="C2703" s="1" t="n">
        <v>45957</v>
      </c>
      <c r="D2703" t="inlineStr">
        <is>
          <t>KRONOBERGS LÄN</t>
        </is>
      </c>
      <c r="E2703" t="inlineStr">
        <is>
          <t>UPPVIDINGE</t>
        </is>
      </c>
      <c r="F2703" t="inlineStr">
        <is>
          <t>Sveaskog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51523-2024</t>
        </is>
      </c>
      <c r="B2704" s="1" t="n">
        <v>45604.56958333333</v>
      </c>
      <c r="C2704" s="1" t="n">
        <v>45957</v>
      </c>
      <c r="D2704" t="inlineStr">
        <is>
          <t>KRONOBERGS LÄN</t>
        </is>
      </c>
      <c r="E2704" t="inlineStr">
        <is>
          <t>UPPVIDINGE</t>
        </is>
      </c>
      <c r="F2704" t="inlineStr">
        <is>
          <t>Sveaskog</t>
        </is>
      </c>
      <c r="G2704" t="n">
        <v>0.9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25785-2025</t>
        </is>
      </c>
      <c r="B2705" s="1" t="n">
        <v>45804.36956018519</v>
      </c>
      <c r="C2705" s="1" t="n">
        <v>45957</v>
      </c>
      <c r="D2705" t="inlineStr">
        <is>
          <t>KRONOBERGS LÄN</t>
        </is>
      </c>
      <c r="E2705" t="inlineStr">
        <is>
          <t>ÄLMHULT</t>
        </is>
      </c>
      <c r="F2705" t="inlineStr">
        <is>
          <t>Sveaskog</t>
        </is>
      </c>
      <c r="G2705" t="n">
        <v>1.1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34214-2024</t>
        </is>
      </c>
      <c r="B2706" s="1" t="n">
        <v>45524</v>
      </c>
      <c r="C2706" s="1" t="n">
        <v>45957</v>
      </c>
      <c r="D2706" t="inlineStr">
        <is>
          <t>KRONOBERGS LÄN</t>
        </is>
      </c>
      <c r="E2706" t="inlineStr">
        <is>
          <t>ALVESTA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67714-2021</t>
        </is>
      </c>
      <c r="B2707" s="1" t="n">
        <v>44524</v>
      </c>
      <c r="C2707" s="1" t="n">
        <v>45957</v>
      </c>
      <c r="D2707" t="inlineStr">
        <is>
          <t>KRONOBERGS LÄN</t>
        </is>
      </c>
      <c r="E2707" t="inlineStr">
        <is>
          <t>UPPVIDINGE</t>
        </is>
      </c>
      <c r="F2707" t="inlineStr">
        <is>
          <t>Kyrkan</t>
        </is>
      </c>
      <c r="G2707" t="n">
        <v>18.8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67618-2021</t>
        </is>
      </c>
      <c r="B2708" s="1" t="n">
        <v>44524</v>
      </c>
      <c r="C2708" s="1" t="n">
        <v>45957</v>
      </c>
      <c r="D2708" t="inlineStr">
        <is>
          <t>KRONOBERGS LÄN</t>
        </is>
      </c>
      <c r="E2708" t="inlineStr">
        <is>
          <t>UPPVIDINGE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11893-2023</t>
        </is>
      </c>
      <c r="B2709" s="1" t="n">
        <v>44995.44344907408</v>
      </c>
      <c r="C2709" s="1" t="n">
        <v>45957</v>
      </c>
      <c r="D2709" t="inlineStr">
        <is>
          <t>KRONOBERGS LÄN</t>
        </is>
      </c>
      <c r="E2709" t="inlineStr">
        <is>
          <t>LJUNGBY</t>
        </is>
      </c>
      <c r="G2709" t="n">
        <v>2.1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34405-2024</t>
        </is>
      </c>
      <c r="B2710" s="1" t="n">
        <v>45525</v>
      </c>
      <c r="C2710" s="1" t="n">
        <v>45957</v>
      </c>
      <c r="D2710" t="inlineStr">
        <is>
          <t>KRONOBERGS LÄN</t>
        </is>
      </c>
      <c r="E2710" t="inlineStr">
        <is>
          <t>LJUNGBY</t>
        </is>
      </c>
      <c r="G2710" t="n">
        <v>0.4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35388-2023</t>
        </is>
      </c>
      <c r="B2711" s="1" t="n">
        <v>45146</v>
      </c>
      <c r="C2711" s="1" t="n">
        <v>45957</v>
      </c>
      <c r="D2711" t="inlineStr">
        <is>
          <t>KRONOBERGS LÄN</t>
        </is>
      </c>
      <c r="E2711" t="inlineStr">
        <is>
          <t>UPPVIDINGE</t>
        </is>
      </c>
      <c r="G2711" t="n">
        <v>1.9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46044-2024</t>
        </is>
      </c>
      <c r="B2712" s="1" t="n">
        <v>45580.83032407407</v>
      </c>
      <c r="C2712" s="1" t="n">
        <v>45957</v>
      </c>
      <c r="D2712" t="inlineStr">
        <is>
          <t>KRONOBERGS LÄN</t>
        </is>
      </c>
      <c r="E2712" t="inlineStr">
        <is>
          <t>VÄXJÖ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36545-2024</t>
        </is>
      </c>
      <c r="B2713" s="1" t="n">
        <v>45537.46707175926</v>
      </c>
      <c r="C2713" s="1" t="n">
        <v>45957</v>
      </c>
      <c r="D2713" t="inlineStr">
        <is>
          <t>KRONOBERGS LÄN</t>
        </is>
      </c>
      <c r="E2713" t="inlineStr">
        <is>
          <t>ÄLMHULT</t>
        </is>
      </c>
      <c r="G2713" t="n">
        <v>2.7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59088-2024</t>
        </is>
      </c>
      <c r="B2714" s="1" t="n">
        <v>45637.3166087963</v>
      </c>
      <c r="C2714" s="1" t="n">
        <v>45957</v>
      </c>
      <c r="D2714" t="inlineStr">
        <is>
          <t>KRONOBERGS LÄN</t>
        </is>
      </c>
      <c r="E2714" t="inlineStr">
        <is>
          <t>TINGSRYD</t>
        </is>
      </c>
      <c r="F2714" t="inlineStr">
        <is>
          <t>Övriga Aktiebolag</t>
        </is>
      </c>
      <c r="G2714" t="n">
        <v>1.7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15930-2025</t>
        </is>
      </c>
      <c r="B2715" s="1" t="n">
        <v>45749.4678587963</v>
      </c>
      <c r="C2715" s="1" t="n">
        <v>45957</v>
      </c>
      <c r="D2715" t="inlineStr">
        <is>
          <t>KRONOBERGS LÄN</t>
        </is>
      </c>
      <c r="E2715" t="inlineStr">
        <is>
          <t>VÄXJÖ</t>
        </is>
      </c>
      <c r="G2715" t="n">
        <v>0.6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26009-2025</t>
        </is>
      </c>
      <c r="B2716" s="1" t="n">
        <v>45804</v>
      </c>
      <c r="C2716" s="1" t="n">
        <v>45957</v>
      </c>
      <c r="D2716" t="inlineStr">
        <is>
          <t>KRONOBERGS LÄN</t>
        </is>
      </c>
      <c r="E2716" t="inlineStr">
        <is>
          <t>UPPVIDINGE</t>
        </is>
      </c>
      <c r="G2716" t="n">
        <v>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25883-2025</t>
        </is>
      </c>
      <c r="B2717" s="1" t="n">
        <v>45804.49788194444</v>
      </c>
      <c r="C2717" s="1" t="n">
        <v>45957</v>
      </c>
      <c r="D2717" t="inlineStr">
        <is>
          <t>KRONOBERGS LÄN</t>
        </is>
      </c>
      <c r="E2717" t="inlineStr">
        <is>
          <t>UPPVIDINGE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37424-2024</t>
        </is>
      </c>
      <c r="B2718" s="1" t="n">
        <v>45540.64592592593</v>
      </c>
      <c r="C2718" s="1" t="n">
        <v>45957</v>
      </c>
      <c r="D2718" t="inlineStr">
        <is>
          <t>KRONOBERGS LÄN</t>
        </is>
      </c>
      <c r="E2718" t="inlineStr">
        <is>
          <t>TINGSRYD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25761-2025</t>
        </is>
      </c>
      <c r="B2719" s="1" t="n">
        <v>45804.33686342592</v>
      </c>
      <c r="C2719" s="1" t="n">
        <v>45957</v>
      </c>
      <c r="D2719" t="inlineStr">
        <is>
          <t>KRONOBERGS LÄN</t>
        </is>
      </c>
      <c r="E2719" t="inlineStr">
        <is>
          <t>LESSEBO</t>
        </is>
      </c>
      <c r="F2719" t="inlineStr">
        <is>
          <t>Sveaskog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25530-2025</t>
        </is>
      </c>
      <c r="B2720" s="1" t="n">
        <v>45803.39724537037</v>
      </c>
      <c r="C2720" s="1" t="n">
        <v>45957</v>
      </c>
      <c r="D2720" t="inlineStr">
        <is>
          <t>KRONOBERGS LÄN</t>
        </is>
      </c>
      <c r="E2720" t="inlineStr">
        <is>
          <t>VÄXJÖ</t>
        </is>
      </c>
      <c r="G2720" t="n">
        <v>1.1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32667-2021</t>
        </is>
      </c>
      <c r="B2721" s="1" t="n">
        <v>44375.45909722222</v>
      </c>
      <c r="C2721" s="1" t="n">
        <v>45957</v>
      </c>
      <c r="D2721" t="inlineStr">
        <is>
          <t>KRONOBERGS LÄN</t>
        </is>
      </c>
      <c r="E2721" t="inlineStr">
        <is>
          <t>LESSEBO</t>
        </is>
      </c>
      <c r="G2721" t="n">
        <v>0.8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25592-2025</t>
        </is>
      </c>
      <c r="B2722" s="1" t="n">
        <v>45803.50553240741</v>
      </c>
      <c r="C2722" s="1" t="n">
        <v>45957</v>
      </c>
      <c r="D2722" t="inlineStr">
        <is>
          <t>KRONOBERGS LÄN</t>
        </is>
      </c>
      <c r="E2722" t="inlineStr">
        <is>
          <t>VÄXJÖ</t>
        </is>
      </c>
      <c r="G2722" t="n">
        <v>1.6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46509-2025</t>
        </is>
      </c>
      <c r="B2723" s="1" t="n">
        <v>45925.91809027778</v>
      </c>
      <c r="C2723" s="1" t="n">
        <v>45957</v>
      </c>
      <c r="D2723" t="inlineStr">
        <is>
          <t>KRONOBERGS LÄN</t>
        </is>
      </c>
      <c r="E2723" t="inlineStr">
        <is>
          <t>LJUNGBY</t>
        </is>
      </c>
      <c r="G2723" t="n">
        <v>4.1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42270-2024</t>
        </is>
      </c>
      <c r="B2724" s="1" t="n">
        <v>45562</v>
      </c>
      <c r="C2724" s="1" t="n">
        <v>45957</v>
      </c>
      <c r="D2724" t="inlineStr">
        <is>
          <t>KRONOBERGS LÄN</t>
        </is>
      </c>
      <c r="E2724" t="inlineStr">
        <is>
          <t>LJUNGBY</t>
        </is>
      </c>
      <c r="G2724" t="n">
        <v>0.9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41881-2024</t>
        </is>
      </c>
      <c r="B2725" s="1" t="n">
        <v>45561</v>
      </c>
      <c r="C2725" s="1" t="n">
        <v>45957</v>
      </c>
      <c r="D2725" t="inlineStr">
        <is>
          <t>KRONOBERGS LÄN</t>
        </is>
      </c>
      <c r="E2725" t="inlineStr">
        <is>
          <t>TINGSRYD</t>
        </is>
      </c>
      <c r="G2725" t="n">
        <v>2.3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25528-2025</t>
        </is>
      </c>
      <c r="B2726" s="1" t="n">
        <v>45803.39416666667</v>
      </c>
      <c r="C2726" s="1" t="n">
        <v>45957</v>
      </c>
      <c r="D2726" t="inlineStr">
        <is>
          <t>KRONOBERGS LÄN</t>
        </is>
      </c>
      <c r="E2726" t="inlineStr">
        <is>
          <t>VÄXJÖ</t>
        </is>
      </c>
      <c r="G2726" t="n">
        <v>4.1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25529-2025</t>
        </is>
      </c>
      <c r="B2727" s="1" t="n">
        <v>45803.39586805556</v>
      </c>
      <c r="C2727" s="1" t="n">
        <v>45957</v>
      </c>
      <c r="D2727" t="inlineStr">
        <is>
          <t>KRONOBERGS LÄN</t>
        </is>
      </c>
      <c r="E2727" t="inlineStr">
        <is>
          <t>VÄXJÖ</t>
        </is>
      </c>
      <c r="G2727" t="n">
        <v>2.9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25806-2025</t>
        </is>
      </c>
      <c r="B2728" s="1" t="n">
        <v>45804.40983796296</v>
      </c>
      <c r="C2728" s="1" t="n">
        <v>45957</v>
      </c>
      <c r="D2728" t="inlineStr">
        <is>
          <t>KRONOBERGS LÄN</t>
        </is>
      </c>
      <c r="E2728" t="inlineStr">
        <is>
          <t>UPPVIDINGE</t>
        </is>
      </c>
      <c r="G2728" t="n">
        <v>1.4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25880-2025</t>
        </is>
      </c>
      <c r="B2729" s="1" t="n">
        <v>45804.49628472222</v>
      </c>
      <c r="C2729" s="1" t="n">
        <v>45957</v>
      </c>
      <c r="D2729" t="inlineStr">
        <is>
          <t>KRONOBERGS LÄN</t>
        </is>
      </c>
      <c r="E2729" t="inlineStr">
        <is>
          <t>ÄLMHULT</t>
        </is>
      </c>
      <c r="G2729" t="n">
        <v>0.6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21438-2025</t>
        </is>
      </c>
      <c r="B2730" s="1" t="n">
        <v>45782</v>
      </c>
      <c r="C2730" s="1" t="n">
        <v>45957</v>
      </c>
      <c r="D2730" t="inlineStr">
        <is>
          <t>KRONOBERGS LÄN</t>
        </is>
      </c>
      <c r="E2730" t="inlineStr">
        <is>
          <t>ALVESTA</t>
        </is>
      </c>
      <c r="G2730" t="n">
        <v>3.1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13648-2024</t>
        </is>
      </c>
      <c r="B2731" s="1" t="n">
        <v>45390.47076388889</v>
      </c>
      <c r="C2731" s="1" t="n">
        <v>45957</v>
      </c>
      <c r="D2731" t="inlineStr">
        <is>
          <t>KRONOBERGS LÄN</t>
        </is>
      </c>
      <c r="E2731" t="inlineStr">
        <is>
          <t>ALVESTA</t>
        </is>
      </c>
      <c r="G2731" t="n">
        <v>4.6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13682-2024</t>
        </is>
      </c>
      <c r="B2732" s="1" t="n">
        <v>45390.55701388889</v>
      </c>
      <c r="C2732" s="1" t="n">
        <v>45957</v>
      </c>
      <c r="D2732" t="inlineStr">
        <is>
          <t>KRONOBERGS LÄN</t>
        </is>
      </c>
      <c r="E2732" t="inlineStr">
        <is>
          <t>VÄXJÖ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39389-2024</t>
        </is>
      </c>
      <c r="B2733" s="1" t="n">
        <v>45551.50974537037</v>
      </c>
      <c r="C2733" s="1" t="n">
        <v>45957</v>
      </c>
      <c r="D2733" t="inlineStr">
        <is>
          <t>KRONOBERGS LÄN</t>
        </is>
      </c>
      <c r="E2733" t="inlineStr">
        <is>
          <t>LESSEBO</t>
        </is>
      </c>
      <c r="G2733" t="n">
        <v>2.5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14686-2023</t>
        </is>
      </c>
      <c r="B2734" s="1" t="n">
        <v>45014</v>
      </c>
      <c r="C2734" s="1" t="n">
        <v>45957</v>
      </c>
      <c r="D2734" t="inlineStr">
        <is>
          <t>KRONOBERGS LÄN</t>
        </is>
      </c>
      <c r="E2734" t="inlineStr">
        <is>
          <t>VÄXJÖ</t>
        </is>
      </c>
      <c r="F2734" t="inlineStr">
        <is>
          <t>Sveaskog</t>
        </is>
      </c>
      <c r="G2734" t="n">
        <v>1.9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6340-2025</t>
        </is>
      </c>
      <c r="B2735" s="1" t="n">
        <v>45699</v>
      </c>
      <c r="C2735" s="1" t="n">
        <v>45957</v>
      </c>
      <c r="D2735" t="inlineStr">
        <is>
          <t>KRONOBERGS LÄN</t>
        </is>
      </c>
      <c r="E2735" t="inlineStr">
        <is>
          <t>ALVESTA</t>
        </is>
      </c>
      <c r="G2735" t="n">
        <v>0.6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58163-2024</t>
        </is>
      </c>
      <c r="B2736" s="1" t="n">
        <v>45632.45395833333</v>
      </c>
      <c r="C2736" s="1" t="n">
        <v>45957</v>
      </c>
      <c r="D2736" t="inlineStr">
        <is>
          <t>KRONOBERGS LÄN</t>
        </is>
      </c>
      <c r="E2736" t="inlineStr">
        <is>
          <t>ÄLMHULT</t>
        </is>
      </c>
      <c r="G2736" t="n">
        <v>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17697-2025</t>
        </is>
      </c>
      <c r="B2737" s="1" t="n">
        <v>45758.41546296296</v>
      </c>
      <c r="C2737" s="1" t="n">
        <v>45957</v>
      </c>
      <c r="D2737" t="inlineStr">
        <is>
          <t>KRONOBERGS LÄN</t>
        </is>
      </c>
      <c r="E2737" t="inlineStr">
        <is>
          <t>TINGSRYD</t>
        </is>
      </c>
      <c r="F2737" t="inlineStr">
        <is>
          <t>Övriga Aktiebolag</t>
        </is>
      </c>
      <c r="G2737" t="n">
        <v>4.9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48240-2024</t>
        </is>
      </c>
      <c r="B2738" s="1" t="n">
        <v>45590.39090277778</v>
      </c>
      <c r="C2738" s="1" t="n">
        <v>45957</v>
      </c>
      <c r="D2738" t="inlineStr">
        <is>
          <t>KRONOBERGS LÄN</t>
        </is>
      </c>
      <c r="E2738" t="inlineStr">
        <is>
          <t>UPPVIDINGE</t>
        </is>
      </c>
      <c r="G2738" t="n">
        <v>0.3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57959-2024</t>
        </is>
      </c>
      <c r="B2739" s="1" t="n">
        <v>45631</v>
      </c>
      <c r="C2739" s="1" t="n">
        <v>45957</v>
      </c>
      <c r="D2739" t="inlineStr">
        <is>
          <t>KRONOBERGS LÄN</t>
        </is>
      </c>
      <c r="E2739" t="inlineStr">
        <is>
          <t>TINGSRYD</t>
        </is>
      </c>
      <c r="G2739" t="n">
        <v>2.2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62283-2020</t>
        </is>
      </c>
      <c r="B2740" s="1" t="n">
        <v>44160</v>
      </c>
      <c r="C2740" s="1" t="n">
        <v>45957</v>
      </c>
      <c r="D2740" t="inlineStr">
        <is>
          <t>KRONOBERGS LÄN</t>
        </is>
      </c>
      <c r="E2740" t="inlineStr">
        <is>
          <t>LJUNGBY</t>
        </is>
      </c>
      <c r="G2740" t="n">
        <v>0.4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40005-2024</t>
        </is>
      </c>
      <c r="B2741" s="1" t="n">
        <v>45553.64894675926</v>
      </c>
      <c r="C2741" s="1" t="n">
        <v>45957</v>
      </c>
      <c r="D2741" t="inlineStr">
        <is>
          <t>KRONOBERGS LÄN</t>
        </is>
      </c>
      <c r="E2741" t="inlineStr">
        <is>
          <t>TINGSRYD</t>
        </is>
      </c>
      <c r="F2741" t="inlineStr">
        <is>
          <t>Sveaskog</t>
        </is>
      </c>
      <c r="G2741" t="n">
        <v>7.1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55926-2022</t>
        </is>
      </c>
      <c r="B2742" s="1" t="n">
        <v>44886</v>
      </c>
      <c r="C2742" s="1" t="n">
        <v>45957</v>
      </c>
      <c r="D2742" t="inlineStr">
        <is>
          <t>KRONOBERGS LÄN</t>
        </is>
      </c>
      <c r="E2742" t="inlineStr">
        <is>
          <t>LJUNGBY</t>
        </is>
      </c>
      <c r="F2742" t="inlineStr">
        <is>
          <t>Kyrkan</t>
        </is>
      </c>
      <c r="G2742" t="n">
        <v>0.8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38765-2022</t>
        </is>
      </c>
      <c r="B2743" s="1" t="n">
        <v>44816.37743055556</v>
      </c>
      <c r="C2743" s="1" t="n">
        <v>45957</v>
      </c>
      <c r="D2743" t="inlineStr">
        <is>
          <t>KRONOBERGS LÄN</t>
        </is>
      </c>
      <c r="E2743" t="inlineStr">
        <is>
          <t>ALVESTA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3971-2025</t>
        </is>
      </c>
      <c r="B2744" s="1" t="n">
        <v>45684.52679398148</v>
      </c>
      <c r="C2744" s="1" t="n">
        <v>45957</v>
      </c>
      <c r="D2744" t="inlineStr">
        <is>
          <t>KRONOBERGS LÄN</t>
        </is>
      </c>
      <c r="E2744" t="inlineStr">
        <is>
          <t>TINGSRYD</t>
        </is>
      </c>
      <c r="G2744" t="n">
        <v>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8174-2025</t>
        </is>
      </c>
      <c r="B2745" s="1" t="n">
        <v>45708</v>
      </c>
      <c r="C2745" s="1" t="n">
        <v>45957</v>
      </c>
      <c r="D2745" t="inlineStr">
        <is>
          <t>KRONOBERGS LÄN</t>
        </is>
      </c>
      <c r="E2745" t="inlineStr">
        <is>
          <t>LESSEBO</t>
        </is>
      </c>
      <c r="G2745" t="n">
        <v>4.2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16058-2025</t>
        </is>
      </c>
      <c r="B2746" s="1" t="n">
        <v>45749</v>
      </c>
      <c r="C2746" s="1" t="n">
        <v>45957</v>
      </c>
      <c r="D2746" t="inlineStr">
        <is>
          <t>KRONOBERGS LÄN</t>
        </is>
      </c>
      <c r="E2746" t="inlineStr">
        <is>
          <t>VÄXJÖ</t>
        </is>
      </c>
      <c r="F2746" t="inlineStr">
        <is>
          <t>Kyrkan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25583-2025</t>
        </is>
      </c>
      <c r="B2747" s="1" t="n">
        <v>45803.48383101852</v>
      </c>
      <c r="C2747" s="1" t="n">
        <v>45957</v>
      </c>
      <c r="D2747" t="inlineStr">
        <is>
          <t>KRONOBERGS LÄN</t>
        </is>
      </c>
      <c r="E2747" t="inlineStr">
        <is>
          <t>VÄXJÖ</t>
        </is>
      </c>
      <c r="G2747" t="n">
        <v>3.6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25593-2025</t>
        </is>
      </c>
      <c r="B2748" s="1" t="n">
        <v>45803.50699074074</v>
      </c>
      <c r="C2748" s="1" t="n">
        <v>45957</v>
      </c>
      <c r="D2748" t="inlineStr">
        <is>
          <t>KRONOBERGS LÄN</t>
        </is>
      </c>
      <c r="E2748" t="inlineStr">
        <is>
          <t>VÄXJÖ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17729-2025</t>
        </is>
      </c>
      <c r="B2749" s="1" t="n">
        <v>45758.46108796296</v>
      </c>
      <c r="C2749" s="1" t="n">
        <v>45957</v>
      </c>
      <c r="D2749" t="inlineStr">
        <is>
          <t>KRONOBERGS LÄN</t>
        </is>
      </c>
      <c r="E2749" t="inlineStr">
        <is>
          <t>LESSEBO</t>
        </is>
      </c>
      <c r="F2749" t="inlineStr">
        <is>
          <t>Sveaskog</t>
        </is>
      </c>
      <c r="G2749" t="n">
        <v>1.7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60358-2022</t>
        </is>
      </c>
      <c r="B2750" s="1" t="n">
        <v>44910.63780092593</v>
      </c>
      <c r="C2750" s="1" t="n">
        <v>45957</v>
      </c>
      <c r="D2750" t="inlineStr">
        <is>
          <t>KRONOBERGS LÄN</t>
        </is>
      </c>
      <c r="E2750" t="inlineStr">
        <is>
          <t>LESSEBO</t>
        </is>
      </c>
      <c r="G2750" t="n">
        <v>4.5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53539-2024</t>
        </is>
      </c>
      <c r="B2751" s="1" t="n">
        <v>45614.63012731481</v>
      </c>
      <c r="C2751" s="1" t="n">
        <v>45957</v>
      </c>
      <c r="D2751" t="inlineStr">
        <is>
          <t>KRONOBERGS LÄN</t>
        </is>
      </c>
      <c r="E2751" t="inlineStr">
        <is>
          <t>LJUNGBY</t>
        </is>
      </c>
      <c r="F2751" t="inlineStr">
        <is>
          <t>Sveaskog</t>
        </is>
      </c>
      <c r="G2751" t="n">
        <v>5.1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57995-2020</t>
        </is>
      </c>
      <c r="B2752" s="1" t="n">
        <v>44144</v>
      </c>
      <c r="C2752" s="1" t="n">
        <v>45957</v>
      </c>
      <c r="D2752" t="inlineStr">
        <is>
          <t>KRONOBERGS LÄN</t>
        </is>
      </c>
      <c r="E2752" t="inlineStr">
        <is>
          <t>LJUNGBY</t>
        </is>
      </c>
      <c r="G2752" t="n">
        <v>9.1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73863-2021</t>
        </is>
      </c>
      <c r="B2753" s="1" t="n">
        <v>44553</v>
      </c>
      <c r="C2753" s="1" t="n">
        <v>45957</v>
      </c>
      <c r="D2753" t="inlineStr">
        <is>
          <t>KRONOBERGS LÄN</t>
        </is>
      </c>
      <c r="E2753" t="inlineStr">
        <is>
          <t>MARKARYD</t>
        </is>
      </c>
      <c r="G2753" t="n">
        <v>1.4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208-2023</t>
        </is>
      </c>
      <c r="B2754" s="1" t="n">
        <v>44928</v>
      </c>
      <c r="C2754" s="1" t="n">
        <v>45957</v>
      </c>
      <c r="D2754" t="inlineStr">
        <is>
          <t>KRONOBERGS LÄN</t>
        </is>
      </c>
      <c r="E2754" t="inlineStr">
        <is>
          <t>TINGSRYD</t>
        </is>
      </c>
      <c r="G2754" t="n">
        <v>1.3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55994-2023</t>
        </is>
      </c>
      <c r="B2755" s="1" t="n">
        <v>45240.38824074074</v>
      </c>
      <c r="C2755" s="1" t="n">
        <v>45957</v>
      </c>
      <c r="D2755" t="inlineStr">
        <is>
          <t>KRONOBERGS LÄN</t>
        </is>
      </c>
      <c r="E2755" t="inlineStr">
        <is>
          <t>TINGSRYD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25446-2025</t>
        </is>
      </c>
      <c r="B2756" s="1" t="n">
        <v>45801.7155324074</v>
      </c>
      <c r="C2756" s="1" t="n">
        <v>45957</v>
      </c>
      <c r="D2756" t="inlineStr">
        <is>
          <t>KRONOBERGS LÄN</t>
        </is>
      </c>
      <c r="E2756" t="inlineStr">
        <is>
          <t>UPPVIDINGE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25739-2025</t>
        </is>
      </c>
      <c r="B2757" s="1" t="n">
        <v>45803.84655092593</v>
      </c>
      <c r="C2757" s="1" t="n">
        <v>45957</v>
      </c>
      <c r="D2757" t="inlineStr">
        <is>
          <t>KRONOBERGS LÄN</t>
        </is>
      </c>
      <c r="E2757" t="inlineStr">
        <is>
          <t>TINGSRYD</t>
        </is>
      </c>
      <c r="G2757" t="n">
        <v>3.2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16728-2025</t>
        </is>
      </c>
      <c r="B2758" s="1" t="n">
        <v>45754.52788194444</v>
      </c>
      <c r="C2758" s="1" t="n">
        <v>45957</v>
      </c>
      <c r="D2758" t="inlineStr">
        <is>
          <t>KRONOBERGS LÄN</t>
        </is>
      </c>
      <c r="E2758" t="inlineStr">
        <is>
          <t>LJUNGBY</t>
        </is>
      </c>
      <c r="G2758" t="n">
        <v>3.9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37067-2024</t>
        </is>
      </c>
      <c r="B2759" s="1" t="n">
        <v>45539.4634375</v>
      </c>
      <c r="C2759" s="1" t="n">
        <v>45957</v>
      </c>
      <c r="D2759" t="inlineStr">
        <is>
          <t>KRONOBERGS LÄN</t>
        </is>
      </c>
      <c r="E2759" t="inlineStr">
        <is>
          <t>ÄLMHULT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3070-2024</t>
        </is>
      </c>
      <c r="B2760" s="1" t="n">
        <v>45316.42096064815</v>
      </c>
      <c r="C2760" s="1" t="n">
        <v>45957</v>
      </c>
      <c r="D2760" t="inlineStr">
        <is>
          <t>KRONOBERGS LÄN</t>
        </is>
      </c>
      <c r="E2760" t="inlineStr">
        <is>
          <t>VÄXJÖ</t>
        </is>
      </c>
      <c r="G2760" t="n">
        <v>0.6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11541-2025</t>
        </is>
      </c>
      <c r="B2761" s="1" t="n">
        <v>45727</v>
      </c>
      <c r="C2761" s="1" t="n">
        <v>45957</v>
      </c>
      <c r="D2761" t="inlineStr">
        <is>
          <t>KRONOBERGS LÄN</t>
        </is>
      </c>
      <c r="E2761" t="inlineStr">
        <is>
          <t>TINGSRYD</t>
        </is>
      </c>
      <c r="G2761" t="n">
        <v>10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28015-2024</t>
        </is>
      </c>
      <c r="B2762" s="1" t="n">
        <v>45476</v>
      </c>
      <c r="C2762" s="1" t="n">
        <v>45957</v>
      </c>
      <c r="D2762" t="inlineStr">
        <is>
          <t>KRONOBERGS LÄN</t>
        </is>
      </c>
      <c r="E2762" t="inlineStr">
        <is>
          <t>ALVESTA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25779-2025</t>
        </is>
      </c>
      <c r="B2763" s="1" t="n">
        <v>45804.36267361111</v>
      </c>
      <c r="C2763" s="1" t="n">
        <v>45957</v>
      </c>
      <c r="D2763" t="inlineStr">
        <is>
          <t>KRONOBERGS LÄN</t>
        </is>
      </c>
      <c r="E2763" t="inlineStr">
        <is>
          <t>ÄLMHULT</t>
        </is>
      </c>
      <c r="F2763" t="inlineStr">
        <is>
          <t>Sveaskog</t>
        </is>
      </c>
      <c r="G2763" t="n">
        <v>4.7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34209-2024</t>
        </is>
      </c>
      <c r="B2764" s="1" t="n">
        <v>45524.49138888889</v>
      </c>
      <c r="C2764" s="1" t="n">
        <v>45957</v>
      </c>
      <c r="D2764" t="inlineStr">
        <is>
          <t>KRONOBERGS LÄN</t>
        </is>
      </c>
      <c r="E2764" t="inlineStr">
        <is>
          <t>LJUNGBY</t>
        </is>
      </c>
      <c r="G2764" t="n">
        <v>12.1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19206-2024</t>
        </is>
      </c>
      <c r="B2765" s="1" t="n">
        <v>45428.53776620371</v>
      </c>
      <c r="C2765" s="1" t="n">
        <v>45957</v>
      </c>
      <c r="D2765" t="inlineStr">
        <is>
          <t>KRONOBERGS LÄN</t>
        </is>
      </c>
      <c r="E2765" t="inlineStr">
        <is>
          <t>UPPVIDINGE</t>
        </is>
      </c>
      <c r="G2765" t="n">
        <v>1.6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34926-2024</t>
        </is>
      </c>
      <c r="B2766" s="1" t="n">
        <v>45527.44498842592</v>
      </c>
      <c r="C2766" s="1" t="n">
        <v>45957</v>
      </c>
      <c r="D2766" t="inlineStr">
        <is>
          <t>KRONOBERGS LÄN</t>
        </is>
      </c>
      <c r="E2766" t="inlineStr">
        <is>
          <t>LJUNGBY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8173-2025</t>
        </is>
      </c>
      <c r="B2767" s="1" t="n">
        <v>45708</v>
      </c>
      <c r="C2767" s="1" t="n">
        <v>45957</v>
      </c>
      <c r="D2767" t="inlineStr">
        <is>
          <t>KRONOBERGS LÄN</t>
        </is>
      </c>
      <c r="E2767" t="inlineStr">
        <is>
          <t>LESSEBO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31767-2023</t>
        </is>
      </c>
      <c r="B2768" s="1" t="n">
        <v>45118</v>
      </c>
      <c r="C2768" s="1" t="n">
        <v>45957</v>
      </c>
      <c r="D2768" t="inlineStr">
        <is>
          <t>KRONOBERGS LÄN</t>
        </is>
      </c>
      <c r="E2768" t="inlineStr">
        <is>
          <t>UPPVIDINGE</t>
        </is>
      </c>
      <c r="G2768" t="n">
        <v>2.7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60865-2020</t>
        </is>
      </c>
      <c r="B2769" s="1" t="n">
        <v>44154</v>
      </c>
      <c r="C2769" s="1" t="n">
        <v>45957</v>
      </c>
      <c r="D2769" t="inlineStr">
        <is>
          <t>KRONOBERGS LÄN</t>
        </is>
      </c>
      <c r="E2769" t="inlineStr">
        <is>
          <t>ÄLMHULT</t>
        </is>
      </c>
      <c r="F2769" t="inlineStr">
        <is>
          <t>Sveaskog</t>
        </is>
      </c>
      <c r="G2769" t="n">
        <v>1.7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50133-2024</t>
        </is>
      </c>
      <c r="B2770" s="1" t="n">
        <v>45600</v>
      </c>
      <c r="C2770" s="1" t="n">
        <v>45957</v>
      </c>
      <c r="D2770" t="inlineStr">
        <is>
          <t>KRONOBERGS LÄN</t>
        </is>
      </c>
      <c r="E2770" t="inlineStr">
        <is>
          <t>LJUNGBY</t>
        </is>
      </c>
      <c r="G2770" t="n">
        <v>5.9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6338-2025</t>
        </is>
      </c>
      <c r="B2771" s="1" t="n">
        <v>45699.28684027777</v>
      </c>
      <c r="C2771" s="1" t="n">
        <v>45957</v>
      </c>
      <c r="D2771" t="inlineStr">
        <is>
          <t>KRONOBERGS LÄN</t>
        </is>
      </c>
      <c r="E2771" t="inlineStr">
        <is>
          <t>LESSEBO</t>
        </is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50146-2024</t>
        </is>
      </c>
      <c r="B2772" s="1" t="n">
        <v>45600.45130787037</v>
      </c>
      <c r="C2772" s="1" t="n">
        <v>45957</v>
      </c>
      <c r="D2772" t="inlineStr">
        <is>
          <t>KRONOBERGS LÄN</t>
        </is>
      </c>
      <c r="E2772" t="inlineStr">
        <is>
          <t>TINGSRYD</t>
        </is>
      </c>
      <c r="G2772" t="n">
        <v>1.5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12875-2023</t>
        </is>
      </c>
      <c r="B2773" s="1" t="n">
        <v>45001</v>
      </c>
      <c r="C2773" s="1" t="n">
        <v>45957</v>
      </c>
      <c r="D2773" t="inlineStr">
        <is>
          <t>KRONOBERGS LÄN</t>
        </is>
      </c>
      <c r="E2773" t="inlineStr">
        <is>
          <t>TINGSRYD</t>
        </is>
      </c>
      <c r="G2773" t="n">
        <v>1.9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25889-2025</t>
        </is>
      </c>
      <c r="B2774" s="1" t="n">
        <v>45804</v>
      </c>
      <c r="C2774" s="1" t="n">
        <v>45957</v>
      </c>
      <c r="D2774" t="inlineStr">
        <is>
          <t>KRONOBERGS LÄN</t>
        </is>
      </c>
      <c r="E2774" t="inlineStr">
        <is>
          <t>UPPVIDINGE</t>
        </is>
      </c>
      <c r="G2774" t="n">
        <v>0.5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25865-2025</t>
        </is>
      </c>
      <c r="B2775" s="1" t="n">
        <v>45804.4793287037</v>
      </c>
      <c r="C2775" s="1" t="n">
        <v>45957</v>
      </c>
      <c r="D2775" t="inlineStr">
        <is>
          <t>KRONOBERGS LÄN</t>
        </is>
      </c>
      <c r="E2775" t="inlineStr">
        <is>
          <t>ÄLMHULT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25448-2025</t>
        </is>
      </c>
      <c r="B2776" s="1" t="n">
        <v>45801.73608796296</v>
      </c>
      <c r="C2776" s="1" t="n">
        <v>45957</v>
      </c>
      <c r="D2776" t="inlineStr">
        <is>
          <t>KRONOBERGS LÄN</t>
        </is>
      </c>
      <c r="E2776" t="inlineStr">
        <is>
          <t>UPPVIDINGE</t>
        </is>
      </c>
      <c r="G2776" t="n">
        <v>1.2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7719-2024</t>
        </is>
      </c>
      <c r="B2777" s="1" t="n">
        <v>45349.39254629629</v>
      </c>
      <c r="C2777" s="1" t="n">
        <v>45957</v>
      </c>
      <c r="D2777" t="inlineStr">
        <is>
          <t>KRONOBERGS LÄN</t>
        </is>
      </c>
      <c r="E2777" t="inlineStr">
        <is>
          <t>LJUNGBY</t>
        </is>
      </c>
      <c r="G2777" t="n">
        <v>0.7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59366-2023</t>
        </is>
      </c>
      <c r="B2778" s="1" t="n">
        <v>45253</v>
      </c>
      <c r="C2778" s="1" t="n">
        <v>45957</v>
      </c>
      <c r="D2778" t="inlineStr">
        <is>
          <t>KRONOBERGS LÄN</t>
        </is>
      </c>
      <c r="E2778" t="inlineStr">
        <is>
          <t>LJUNGBY</t>
        </is>
      </c>
      <c r="F2778" t="inlineStr">
        <is>
          <t>Kyrkan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8495-2024</t>
        </is>
      </c>
      <c r="B2779" s="1" t="n">
        <v>45355.44633101852</v>
      </c>
      <c r="C2779" s="1" t="n">
        <v>45957</v>
      </c>
      <c r="D2779" t="inlineStr">
        <is>
          <t>KRONOBERGS LÄN</t>
        </is>
      </c>
      <c r="E2779" t="inlineStr">
        <is>
          <t>ÄLMHULT</t>
        </is>
      </c>
      <c r="F2779" t="inlineStr">
        <is>
          <t>Sveaskog</t>
        </is>
      </c>
      <c r="G2779" t="n">
        <v>1.5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53226-2024</t>
        </is>
      </c>
      <c r="B2780" s="1" t="n">
        <v>45613.52194444444</v>
      </c>
      <c r="C2780" s="1" t="n">
        <v>45957</v>
      </c>
      <c r="D2780" t="inlineStr">
        <is>
          <t>KRONOBERGS LÄN</t>
        </is>
      </c>
      <c r="E2780" t="inlineStr">
        <is>
          <t>ALVESTA</t>
        </is>
      </c>
      <c r="G2780" t="n">
        <v>0.5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8551-2024</t>
        </is>
      </c>
      <c r="B2781" s="1" t="n">
        <v>45355.56142361111</v>
      </c>
      <c r="C2781" s="1" t="n">
        <v>45957</v>
      </c>
      <c r="D2781" t="inlineStr">
        <is>
          <t>KRONOBERGS LÄN</t>
        </is>
      </c>
      <c r="E2781" t="inlineStr">
        <is>
          <t>UPPVIDINGE</t>
        </is>
      </c>
      <c r="G2781" t="n">
        <v>2.1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4733-2024</t>
        </is>
      </c>
      <c r="B2782" s="1" t="n">
        <v>45328</v>
      </c>
      <c r="C2782" s="1" t="n">
        <v>45957</v>
      </c>
      <c r="D2782" t="inlineStr">
        <is>
          <t>KRONOBERGS LÄN</t>
        </is>
      </c>
      <c r="E2782" t="inlineStr">
        <is>
          <t>ALVESTA</t>
        </is>
      </c>
      <c r="G2782" t="n">
        <v>2.3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9355-2024</t>
        </is>
      </c>
      <c r="B2783" s="1" t="n">
        <v>45359.32324074074</v>
      </c>
      <c r="C2783" s="1" t="n">
        <v>45957</v>
      </c>
      <c r="D2783" t="inlineStr">
        <is>
          <t>KRONOBERGS LÄN</t>
        </is>
      </c>
      <c r="E2783" t="inlineStr">
        <is>
          <t>VÄXJÖ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9391-2024</t>
        </is>
      </c>
      <c r="B2784" s="1" t="n">
        <v>45359.41071759259</v>
      </c>
      <c r="C2784" s="1" t="n">
        <v>45957</v>
      </c>
      <c r="D2784" t="inlineStr">
        <is>
          <t>KRONOBERGS LÄN</t>
        </is>
      </c>
      <c r="E2784" t="inlineStr">
        <is>
          <t>ALVESTA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9393-2024</t>
        </is>
      </c>
      <c r="B2785" s="1" t="n">
        <v>45359.41239583334</v>
      </c>
      <c r="C2785" s="1" t="n">
        <v>45957</v>
      </c>
      <c r="D2785" t="inlineStr">
        <is>
          <t>KRONOBERGS LÄN</t>
        </is>
      </c>
      <c r="E2785" t="inlineStr">
        <is>
          <t>ALVESTA</t>
        </is>
      </c>
      <c r="G2785" t="n">
        <v>1.3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9407-2024</t>
        </is>
      </c>
      <c r="B2786" s="1" t="n">
        <v>45359.42908564815</v>
      </c>
      <c r="C2786" s="1" t="n">
        <v>45957</v>
      </c>
      <c r="D2786" t="inlineStr">
        <is>
          <t>KRONOBERGS LÄN</t>
        </is>
      </c>
      <c r="E2786" t="inlineStr">
        <is>
          <t>ALVESTA</t>
        </is>
      </c>
      <c r="G2786" t="n">
        <v>0.6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1539-2023</t>
        </is>
      </c>
      <c r="B2787" s="1" t="n">
        <v>44935</v>
      </c>
      <c r="C2787" s="1" t="n">
        <v>45957</v>
      </c>
      <c r="D2787" t="inlineStr">
        <is>
          <t>KRONOBERGS LÄN</t>
        </is>
      </c>
      <c r="E2787" t="inlineStr">
        <is>
          <t>ALVESTA</t>
        </is>
      </c>
      <c r="G2787" t="n">
        <v>2.3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17844-2024</t>
        </is>
      </c>
      <c r="B2788" s="1" t="n">
        <v>45418</v>
      </c>
      <c r="C2788" s="1" t="n">
        <v>45957</v>
      </c>
      <c r="D2788" t="inlineStr">
        <is>
          <t>KRONOBERGS LÄN</t>
        </is>
      </c>
      <c r="E2788" t="inlineStr">
        <is>
          <t>TINGSRYD</t>
        </is>
      </c>
      <c r="F2788" t="inlineStr">
        <is>
          <t>Kyrkan</t>
        </is>
      </c>
      <c r="G2788" t="n">
        <v>3.9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5477-2022</t>
        </is>
      </c>
      <c r="B2789" s="1" t="n">
        <v>44595</v>
      </c>
      <c r="C2789" s="1" t="n">
        <v>45957</v>
      </c>
      <c r="D2789" t="inlineStr">
        <is>
          <t>KRONOBERGS LÄN</t>
        </is>
      </c>
      <c r="E2789" t="inlineStr">
        <is>
          <t>VÄXJÖ</t>
        </is>
      </c>
      <c r="G2789" t="n">
        <v>2.6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25241-2023</t>
        </is>
      </c>
      <c r="B2790" s="1" t="n">
        <v>45079</v>
      </c>
      <c r="C2790" s="1" t="n">
        <v>45957</v>
      </c>
      <c r="D2790" t="inlineStr">
        <is>
          <t>KRONOBERGS LÄN</t>
        </is>
      </c>
      <c r="E2790" t="inlineStr">
        <is>
          <t>LJUNGBY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40494-2024</t>
        </is>
      </c>
      <c r="B2791" s="1" t="n">
        <v>45555.56545138889</v>
      </c>
      <c r="C2791" s="1" t="n">
        <v>45957</v>
      </c>
      <c r="D2791" t="inlineStr">
        <is>
          <t>KRONOBERGS LÄN</t>
        </is>
      </c>
      <c r="E2791" t="inlineStr">
        <is>
          <t>VÄXJÖ</t>
        </is>
      </c>
      <c r="G2791" t="n">
        <v>1.8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40506-2024</t>
        </is>
      </c>
      <c r="B2792" s="1" t="n">
        <v>45555.57487268518</v>
      </c>
      <c r="C2792" s="1" t="n">
        <v>45957</v>
      </c>
      <c r="D2792" t="inlineStr">
        <is>
          <t>KRONOBERGS LÄN</t>
        </is>
      </c>
      <c r="E2792" t="inlineStr">
        <is>
          <t>VÄXJÖ</t>
        </is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46486-2025</t>
        </is>
      </c>
      <c r="B2793" s="1" t="n">
        <v>45925.70990740741</v>
      </c>
      <c r="C2793" s="1" t="n">
        <v>45957</v>
      </c>
      <c r="D2793" t="inlineStr">
        <is>
          <t>KRONOBERGS LÄN</t>
        </is>
      </c>
      <c r="E2793" t="inlineStr">
        <is>
          <t>TINGSRYD</t>
        </is>
      </c>
      <c r="G2793" t="n">
        <v>1.7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46513-2025</t>
        </is>
      </c>
      <c r="B2794" s="1" t="n">
        <v>45926.28380787037</v>
      </c>
      <c r="C2794" s="1" t="n">
        <v>45957</v>
      </c>
      <c r="D2794" t="inlineStr">
        <is>
          <t>KRONOBERGS LÄN</t>
        </is>
      </c>
      <c r="E2794" t="inlineStr">
        <is>
          <t>ALVESTA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46178-2025</t>
        </is>
      </c>
      <c r="B2795" s="1" t="n">
        <v>45924.65366898148</v>
      </c>
      <c r="C2795" s="1" t="n">
        <v>45957</v>
      </c>
      <c r="D2795" t="inlineStr">
        <is>
          <t>KRONOBERGS LÄN</t>
        </is>
      </c>
      <c r="E2795" t="inlineStr">
        <is>
          <t>VÄXJÖ</t>
        </is>
      </c>
      <c r="G2795" t="n">
        <v>0.3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5165-2024</t>
        </is>
      </c>
      <c r="B2796" s="1" t="n">
        <v>45330</v>
      </c>
      <c r="C2796" s="1" t="n">
        <v>45957</v>
      </c>
      <c r="D2796" t="inlineStr">
        <is>
          <t>KRONOBERGS LÄN</t>
        </is>
      </c>
      <c r="E2796" t="inlineStr">
        <is>
          <t>VÄXJÖ</t>
        </is>
      </c>
      <c r="F2796" t="inlineStr">
        <is>
          <t>Övriga Aktiebolag</t>
        </is>
      </c>
      <c r="G2796" t="n">
        <v>4.6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5614-2024</t>
        </is>
      </c>
      <c r="B2797" s="1" t="n">
        <v>45334</v>
      </c>
      <c r="C2797" s="1" t="n">
        <v>45957</v>
      </c>
      <c r="D2797" t="inlineStr">
        <is>
          <t>KRONOBERGS LÄN</t>
        </is>
      </c>
      <c r="E2797" t="inlineStr">
        <is>
          <t>LJUNGBY</t>
        </is>
      </c>
      <c r="F2797" t="inlineStr">
        <is>
          <t>Kommuner</t>
        </is>
      </c>
      <c r="G2797" t="n">
        <v>6.5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38498-2024</t>
        </is>
      </c>
      <c r="B2798" s="1" t="n">
        <v>45546.51900462963</v>
      </c>
      <c r="C2798" s="1" t="n">
        <v>45957</v>
      </c>
      <c r="D2798" t="inlineStr">
        <is>
          <t>KRONOBERGS LÄN</t>
        </is>
      </c>
      <c r="E2798" t="inlineStr">
        <is>
          <t>ALVESTA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39734-2024</t>
        </is>
      </c>
      <c r="B2799" s="1" t="n">
        <v>45552.6449537037</v>
      </c>
      <c r="C2799" s="1" t="n">
        <v>45957</v>
      </c>
      <c r="D2799" t="inlineStr">
        <is>
          <t>KRONOBERGS LÄN</t>
        </is>
      </c>
      <c r="E2799" t="inlineStr">
        <is>
          <t>UPPVIDINGE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39738-2024</t>
        </is>
      </c>
      <c r="B2800" s="1" t="n">
        <v>45552</v>
      </c>
      <c r="C2800" s="1" t="n">
        <v>45957</v>
      </c>
      <c r="D2800" t="inlineStr">
        <is>
          <t>KRONOBERGS LÄN</t>
        </is>
      </c>
      <c r="E2800" t="inlineStr">
        <is>
          <t>UPPVIDINGE</t>
        </is>
      </c>
      <c r="G2800" t="n">
        <v>0.4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61086-2020</t>
        </is>
      </c>
      <c r="B2801" s="1" t="n">
        <v>44154</v>
      </c>
      <c r="C2801" s="1" t="n">
        <v>45957</v>
      </c>
      <c r="D2801" t="inlineStr">
        <is>
          <t>KRONOBERGS LÄN</t>
        </is>
      </c>
      <c r="E2801" t="inlineStr">
        <is>
          <t>UPPVIDINGE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60203-2022</t>
        </is>
      </c>
      <c r="B2802" s="1" t="n">
        <v>44903</v>
      </c>
      <c r="C2802" s="1" t="n">
        <v>45957</v>
      </c>
      <c r="D2802" t="inlineStr">
        <is>
          <t>KRONOBERGS LÄN</t>
        </is>
      </c>
      <c r="E2802" t="inlineStr">
        <is>
          <t>VÄXJÖ</t>
        </is>
      </c>
      <c r="G2802" t="n">
        <v>1.1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14133-2023</t>
        </is>
      </c>
      <c r="B2803" s="1" t="n">
        <v>45009.46388888889</v>
      </c>
      <c r="C2803" s="1" t="n">
        <v>45957</v>
      </c>
      <c r="D2803" t="inlineStr">
        <is>
          <t>KRONOBERGS LÄN</t>
        </is>
      </c>
      <c r="E2803" t="inlineStr">
        <is>
          <t>ALVESTA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13890-2023</t>
        </is>
      </c>
      <c r="B2804" s="1" t="n">
        <v>45007.97726851852</v>
      </c>
      <c r="C2804" s="1" t="n">
        <v>45957</v>
      </c>
      <c r="D2804" t="inlineStr">
        <is>
          <t>KRONOBERGS LÄN</t>
        </is>
      </c>
      <c r="E2804" t="inlineStr">
        <is>
          <t>TINGSRYD</t>
        </is>
      </c>
      <c r="G2804" t="n">
        <v>1.6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7409-2023</t>
        </is>
      </c>
      <c r="B2805" s="1" t="n">
        <v>44971.51954861111</v>
      </c>
      <c r="C2805" s="1" t="n">
        <v>45957</v>
      </c>
      <c r="D2805" t="inlineStr">
        <is>
          <t>KRONOBERGS LÄN</t>
        </is>
      </c>
      <c r="E2805" t="inlineStr">
        <is>
          <t>TINGSRYD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1813-2023</t>
        </is>
      </c>
      <c r="B2806" s="1" t="n">
        <v>44938</v>
      </c>
      <c r="C2806" s="1" t="n">
        <v>45957</v>
      </c>
      <c r="D2806" t="inlineStr">
        <is>
          <t>KRONOBERGS LÄN</t>
        </is>
      </c>
      <c r="E2806" t="inlineStr">
        <is>
          <t>VÄXJÖ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7893-2024</t>
        </is>
      </c>
      <c r="B2807" s="1" t="n">
        <v>45349</v>
      </c>
      <c r="C2807" s="1" t="n">
        <v>45957</v>
      </c>
      <c r="D2807" t="inlineStr">
        <is>
          <t>KRONOBERGS LÄN</t>
        </is>
      </c>
      <c r="E2807" t="inlineStr">
        <is>
          <t>UPPVIDINGE</t>
        </is>
      </c>
      <c r="G2807" t="n">
        <v>3.5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58704-2022</t>
        </is>
      </c>
      <c r="B2808" s="1" t="n">
        <v>44902.79445601852</v>
      </c>
      <c r="C2808" s="1" t="n">
        <v>45957</v>
      </c>
      <c r="D2808" t="inlineStr">
        <is>
          <t>KRONOBERGS LÄN</t>
        </is>
      </c>
      <c r="E2808" t="inlineStr">
        <is>
          <t>UPPVIDINGE</t>
        </is>
      </c>
      <c r="G2808" t="n">
        <v>2.6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25783-2025</t>
        </is>
      </c>
      <c r="B2809" s="1" t="n">
        <v>45804.3675</v>
      </c>
      <c r="C2809" s="1" t="n">
        <v>45957</v>
      </c>
      <c r="D2809" t="inlineStr">
        <is>
          <t>KRONOBERGS LÄN</t>
        </is>
      </c>
      <c r="E2809" t="inlineStr">
        <is>
          <t>ÄLMHULT</t>
        </is>
      </c>
      <c r="F2809" t="inlineStr">
        <is>
          <t>Sveaskog</t>
        </is>
      </c>
      <c r="G2809" t="n">
        <v>2.2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74006-2021</t>
        </is>
      </c>
      <c r="B2810" s="1" t="n">
        <v>44557</v>
      </c>
      <c r="C2810" s="1" t="n">
        <v>45957</v>
      </c>
      <c r="D2810" t="inlineStr">
        <is>
          <t>KRONOBERGS LÄN</t>
        </is>
      </c>
      <c r="E2810" t="inlineStr">
        <is>
          <t>MARKARYD</t>
        </is>
      </c>
      <c r="G2810" t="n">
        <v>7.1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8019-2024</t>
        </is>
      </c>
      <c r="B2811" s="1" t="n">
        <v>45350.91678240741</v>
      </c>
      <c r="C2811" s="1" t="n">
        <v>45957</v>
      </c>
      <c r="D2811" t="inlineStr">
        <is>
          <t>KRONOBERGS LÄN</t>
        </is>
      </c>
      <c r="E2811" t="inlineStr">
        <is>
          <t>LJUNGBY</t>
        </is>
      </c>
      <c r="G2811" t="n">
        <v>4.2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8020-2024</t>
        </is>
      </c>
      <c r="B2812" s="1" t="n">
        <v>45350.91932870371</v>
      </c>
      <c r="C2812" s="1" t="n">
        <v>45957</v>
      </c>
      <c r="D2812" t="inlineStr">
        <is>
          <t>KRONOBERGS LÄN</t>
        </is>
      </c>
      <c r="E2812" t="inlineStr">
        <is>
          <t>LJUNGBY</t>
        </is>
      </c>
      <c r="G2812" t="n">
        <v>0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26166-2025</t>
        </is>
      </c>
      <c r="B2813" s="1" t="n">
        <v>45805.45325231482</v>
      </c>
      <c r="C2813" s="1" t="n">
        <v>45957</v>
      </c>
      <c r="D2813" t="inlineStr">
        <is>
          <t>KRONOBERGS LÄN</t>
        </is>
      </c>
      <c r="E2813" t="inlineStr">
        <is>
          <t>MARKARYD</t>
        </is>
      </c>
      <c r="G2813" t="n">
        <v>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306-2022</t>
        </is>
      </c>
      <c r="B2814" s="1" t="n">
        <v>44565</v>
      </c>
      <c r="C2814" s="1" t="n">
        <v>45957</v>
      </c>
      <c r="D2814" t="inlineStr">
        <is>
          <t>KRONOBERGS LÄN</t>
        </is>
      </c>
      <c r="E2814" t="inlineStr">
        <is>
          <t>MARKARYD</t>
        </is>
      </c>
      <c r="G2814" t="n">
        <v>8.199999999999999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11029-2024</t>
        </is>
      </c>
      <c r="B2815" s="1" t="n">
        <v>45370.64554398148</v>
      </c>
      <c r="C2815" s="1" t="n">
        <v>45957</v>
      </c>
      <c r="D2815" t="inlineStr">
        <is>
          <t>KRONOBERGS LÄN</t>
        </is>
      </c>
      <c r="E2815" t="inlineStr">
        <is>
          <t>UPPVIDINGE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26309-2025</t>
        </is>
      </c>
      <c r="B2816" s="1" t="n">
        <v>45805.65143518519</v>
      </c>
      <c r="C2816" s="1" t="n">
        <v>45957</v>
      </c>
      <c r="D2816" t="inlineStr">
        <is>
          <t>KRONOBERGS LÄN</t>
        </is>
      </c>
      <c r="E2816" t="inlineStr">
        <is>
          <t>ÄLMHULT</t>
        </is>
      </c>
      <c r="F2816" t="inlineStr">
        <is>
          <t>Sveaskog</t>
        </is>
      </c>
      <c r="G2816" t="n">
        <v>2.2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26314-2025</t>
        </is>
      </c>
      <c r="B2817" s="1" t="n">
        <v>45805.65680555555</v>
      </c>
      <c r="C2817" s="1" t="n">
        <v>45957</v>
      </c>
      <c r="D2817" t="inlineStr">
        <is>
          <t>KRONOBERGS LÄN</t>
        </is>
      </c>
      <c r="E2817" t="inlineStr">
        <is>
          <t>ÄLMHULT</t>
        </is>
      </c>
      <c r="F2817" t="inlineStr">
        <is>
          <t>Sveaskog</t>
        </is>
      </c>
      <c r="G2817" t="n">
        <v>3.8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15496-2025</t>
        </is>
      </c>
      <c r="B2818" s="1" t="n">
        <v>45747</v>
      </c>
      <c r="C2818" s="1" t="n">
        <v>45957</v>
      </c>
      <c r="D2818" t="inlineStr">
        <is>
          <t>KRONOBERGS LÄN</t>
        </is>
      </c>
      <c r="E2818" t="inlineStr">
        <is>
          <t>UPPVIDINGE</t>
        </is>
      </c>
      <c r="F2818" t="inlineStr">
        <is>
          <t>Kommuner</t>
        </is>
      </c>
      <c r="G2818" t="n">
        <v>1.9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15526-2025</t>
        </is>
      </c>
      <c r="B2819" s="1" t="n">
        <v>45747</v>
      </c>
      <c r="C2819" s="1" t="n">
        <v>45957</v>
      </c>
      <c r="D2819" t="inlineStr">
        <is>
          <t>KRONOBERGS LÄN</t>
        </is>
      </c>
      <c r="E2819" t="inlineStr">
        <is>
          <t>UPPVIDINGE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51416-2023</t>
        </is>
      </c>
      <c r="B2820" s="1" t="n">
        <v>45219</v>
      </c>
      <c r="C2820" s="1" t="n">
        <v>45957</v>
      </c>
      <c r="D2820" t="inlineStr">
        <is>
          <t>KRONOBERGS LÄN</t>
        </is>
      </c>
      <c r="E2820" t="inlineStr">
        <is>
          <t>VÄXJÖ</t>
        </is>
      </c>
      <c r="G2820" t="n">
        <v>0.9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33278-2023</t>
        </is>
      </c>
      <c r="B2821" s="1" t="n">
        <v>45127.60701388889</v>
      </c>
      <c r="C2821" s="1" t="n">
        <v>45957</v>
      </c>
      <c r="D2821" t="inlineStr">
        <is>
          <t>KRONOBERGS LÄN</t>
        </is>
      </c>
      <c r="E2821" t="inlineStr">
        <is>
          <t>MARKARYD</t>
        </is>
      </c>
      <c r="G2821" t="n">
        <v>0.8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47478-2025</t>
        </is>
      </c>
      <c r="B2822" s="1" t="n">
        <v>45930</v>
      </c>
      <c r="C2822" s="1" t="n">
        <v>45957</v>
      </c>
      <c r="D2822" t="inlineStr">
        <is>
          <t>KRONOBERGS LÄN</t>
        </is>
      </c>
      <c r="E2822" t="inlineStr">
        <is>
          <t>UPPVIDINGE</t>
        </is>
      </c>
      <c r="F2822" t="inlineStr">
        <is>
          <t>Kyrkan</t>
        </is>
      </c>
      <c r="G2822" t="n">
        <v>4.3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47457-2025</t>
        </is>
      </c>
      <c r="B2823" s="1" t="n">
        <v>45930.65747685185</v>
      </c>
      <c r="C2823" s="1" t="n">
        <v>45957</v>
      </c>
      <c r="D2823" t="inlineStr">
        <is>
          <t>KRONOBERGS LÄN</t>
        </is>
      </c>
      <c r="E2823" t="inlineStr">
        <is>
          <t>MARKARYD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39106-2025</t>
        </is>
      </c>
      <c r="B2824" s="1" t="n">
        <v>45888.53797453704</v>
      </c>
      <c r="C2824" s="1" t="n">
        <v>45957</v>
      </c>
      <c r="D2824" t="inlineStr">
        <is>
          <t>KRONOBERGS LÄN</t>
        </is>
      </c>
      <c r="E2824" t="inlineStr">
        <is>
          <t>ÄLMHULT</t>
        </is>
      </c>
      <c r="G2824" t="n">
        <v>2.8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39185-2025</t>
        </is>
      </c>
      <c r="B2825" s="1" t="n">
        <v>45888.66755787037</v>
      </c>
      <c r="C2825" s="1" t="n">
        <v>45957</v>
      </c>
      <c r="D2825" t="inlineStr">
        <is>
          <t>KRONOBERGS LÄN</t>
        </is>
      </c>
      <c r="E2825" t="inlineStr">
        <is>
          <t>ÄLMHULT</t>
        </is>
      </c>
      <c r="G2825" t="n">
        <v>1.8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49077-2024</t>
        </is>
      </c>
      <c r="B2826" s="1" t="n">
        <v>45594.62287037037</v>
      </c>
      <c r="C2826" s="1" t="n">
        <v>45957</v>
      </c>
      <c r="D2826" t="inlineStr">
        <is>
          <t>KRONOBERGS LÄN</t>
        </is>
      </c>
      <c r="E2826" t="inlineStr">
        <is>
          <t>LJUNGBY</t>
        </is>
      </c>
      <c r="G2826" t="n">
        <v>1.7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26065-2025</t>
        </is>
      </c>
      <c r="B2827" s="1" t="n">
        <v>45805.27778935185</v>
      </c>
      <c r="C2827" s="1" t="n">
        <v>45957</v>
      </c>
      <c r="D2827" t="inlineStr">
        <is>
          <t>KRONOBERGS LÄN</t>
        </is>
      </c>
      <c r="E2827" t="inlineStr">
        <is>
          <t>LJUNGBY</t>
        </is>
      </c>
      <c r="F2827" t="inlineStr">
        <is>
          <t>Sveaskog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38968-2024</t>
        </is>
      </c>
      <c r="B2828" s="1" t="n">
        <v>45548.37193287037</v>
      </c>
      <c r="C2828" s="1" t="n">
        <v>45957</v>
      </c>
      <c r="D2828" t="inlineStr">
        <is>
          <t>KRONOBERGS LÄN</t>
        </is>
      </c>
      <c r="E2828" t="inlineStr">
        <is>
          <t>TINGSRYD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47002-2025</t>
        </is>
      </c>
      <c r="B2829" s="1" t="n">
        <v>45929.5547337963</v>
      </c>
      <c r="C2829" s="1" t="n">
        <v>45957</v>
      </c>
      <c r="D2829" t="inlineStr">
        <is>
          <t>KRONOBERGS LÄN</t>
        </is>
      </c>
      <c r="E2829" t="inlineStr">
        <is>
          <t>ÄLMHULT</t>
        </is>
      </c>
      <c r="G2829" t="n">
        <v>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30886-2023</t>
        </is>
      </c>
      <c r="B2830" s="1" t="n">
        <v>45113.36457175926</v>
      </c>
      <c r="C2830" s="1" t="n">
        <v>45957</v>
      </c>
      <c r="D2830" t="inlineStr">
        <is>
          <t>KRONOBERGS LÄN</t>
        </is>
      </c>
      <c r="E2830" t="inlineStr">
        <is>
          <t>UPPVIDINGE</t>
        </is>
      </c>
      <c r="G2830" t="n">
        <v>2.6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19055-2025</t>
        </is>
      </c>
      <c r="B2831" s="1" t="n">
        <v>45764</v>
      </c>
      <c r="C2831" s="1" t="n">
        <v>45957</v>
      </c>
      <c r="D2831" t="inlineStr">
        <is>
          <t>KRONOBERGS LÄN</t>
        </is>
      </c>
      <c r="E2831" t="inlineStr">
        <is>
          <t>UPPVIDINGE</t>
        </is>
      </c>
      <c r="F2831" t="inlineStr">
        <is>
          <t>Sveaskog</t>
        </is>
      </c>
      <c r="G2831" t="n">
        <v>16.2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26070-2025</t>
        </is>
      </c>
      <c r="B2832" s="1" t="n">
        <v>45805.31606481481</v>
      </c>
      <c r="C2832" s="1" t="n">
        <v>45957</v>
      </c>
      <c r="D2832" t="inlineStr">
        <is>
          <t>KRONOBERGS LÄN</t>
        </is>
      </c>
      <c r="E2832" t="inlineStr">
        <is>
          <t>LJUNGBY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38877-2025</t>
        </is>
      </c>
      <c r="B2833" s="1" t="n">
        <v>45887.5765625</v>
      </c>
      <c r="C2833" s="1" t="n">
        <v>45957</v>
      </c>
      <c r="D2833" t="inlineStr">
        <is>
          <t>KRONOBERGS LÄN</t>
        </is>
      </c>
      <c r="E2833" t="inlineStr">
        <is>
          <t>UPPVIDINGE</t>
        </is>
      </c>
      <c r="G2833" t="n">
        <v>4.1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39102-2025</t>
        </is>
      </c>
      <c r="B2834" s="1" t="n">
        <v>45888.51924768519</v>
      </c>
      <c r="C2834" s="1" t="n">
        <v>45957</v>
      </c>
      <c r="D2834" t="inlineStr">
        <is>
          <t>KRONOBERGS LÄN</t>
        </is>
      </c>
      <c r="E2834" t="inlineStr">
        <is>
          <t>ÄLMHULT</t>
        </is>
      </c>
      <c r="G2834" t="n">
        <v>4.5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47257-2025</t>
        </is>
      </c>
      <c r="B2835" s="1" t="n">
        <v>45930</v>
      </c>
      <c r="C2835" s="1" t="n">
        <v>45957</v>
      </c>
      <c r="D2835" t="inlineStr">
        <is>
          <t>KRONOBERGS LÄN</t>
        </is>
      </c>
      <c r="E2835" t="inlineStr">
        <is>
          <t>VÄXJÖ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34761-2022</t>
        </is>
      </c>
      <c r="B2836" s="1" t="n">
        <v>44795</v>
      </c>
      <c r="C2836" s="1" t="n">
        <v>45957</v>
      </c>
      <c r="D2836" t="inlineStr">
        <is>
          <t>KRONOBERGS LÄN</t>
        </is>
      </c>
      <c r="E2836" t="inlineStr">
        <is>
          <t>TINGSRYD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60513-2020</t>
        </is>
      </c>
      <c r="B2837" s="1" t="n">
        <v>44153.45842592593</v>
      </c>
      <c r="C2837" s="1" t="n">
        <v>45957</v>
      </c>
      <c r="D2837" t="inlineStr">
        <is>
          <t>KRONOBERGS LÄN</t>
        </is>
      </c>
      <c r="E2837" t="inlineStr">
        <is>
          <t>UPPVIDINGE</t>
        </is>
      </c>
      <c r="G2837" t="n">
        <v>0.8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47449-2025</t>
        </is>
      </c>
      <c r="B2838" s="1" t="n">
        <v>45930</v>
      </c>
      <c r="C2838" s="1" t="n">
        <v>45957</v>
      </c>
      <c r="D2838" t="inlineStr">
        <is>
          <t>KRONOBERGS LÄN</t>
        </is>
      </c>
      <c r="E2838" t="inlineStr">
        <is>
          <t>UPPVIDINGE</t>
        </is>
      </c>
      <c r="F2838" t="inlineStr">
        <is>
          <t>Kyrkan</t>
        </is>
      </c>
      <c r="G2838" t="n">
        <v>6.8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47458-2025</t>
        </is>
      </c>
      <c r="B2839" s="1" t="n">
        <v>45930</v>
      </c>
      <c r="C2839" s="1" t="n">
        <v>45957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Kyrkan</t>
        </is>
      </c>
      <c r="G2839" t="n">
        <v>2.3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47486-2025</t>
        </is>
      </c>
      <c r="B2840" s="1" t="n">
        <v>45930.69873842593</v>
      </c>
      <c r="C2840" s="1" t="n">
        <v>45957</v>
      </c>
      <c r="D2840" t="inlineStr">
        <is>
          <t>KRONOBERGS LÄN</t>
        </is>
      </c>
      <c r="E2840" t="inlineStr">
        <is>
          <t>ÄLMHULT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4465-2024</t>
        </is>
      </c>
      <c r="B2841" s="1" t="n">
        <v>45327.54628472222</v>
      </c>
      <c r="C2841" s="1" t="n">
        <v>45957</v>
      </c>
      <c r="D2841" t="inlineStr">
        <is>
          <t>KRONOBERGS LÄN</t>
        </is>
      </c>
      <c r="E2841" t="inlineStr">
        <is>
          <t>LESSEBO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1781-2025</t>
        </is>
      </c>
      <c r="B2842" s="1" t="n">
        <v>45671</v>
      </c>
      <c r="C2842" s="1" t="n">
        <v>45957</v>
      </c>
      <c r="D2842" t="inlineStr">
        <is>
          <t>KRONOBERGS LÄN</t>
        </is>
      </c>
      <c r="E2842" t="inlineStr">
        <is>
          <t>TINGSRYD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26306-2025</t>
        </is>
      </c>
      <c r="B2843" s="1" t="n">
        <v>45805.6447337963</v>
      </c>
      <c r="C2843" s="1" t="n">
        <v>45957</v>
      </c>
      <c r="D2843" t="inlineStr">
        <is>
          <t>KRONOBERGS LÄN</t>
        </is>
      </c>
      <c r="E2843" t="inlineStr">
        <is>
          <t>ÄLMHULT</t>
        </is>
      </c>
      <c r="F2843" t="inlineStr">
        <is>
          <t>Sveaskog</t>
        </is>
      </c>
      <c r="G2843" t="n">
        <v>3.1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26326-2025</t>
        </is>
      </c>
      <c r="B2844" s="1" t="n">
        <v>45805.66611111111</v>
      </c>
      <c r="C2844" s="1" t="n">
        <v>45957</v>
      </c>
      <c r="D2844" t="inlineStr">
        <is>
          <t>KRONOBERGS LÄN</t>
        </is>
      </c>
      <c r="E2844" t="inlineStr">
        <is>
          <t>ÄLMHULT</t>
        </is>
      </c>
      <c r="F2844" t="inlineStr">
        <is>
          <t>Sveaskog</t>
        </is>
      </c>
      <c r="G2844" t="n">
        <v>4.7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30589-2023</t>
        </is>
      </c>
      <c r="B2845" s="1" t="n">
        <v>45112.3402199074</v>
      </c>
      <c r="C2845" s="1" t="n">
        <v>45957</v>
      </c>
      <c r="D2845" t="inlineStr">
        <is>
          <t>KRONOBERGS LÄN</t>
        </is>
      </c>
      <c r="E2845" t="inlineStr">
        <is>
          <t>UPPVIDINGE</t>
        </is>
      </c>
      <c r="G2845" t="n">
        <v>2.3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38803-2025</t>
        </is>
      </c>
      <c r="B2846" s="1" t="n">
        <v>45887.46554398148</v>
      </c>
      <c r="C2846" s="1" t="n">
        <v>45957</v>
      </c>
      <c r="D2846" t="inlineStr">
        <is>
          <t>KRONOBERGS LÄN</t>
        </is>
      </c>
      <c r="E2846" t="inlineStr">
        <is>
          <t>UPPVIDINGE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38912-2025</t>
        </is>
      </c>
      <c r="B2847" s="1" t="n">
        <v>45887.61657407408</v>
      </c>
      <c r="C2847" s="1" t="n">
        <v>45957</v>
      </c>
      <c r="D2847" t="inlineStr">
        <is>
          <t>KRONOBERGS LÄN</t>
        </is>
      </c>
      <c r="E2847" t="inlineStr">
        <is>
          <t>ÄLMHULT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5094-2024</t>
        </is>
      </c>
      <c r="B2848" s="1" t="n">
        <v>45330</v>
      </c>
      <c r="C2848" s="1" t="n">
        <v>45957</v>
      </c>
      <c r="D2848" t="inlineStr">
        <is>
          <t>KRONOBERGS LÄN</t>
        </is>
      </c>
      <c r="E2848" t="inlineStr">
        <is>
          <t>VÄXJÖ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12299-2023</t>
        </is>
      </c>
      <c r="B2849" s="1" t="n">
        <v>44998</v>
      </c>
      <c r="C2849" s="1" t="n">
        <v>45957</v>
      </c>
      <c r="D2849" t="inlineStr">
        <is>
          <t>KRONOBERGS LÄN</t>
        </is>
      </c>
      <c r="E2849" t="inlineStr">
        <is>
          <t>ALVESTA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25616-2023</t>
        </is>
      </c>
      <c r="B2850" s="1" t="n">
        <v>45089</v>
      </c>
      <c r="C2850" s="1" t="n">
        <v>45957</v>
      </c>
      <c r="D2850" t="inlineStr">
        <is>
          <t>KRONOBERGS LÄN</t>
        </is>
      </c>
      <c r="E2850" t="inlineStr">
        <is>
          <t>LJUNGBY</t>
        </is>
      </c>
      <c r="G2850" t="n">
        <v>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47400-2025</t>
        </is>
      </c>
      <c r="B2851" s="1" t="n">
        <v>45930</v>
      </c>
      <c r="C2851" s="1" t="n">
        <v>45957</v>
      </c>
      <c r="D2851" t="inlineStr">
        <is>
          <t>KRONOBERGS LÄN</t>
        </is>
      </c>
      <c r="E2851" t="inlineStr">
        <is>
          <t>UPPVIDINGE</t>
        </is>
      </c>
      <c r="F2851" t="inlineStr">
        <is>
          <t>Kyrkan</t>
        </is>
      </c>
      <c r="G2851" t="n">
        <v>0.9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38838-2025</t>
        </is>
      </c>
      <c r="B2852" s="1" t="n">
        <v>45887.53386574074</v>
      </c>
      <c r="C2852" s="1" t="n">
        <v>45957</v>
      </c>
      <c r="D2852" t="inlineStr">
        <is>
          <t>KRONOBERGS LÄN</t>
        </is>
      </c>
      <c r="E2852" t="inlineStr">
        <is>
          <t>ÄLMHULT</t>
        </is>
      </c>
      <c r="G2852" t="n">
        <v>1.3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12406-2023</t>
        </is>
      </c>
      <c r="B2853" s="1" t="n">
        <v>44999.50538194444</v>
      </c>
      <c r="C2853" s="1" t="n">
        <v>45957</v>
      </c>
      <c r="D2853" t="inlineStr">
        <is>
          <t>KRONOBERGS LÄN</t>
        </is>
      </c>
      <c r="E2853" t="inlineStr">
        <is>
          <t>LJUNGBY</t>
        </is>
      </c>
      <c r="G2853" t="n">
        <v>0.6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38876-2025</t>
        </is>
      </c>
      <c r="B2854" s="1" t="n">
        <v>45887.57631944444</v>
      </c>
      <c r="C2854" s="1" t="n">
        <v>45957</v>
      </c>
      <c r="D2854" t="inlineStr">
        <is>
          <t>KRONOBERGS LÄN</t>
        </is>
      </c>
      <c r="E2854" t="inlineStr">
        <is>
          <t>TINGSRYD</t>
        </is>
      </c>
      <c r="G2854" t="n">
        <v>0.7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38797-2025</t>
        </is>
      </c>
      <c r="B2855" s="1" t="n">
        <v>45887.45643518519</v>
      </c>
      <c r="C2855" s="1" t="n">
        <v>45957</v>
      </c>
      <c r="D2855" t="inlineStr">
        <is>
          <t>KRONOBERGS LÄN</t>
        </is>
      </c>
      <c r="E2855" t="inlineStr">
        <is>
          <t>UPPVIDINGE</t>
        </is>
      </c>
      <c r="G2855" t="n">
        <v>0.6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58299-2024</t>
        </is>
      </c>
      <c r="B2856" s="1" t="n">
        <v>45632.59958333334</v>
      </c>
      <c r="C2856" s="1" t="n">
        <v>45957</v>
      </c>
      <c r="D2856" t="inlineStr">
        <is>
          <t>KRONOBERGS LÄN</t>
        </is>
      </c>
      <c r="E2856" t="inlineStr">
        <is>
          <t>ALVESTA</t>
        </is>
      </c>
      <c r="G2856" t="n">
        <v>0.6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60767-2024</t>
        </is>
      </c>
      <c r="B2857" s="1" t="n">
        <v>45644.57841435185</v>
      </c>
      <c r="C2857" s="1" t="n">
        <v>45957</v>
      </c>
      <c r="D2857" t="inlineStr">
        <is>
          <t>KRONOBERGS LÄN</t>
        </is>
      </c>
      <c r="E2857" t="inlineStr">
        <is>
          <t>VÄXJÖ</t>
        </is>
      </c>
      <c r="G2857" t="n">
        <v>0.6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26063-2025</t>
        </is>
      </c>
      <c r="B2858" s="1" t="n">
        <v>45805.27396990741</v>
      </c>
      <c r="C2858" s="1" t="n">
        <v>45957</v>
      </c>
      <c r="D2858" t="inlineStr">
        <is>
          <t>KRONOBERGS LÄN</t>
        </is>
      </c>
      <c r="E2858" t="inlineStr">
        <is>
          <t>LJUNGBY</t>
        </is>
      </c>
      <c r="F2858" t="inlineStr">
        <is>
          <t>Sveaskog</t>
        </is>
      </c>
      <c r="G2858" t="n">
        <v>2.3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26064-2025</t>
        </is>
      </c>
      <c r="B2859" s="1" t="n">
        <v>45805.27659722222</v>
      </c>
      <c r="C2859" s="1" t="n">
        <v>45957</v>
      </c>
      <c r="D2859" t="inlineStr">
        <is>
          <t>KRONOBERGS LÄN</t>
        </is>
      </c>
      <c r="E2859" t="inlineStr">
        <is>
          <t>LJUNGBY</t>
        </is>
      </c>
      <c r="F2859" t="inlineStr">
        <is>
          <t>Sveaskog</t>
        </is>
      </c>
      <c r="G2859" t="n">
        <v>3.9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26072-2025</t>
        </is>
      </c>
      <c r="B2860" s="1" t="n">
        <v>45805</v>
      </c>
      <c r="C2860" s="1" t="n">
        <v>45957</v>
      </c>
      <c r="D2860" t="inlineStr">
        <is>
          <t>KRONOBERGS LÄN</t>
        </is>
      </c>
      <c r="E2860" t="inlineStr">
        <is>
          <t>VÄXJÖ</t>
        </is>
      </c>
      <c r="G2860" t="n">
        <v>0.4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47270-2025</t>
        </is>
      </c>
      <c r="B2861" s="1" t="n">
        <v>45930.46203703704</v>
      </c>
      <c r="C2861" s="1" t="n">
        <v>45957</v>
      </c>
      <c r="D2861" t="inlineStr">
        <is>
          <t>KRONOBERGS LÄN</t>
        </is>
      </c>
      <c r="E2861" t="inlineStr">
        <is>
          <t>TINGSRYD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26267-2025</t>
        </is>
      </c>
      <c r="B2862" s="1" t="n">
        <v>45805.59104166667</v>
      </c>
      <c r="C2862" s="1" t="n">
        <v>45957</v>
      </c>
      <c r="D2862" t="inlineStr">
        <is>
          <t>KRONOBERGS LÄN</t>
        </is>
      </c>
      <c r="E2862" t="inlineStr">
        <is>
          <t>UPPVIDINGE</t>
        </is>
      </c>
      <c r="G2862" t="n">
        <v>4.9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19057-2025</t>
        </is>
      </c>
      <c r="B2863" s="1" t="n">
        <v>45764</v>
      </c>
      <c r="C2863" s="1" t="n">
        <v>45957</v>
      </c>
      <c r="D2863" t="inlineStr">
        <is>
          <t>KRONOBERGS LÄN</t>
        </is>
      </c>
      <c r="E2863" t="inlineStr">
        <is>
          <t>UPPVIDINGE</t>
        </is>
      </c>
      <c r="F2863" t="inlineStr">
        <is>
          <t>Sveaskog</t>
        </is>
      </c>
      <c r="G2863" t="n">
        <v>0.9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26311-2025</t>
        </is>
      </c>
      <c r="B2864" s="1" t="n">
        <v>45805.65516203704</v>
      </c>
      <c r="C2864" s="1" t="n">
        <v>45957</v>
      </c>
      <c r="D2864" t="inlineStr">
        <is>
          <t>KRONOBERGS LÄN</t>
        </is>
      </c>
      <c r="E2864" t="inlineStr">
        <is>
          <t>TINGSRYD</t>
        </is>
      </c>
      <c r="G2864" t="n">
        <v>2.7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26236-2025</t>
        </is>
      </c>
      <c r="B2865" s="1" t="n">
        <v>45805.56789351852</v>
      </c>
      <c r="C2865" s="1" t="n">
        <v>45957</v>
      </c>
      <c r="D2865" t="inlineStr">
        <is>
          <t>KRONOBERGS LÄN</t>
        </is>
      </c>
      <c r="E2865" t="inlineStr">
        <is>
          <t>ALVESTA</t>
        </is>
      </c>
      <c r="G2865" t="n">
        <v>1.6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55680-2024</t>
        </is>
      </c>
      <c r="B2866" s="1" t="n">
        <v>45622</v>
      </c>
      <c r="C2866" s="1" t="n">
        <v>45957</v>
      </c>
      <c r="D2866" t="inlineStr">
        <is>
          <t>KRONOBERGS LÄN</t>
        </is>
      </c>
      <c r="E2866" t="inlineStr">
        <is>
          <t>UPPVIDINGE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57390-2024</t>
        </is>
      </c>
      <c r="B2867" s="1" t="n">
        <v>45629</v>
      </c>
      <c r="C2867" s="1" t="n">
        <v>45957</v>
      </c>
      <c r="D2867" t="inlineStr">
        <is>
          <t>KRONOBERGS LÄN</t>
        </is>
      </c>
      <c r="E2867" t="inlineStr">
        <is>
          <t>LJUNGBY</t>
        </is>
      </c>
      <c r="G2867" t="n">
        <v>0.5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26241-2025</t>
        </is>
      </c>
      <c r="B2868" s="1" t="n">
        <v>45805.57254629629</v>
      </c>
      <c r="C2868" s="1" t="n">
        <v>45957</v>
      </c>
      <c r="D2868" t="inlineStr">
        <is>
          <t>KRONOBERGS LÄN</t>
        </is>
      </c>
      <c r="E2868" t="inlineStr">
        <is>
          <t>ALVESTA</t>
        </is>
      </c>
      <c r="G2868" t="n">
        <v>0.8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20284-2023</t>
        </is>
      </c>
      <c r="B2869" s="1" t="n">
        <v>45056.31962962963</v>
      </c>
      <c r="C2869" s="1" t="n">
        <v>45957</v>
      </c>
      <c r="D2869" t="inlineStr">
        <is>
          <t>KRONOBERGS LÄN</t>
        </is>
      </c>
      <c r="E2869" t="inlineStr">
        <is>
          <t>LJUNGBY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29803-2025</t>
        </is>
      </c>
      <c r="B2870" s="1" t="n">
        <v>45825.70871527777</v>
      </c>
      <c r="C2870" s="1" t="n">
        <v>45957</v>
      </c>
      <c r="D2870" t="inlineStr">
        <is>
          <t>KRONOBERGS LÄN</t>
        </is>
      </c>
      <c r="E2870" t="inlineStr">
        <is>
          <t>TINGSRYD</t>
        </is>
      </c>
      <c r="G2870" t="n">
        <v>3.6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9531-2025</t>
        </is>
      </c>
      <c r="B2871" s="1" t="n">
        <v>45715.5681712963</v>
      </c>
      <c r="C2871" s="1" t="n">
        <v>45957</v>
      </c>
      <c r="D2871" t="inlineStr">
        <is>
          <t>KRONOBERGS LÄN</t>
        </is>
      </c>
      <c r="E2871" t="inlineStr">
        <is>
          <t>LJUNGBY</t>
        </is>
      </c>
      <c r="G2871" t="n">
        <v>1.1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61187-2020</t>
        </is>
      </c>
      <c r="B2872" s="1" t="n">
        <v>44155</v>
      </c>
      <c r="C2872" s="1" t="n">
        <v>45957</v>
      </c>
      <c r="D2872" t="inlineStr">
        <is>
          <t>KRONOBERGS LÄN</t>
        </is>
      </c>
      <c r="E2872" t="inlineStr">
        <is>
          <t>MARKARYD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18699-2025</t>
        </is>
      </c>
      <c r="B2873" s="1" t="n">
        <v>45763.61952546296</v>
      </c>
      <c r="C2873" s="1" t="n">
        <v>45957</v>
      </c>
      <c r="D2873" t="inlineStr">
        <is>
          <t>KRONOBERGS LÄN</t>
        </is>
      </c>
      <c r="E2873" t="inlineStr">
        <is>
          <t>VÄXJÖ</t>
        </is>
      </c>
      <c r="G2873" t="n">
        <v>4.1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15175-2025</t>
        </is>
      </c>
      <c r="B2874" s="1" t="n">
        <v>45744.51283564815</v>
      </c>
      <c r="C2874" s="1" t="n">
        <v>45957</v>
      </c>
      <c r="D2874" t="inlineStr">
        <is>
          <t>KRONOBERGS LÄN</t>
        </is>
      </c>
      <c r="E2874" t="inlineStr">
        <is>
          <t>ALVESTA</t>
        </is>
      </c>
      <c r="G2874" t="n">
        <v>2.1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47170-2025</t>
        </is>
      </c>
      <c r="B2875" s="1" t="n">
        <v>45929.92255787037</v>
      </c>
      <c r="C2875" s="1" t="n">
        <v>45957</v>
      </c>
      <c r="D2875" t="inlineStr">
        <is>
          <t>KRONOBERGS LÄN</t>
        </is>
      </c>
      <c r="E2875" t="inlineStr">
        <is>
          <t>ÄLMHULT</t>
        </is>
      </c>
      <c r="G2875" t="n">
        <v>1.7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14636-2023</t>
        </is>
      </c>
      <c r="B2876" s="1" t="n">
        <v>45012</v>
      </c>
      <c r="C2876" s="1" t="n">
        <v>45957</v>
      </c>
      <c r="D2876" t="inlineStr">
        <is>
          <t>KRONOBERGS LÄN</t>
        </is>
      </c>
      <c r="E2876" t="inlineStr">
        <is>
          <t>TINGSRYD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14640-2023</t>
        </is>
      </c>
      <c r="B2877" s="1" t="n">
        <v>45013</v>
      </c>
      <c r="C2877" s="1" t="n">
        <v>45957</v>
      </c>
      <c r="D2877" t="inlineStr">
        <is>
          <t>KRONOBERGS LÄN</t>
        </is>
      </c>
      <c r="E2877" t="inlineStr">
        <is>
          <t>UPPVIDINGE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47051-2025</t>
        </is>
      </c>
      <c r="B2878" s="1" t="n">
        <v>45929.61498842593</v>
      </c>
      <c r="C2878" s="1" t="n">
        <v>45957</v>
      </c>
      <c r="D2878" t="inlineStr">
        <is>
          <t>KRONOBERGS LÄN</t>
        </is>
      </c>
      <c r="E2878" t="inlineStr">
        <is>
          <t>ALVESTA</t>
        </is>
      </c>
      <c r="F2878" t="inlineStr">
        <is>
          <t>Kommuner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14766-2023</t>
        </is>
      </c>
      <c r="B2879" s="1" t="n">
        <v>45014.55976851852</v>
      </c>
      <c r="C2879" s="1" t="n">
        <v>45957</v>
      </c>
      <c r="D2879" t="inlineStr">
        <is>
          <t>KRONOBERGS LÄN</t>
        </is>
      </c>
      <c r="E2879" t="inlineStr">
        <is>
          <t>VÄXJÖ</t>
        </is>
      </c>
      <c r="G2879" t="n">
        <v>1.8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44276-2023</t>
        </is>
      </c>
      <c r="B2880" s="1" t="n">
        <v>45188.61378472222</v>
      </c>
      <c r="C2880" s="1" t="n">
        <v>45957</v>
      </c>
      <c r="D2880" t="inlineStr">
        <is>
          <t>KRONOBERGS LÄN</t>
        </is>
      </c>
      <c r="E2880" t="inlineStr">
        <is>
          <t>LJUNGBY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14808-2023</t>
        </is>
      </c>
      <c r="B2881" s="1" t="n">
        <v>45014</v>
      </c>
      <c r="C2881" s="1" t="n">
        <v>45957</v>
      </c>
      <c r="D2881" t="inlineStr">
        <is>
          <t>KRONOBERGS LÄN</t>
        </is>
      </c>
      <c r="E2881" t="inlineStr">
        <is>
          <t>TINGSRYD</t>
        </is>
      </c>
      <c r="G2881" t="n">
        <v>2.3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3533-2023</t>
        </is>
      </c>
      <c r="B2882" s="1" t="n">
        <v>44950</v>
      </c>
      <c r="C2882" s="1" t="n">
        <v>45957</v>
      </c>
      <c r="D2882" t="inlineStr">
        <is>
          <t>KRONOBERGS LÄN</t>
        </is>
      </c>
      <c r="E2882" t="inlineStr">
        <is>
          <t>MARKARYD</t>
        </is>
      </c>
      <c r="G2882" t="n">
        <v>13.2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47858-2023</t>
        </is>
      </c>
      <c r="B2883" s="1" t="n">
        <v>45204.42494212963</v>
      </c>
      <c r="C2883" s="1" t="n">
        <v>45957</v>
      </c>
      <c r="D2883" t="inlineStr">
        <is>
          <t>KRONOBERGS LÄN</t>
        </is>
      </c>
      <c r="E2883" t="inlineStr">
        <is>
          <t>UPPVIDINGE</t>
        </is>
      </c>
      <c r="G2883" t="n">
        <v>2.5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17026-2022</t>
        </is>
      </c>
      <c r="B2884" s="1" t="n">
        <v>44676</v>
      </c>
      <c r="C2884" s="1" t="n">
        <v>45957</v>
      </c>
      <c r="D2884" t="inlineStr">
        <is>
          <t>KRONOBERGS LÄN</t>
        </is>
      </c>
      <c r="E2884" t="inlineStr">
        <is>
          <t>TINGSRYD</t>
        </is>
      </c>
      <c r="G2884" t="n">
        <v>1.9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3589-2023</t>
        </is>
      </c>
      <c r="B2885" s="1" t="n">
        <v>44950.55974537037</v>
      </c>
      <c r="C2885" s="1" t="n">
        <v>45957</v>
      </c>
      <c r="D2885" t="inlineStr">
        <is>
          <t>KRONOBERGS LÄN</t>
        </is>
      </c>
      <c r="E2885" t="inlineStr">
        <is>
          <t>TINGSRYD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26848-2025</t>
        </is>
      </c>
      <c r="B2886" s="1" t="n">
        <v>45810.66587962963</v>
      </c>
      <c r="C2886" s="1" t="n">
        <v>45957</v>
      </c>
      <c r="D2886" t="inlineStr">
        <is>
          <t>KRONOBERGS LÄN</t>
        </is>
      </c>
      <c r="E2886" t="inlineStr">
        <is>
          <t>VÄXJÖ</t>
        </is>
      </c>
      <c r="F2886" t="inlineStr">
        <is>
          <t>Övriga Aktiebolag</t>
        </is>
      </c>
      <c r="G2886" t="n">
        <v>1.6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39048-2025</t>
        </is>
      </c>
      <c r="B2887" s="1" t="n">
        <v>45888.44400462963</v>
      </c>
      <c r="C2887" s="1" t="n">
        <v>45957</v>
      </c>
      <c r="D2887" t="inlineStr">
        <is>
          <t>KRONOBERGS LÄN</t>
        </is>
      </c>
      <c r="E2887" t="inlineStr">
        <is>
          <t>VÄXJÖ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47868-2023</t>
        </is>
      </c>
      <c r="B2888" s="1" t="n">
        <v>45198</v>
      </c>
      <c r="C2888" s="1" t="n">
        <v>45957</v>
      </c>
      <c r="D2888" t="inlineStr">
        <is>
          <t>KRONOBERGS LÄN</t>
        </is>
      </c>
      <c r="E2888" t="inlineStr">
        <is>
          <t>VÄXJÖ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22520-2024</t>
        </is>
      </c>
      <c r="B2889" s="1" t="n">
        <v>45447.41306712963</v>
      </c>
      <c r="C2889" s="1" t="n">
        <v>45957</v>
      </c>
      <c r="D2889" t="inlineStr">
        <is>
          <t>KRONOBERGS LÄN</t>
        </is>
      </c>
      <c r="E2889" t="inlineStr">
        <is>
          <t>VÄXJÖ</t>
        </is>
      </c>
      <c r="G2889" t="n">
        <v>2.6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15838-2025</t>
        </is>
      </c>
      <c r="B2890" s="1" t="n">
        <v>45748.86240740741</v>
      </c>
      <c r="C2890" s="1" t="n">
        <v>45957</v>
      </c>
      <c r="D2890" t="inlineStr">
        <is>
          <t>KRONOBERGS LÄN</t>
        </is>
      </c>
      <c r="E2890" t="inlineStr">
        <is>
          <t>LJUNGBY</t>
        </is>
      </c>
      <c r="G2890" t="n">
        <v>1.1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13993-2023</t>
        </is>
      </c>
      <c r="B2891" s="1" t="n">
        <v>45008.52043981481</v>
      </c>
      <c r="C2891" s="1" t="n">
        <v>45957</v>
      </c>
      <c r="D2891" t="inlineStr">
        <is>
          <t>KRONOBERGS LÄN</t>
        </is>
      </c>
      <c r="E2891" t="inlineStr">
        <is>
          <t>VÄXJÖ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16936-2025</t>
        </is>
      </c>
      <c r="B2892" s="1" t="n">
        <v>45755.41075231481</v>
      </c>
      <c r="C2892" s="1" t="n">
        <v>45957</v>
      </c>
      <c r="D2892" t="inlineStr">
        <is>
          <t>KRONOBERGS LÄN</t>
        </is>
      </c>
      <c r="E2892" t="inlineStr">
        <is>
          <t>UPPVIDINGE</t>
        </is>
      </c>
      <c r="G2892" t="n">
        <v>3.1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52087-2024</t>
        </is>
      </c>
      <c r="B2893" s="1" t="n">
        <v>45608.39688657408</v>
      </c>
      <c r="C2893" s="1" t="n">
        <v>45957</v>
      </c>
      <c r="D2893" t="inlineStr">
        <is>
          <t>KRONOBERGS LÄN</t>
        </is>
      </c>
      <c r="E2893" t="inlineStr">
        <is>
          <t>ALVESTA</t>
        </is>
      </c>
      <c r="F2893" t="inlineStr">
        <is>
          <t>Övriga Aktiebolag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60097-2020</t>
        </is>
      </c>
      <c r="B2894" s="1" t="n">
        <v>44152</v>
      </c>
      <c r="C2894" s="1" t="n">
        <v>45957</v>
      </c>
      <c r="D2894" t="inlineStr">
        <is>
          <t>KRONOBERGS LÄN</t>
        </is>
      </c>
      <c r="E2894" t="inlineStr">
        <is>
          <t>ÄLMHULT</t>
        </is>
      </c>
      <c r="G2894" t="n">
        <v>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16022-2023</t>
        </is>
      </c>
      <c r="B2895" s="1" t="n">
        <v>45026</v>
      </c>
      <c r="C2895" s="1" t="n">
        <v>45957</v>
      </c>
      <c r="D2895" t="inlineStr">
        <is>
          <t>KRONOBERGS LÄN</t>
        </is>
      </c>
      <c r="E2895" t="inlineStr">
        <is>
          <t>MARKARYD</t>
        </is>
      </c>
      <c r="G2895" t="n">
        <v>1.6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32427-2024</t>
        </is>
      </c>
      <c r="B2896" s="1" t="n">
        <v>45512</v>
      </c>
      <c r="C2896" s="1" t="n">
        <v>45957</v>
      </c>
      <c r="D2896" t="inlineStr">
        <is>
          <t>KRONOBERGS LÄN</t>
        </is>
      </c>
      <c r="E2896" t="inlineStr">
        <is>
          <t>MARKARYD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4557-2025</t>
        </is>
      </c>
      <c r="B2897" s="1" t="n">
        <v>45687.4494675926</v>
      </c>
      <c r="C2897" s="1" t="n">
        <v>45957</v>
      </c>
      <c r="D2897" t="inlineStr">
        <is>
          <t>KRONOBERGS LÄN</t>
        </is>
      </c>
      <c r="E2897" t="inlineStr">
        <is>
          <t>MARKARYD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47424-2025</t>
        </is>
      </c>
      <c r="B2898" s="1" t="n">
        <v>45930</v>
      </c>
      <c r="C2898" s="1" t="n">
        <v>45957</v>
      </c>
      <c r="D2898" t="inlineStr">
        <is>
          <t>KRONOBERGS LÄN</t>
        </is>
      </c>
      <c r="E2898" t="inlineStr">
        <is>
          <t>MARKARYD</t>
        </is>
      </c>
      <c r="G2898" t="n">
        <v>3.8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4577-2025</t>
        </is>
      </c>
      <c r="B2899" s="1" t="n">
        <v>45687.49402777778</v>
      </c>
      <c r="C2899" s="1" t="n">
        <v>45957</v>
      </c>
      <c r="D2899" t="inlineStr">
        <is>
          <t>KRONOBERGS LÄN</t>
        </is>
      </c>
      <c r="E2899" t="inlineStr">
        <is>
          <t>ÄLMHULT</t>
        </is>
      </c>
      <c r="G2899" t="n">
        <v>3.3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47004-2025</t>
        </is>
      </c>
      <c r="B2900" s="1" t="n">
        <v>45929.55532407408</v>
      </c>
      <c r="C2900" s="1" t="n">
        <v>45957</v>
      </c>
      <c r="D2900" t="inlineStr">
        <is>
          <t>KRONOBERGS LÄN</t>
        </is>
      </c>
      <c r="E2900" t="inlineStr">
        <is>
          <t>ALVESTA</t>
        </is>
      </c>
      <c r="F2900" t="inlineStr">
        <is>
          <t>Kommuner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22563-2024</t>
        </is>
      </c>
      <c r="B2901" s="1" t="n">
        <v>45447</v>
      </c>
      <c r="C2901" s="1" t="n">
        <v>45957</v>
      </c>
      <c r="D2901" t="inlineStr">
        <is>
          <t>KRONOBERGS LÄN</t>
        </is>
      </c>
      <c r="E2901" t="inlineStr">
        <is>
          <t>ALVESTA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15979-2025</t>
        </is>
      </c>
      <c r="B2902" s="1" t="n">
        <v>45749.56623842593</v>
      </c>
      <c r="C2902" s="1" t="n">
        <v>45957</v>
      </c>
      <c r="D2902" t="inlineStr">
        <is>
          <t>KRONOBERGS LÄN</t>
        </is>
      </c>
      <c r="E2902" t="inlineStr">
        <is>
          <t>LJUNGBY</t>
        </is>
      </c>
      <c r="G2902" t="n">
        <v>1.6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47019-2025</t>
        </is>
      </c>
      <c r="B2903" s="1" t="n">
        <v>45929.57574074074</v>
      </c>
      <c r="C2903" s="1" t="n">
        <v>45957</v>
      </c>
      <c r="D2903" t="inlineStr">
        <is>
          <t>KRONOBERGS LÄN</t>
        </is>
      </c>
      <c r="E2903" t="inlineStr">
        <is>
          <t>LJUNGBY</t>
        </is>
      </c>
      <c r="G2903" t="n">
        <v>10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50689-2023</t>
        </is>
      </c>
      <c r="B2904" s="1" t="n">
        <v>45210</v>
      </c>
      <c r="C2904" s="1" t="n">
        <v>45957</v>
      </c>
      <c r="D2904" t="inlineStr">
        <is>
          <t>KRONOBERGS LÄN</t>
        </is>
      </c>
      <c r="E2904" t="inlineStr">
        <is>
          <t>ALVESTA</t>
        </is>
      </c>
      <c r="G2904" t="n">
        <v>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26470-2025</t>
        </is>
      </c>
      <c r="B2905" s="1" t="n">
        <v>45807.45759259259</v>
      </c>
      <c r="C2905" s="1" t="n">
        <v>45957</v>
      </c>
      <c r="D2905" t="inlineStr">
        <is>
          <t>KRONOBERGS LÄN</t>
        </is>
      </c>
      <c r="E2905" t="inlineStr">
        <is>
          <t>UPPVIDINGE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6322-2023</t>
        </is>
      </c>
      <c r="B2906" s="1" t="n">
        <v>44965.48167824074</v>
      </c>
      <c r="C2906" s="1" t="n">
        <v>45957</v>
      </c>
      <c r="D2906" t="inlineStr">
        <is>
          <t>KRONOBERGS LÄN</t>
        </is>
      </c>
      <c r="E2906" t="inlineStr">
        <is>
          <t>TINGSRYD</t>
        </is>
      </c>
      <c r="F2906" t="inlineStr">
        <is>
          <t>Kommuner</t>
        </is>
      </c>
      <c r="G2906" t="n">
        <v>2.6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43959-2022</t>
        </is>
      </c>
      <c r="B2907" s="1" t="n">
        <v>44838.60506944444</v>
      </c>
      <c r="C2907" s="1" t="n">
        <v>45957</v>
      </c>
      <c r="D2907" t="inlineStr">
        <is>
          <t>KRONOBERGS LÄN</t>
        </is>
      </c>
      <c r="E2907" t="inlineStr">
        <is>
          <t>ALVESTA</t>
        </is>
      </c>
      <c r="G2907" t="n">
        <v>1.3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66198-2020</t>
        </is>
      </c>
      <c r="B2908" s="1" t="n">
        <v>44175</v>
      </c>
      <c r="C2908" s="1" t="n">
        <v>45957</v>
      </c>
      <c r="D2908" t="inlineStr">
        <is>
          <t>KRONOBERGS LÄN</t>
        </is>
      </c>
      <c r="E2908" t="inlineStr">
        <is>
          <t>LESSEBO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38999-2025</t>
        </is>
      </c>
      <c r="B2909" s="1" t="n">
        <v>45888.34261574074</v>
      </c>
      <c r="C2909" s="1" t="n">
        <v>45957</v>
      </c>
      <c r="D2909" t="inlineStr">
        <is>
          <t>KRONOBERGS LÄN</t>
        </is>
      </c>
      <c r="E2909" t="inlineStr">
        <is>
          <t>LJUNGBY</t>
        </is>
      </c>
      <c r="G2909" t="n">
        <v>1.3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25904-2025</t>
        </is>
      </c>
      <c r="B2910" s="1" t="n">
        <v>45804.55577546296</v>
      </c>
      <c r="C2910" s="1" t="n">
        <v>45957</v>
      </c>
      <c r="D2910" t="inlineStr">
        <is>
          <t>KRONOBERGS LÄN</t>
        </is>
      </c>
      <c r="E2910" t="inlineStr">
        <is>
          <t>ALVESTA</t>
        </is>
      </c>
      <c r="G2910" t="n">
        <v>0.8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16854-2023</t>
        </is>
      </c>
      <c r="B2911" s="1" t="n">
        <v>45033.46269675926</v>
      </c>
      <c r="C2911" s="1" t="n">
        <v>45957</v>
      </c>
      <c r="D2911" t="inlineStr">
        <is>
          <t>KRONOBERGS LÄN</t>
        </is>
      </c>
      <c r="E2911" t="inlineStr">
        <is>
          <t>TINGSRYD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2864-2023</t>
        </is>
      </c>
      <c r="B2912" s="1" t="n">
        <v>44945.43136574074</v>
      </c>
      <c r="C2912" s="1" t="n">
        <v>45957</v>
      </c>
      <c r="D2912" t="inlineStr">
        <is>
          <t>KRONOBERGS LÄN</t>
        </is>
      </c>
      <c r="E2912" t="inlineStr">
        <is>
          <t>TINGSRYD</t>
        </is>
      </c>
      <c r="G2912" t="n">
        <v>2.6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49766-2024</t>
        </is>
      </c>
      <c r="B2913" s="1" t="n">
        <v>45597.34225694444</v>
      </c>
      <c r="C2913" s="1" t="n">
        <v>45957</v>
      </c>
      <c r="D2913" t="inlineStr">
        <is>
          <t>KRONOBERGS LÄN</t>
        </is>
      </c>
      <c r="E2913" t="inlineStr">
        <is>
          <t>UPPVIDINGE</t>
        </is>
      </c>
      <c r="F2913" t="inlineStr">
        <is>
          <t>Sveaskog</t>
        </is>
      </c>
      <c r="G2913" t="n">
        <v>3.9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36880-2024</t>
        </is>
      </c>
      <c r="B2914" s="1" t="n">
        <v>45538</v>
      </c>
      <c r="C2914" s="1" t="n">
        <v>45957</v>
      </c>
      <c r="D2914" t="inlineStr">
        <is>
          <t>KRONOBERGS LÄN</t>
        </is>
      </c>
      <c r="E2914" t="inlineStr">
        <is>
          <t>ALVESTA</t>
        </is>
      </c>
      <c r="F2914" t="inlineStr">
        <is>
          <t>Kyrkan</t>
        </is>
      </c>
      <c r="G2914" t="n">
        <v>3.8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61442-2023</t>
        </is>
      </c>
      <c r="B2915" s="1" t="n">
        <v>45264</v>
      </c>
      <c r="C2915" s="1" t="n">
        <v>45957</v>
      </c>
      <c r="D2915" t="inlineStr">
        <is>
          <t>KRONOBERGS LÄN</t>
        </is>
      </c>
      <c r="E2915" t="inlineStr">
        <is>
          <t>TINGSRYD</t>
        </is>
      </c>
      <c r="G2915" t="n">
        <v>1.5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61445-2023</t>
        </is>
      </c>
      <c r="B2916" s="1" t="n">
        <v>45264.80452546296</v>
      </c>
      <c r="C2916" s="1" t="n">
        <v>45957</v>
      </c>
      <c r="D2916" t="inlineStr">
        <is>
          <t>KRONOBERGS LÄN</t>
        </is>
      </c>
      <c r="E2916" t="inlineStr">
        <is>
          <t>TINGSRYD</t>
        </is>
      </c>
      <c r="G2916" t="n">
        <v>0.9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38843-2025</t>
        </is>
      </c>
      <c r="B2917" s="1" t="n">
        <v>45887.54020833333</v>
      </c>
      <c r="C2917" s="1" t="n">
        <v>45957</v>
      </c>
      <c r="D2917" t="inlineStr">
        <is>
          <t>KRONOBERGS LÄN</t>
        </is>
      </c>
      <c r="E2917" t="inlineStr">
        <is>
          <t>TINGSRYD</t>
        </is>
      </c>
      <c r="G2917" t="n">
        <v>3.6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47464-2025</t>
        </is>
      </c>
      <c r="B2918" s="1" t="n">
        <v>45930</v>
      </c>
      <c r="C2918" s="1" t="n">
        <v>45957</v>
      </c>
      <c r="D2918" t="inlineStr">
        <is>
          <t>KRONOBERGS LÄN</t>
        </is>
      </c>
      <c r="E2918" t="inlineStr">
        <is>
          <t>UPPVIDINGE</t>
        </is>
      </c>
      <c r="F2918" t="inlineStr">
        <is>
          <t>Kyrkan</t>
        </is>
      </c>
      <c r="G2918" t="n">
        <v>3.2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1928-2023</t>
        </is>
      </c>
      <c r="B2919" s="1" t="n">
        <v>44939</v>
      </c>
      <c r="C2919" s="1" t="n">
        <v>45957</v>
      </c>
      <c r="D2919" t="inlineStr">
        <is>
          <t>KRONOBERGS LÄN</t>
        </is>
      </c>
      <c r="E2919" t="inlineStr">
        <is>
          <t>TINGSRYD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39056-2025</t>
        </is>
      </c>
      <c r="B2920" s="1" t="n">
        <v>45888.45409722222</v>
      </c>
      <c r="C2920" s="1" t="n">
        <v>45957</v>
      </c>
      <c r="D2920" t="inlineStr">
        <is>
          <t>KRONOBERGS LÄN</t>
        </is>
      </c>
      <c r="E2920" t="inlineStr">
        <is>
          <t>VÄXJÖ</t>
        </is>
      </c>
      <c r="G2920" t="n">
        <v>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52657-2024</t>
        </is>
      </c>
      <c r="B2921" s="1" t="n">
        <v>45610.35752314814</v>
      </c>
      <c r="C2921" s="1" t="n">
        <v>45957</v>
      </c>
      <c r="D2921" t="inlineStr">
        <is>
          <t>KRONOBERGS LÄN</t>
        </is>
      </c>
      <c r="E2921" t="inlineStr">
        <is>
          <t>UPPVIDINGE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52711-2024</t>
        </is>
      </c>
      <c r="B2922" s="1" t="n">
        <v>45610.42850694444</v>
      </c>
      <c r="C2922" s="1" t="n">
        <v>45957</v>
      </c>
      <c r="D2922" t="inlineStr">
        <is>
          <t>KRONOBERGS LÄN</t>
        </is>
      </c>
      <c r="E2922" t="inlineStr">
        <is>
          <t>LJUNGBY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39061-2025</t>
        </is>
      </c>
      <c r="B2923" s="1" t="n">
        <v>45888.46113425926</v>
      </c>
      <c r="C2923" s="1" t="n">
        <v>45957</v>
      </c>
      <c r="D2923" t="inlineStr">
        <is>
          <t>KRONOBERGS LÄN</t>
        </is>
      </c>
      <c r="E2923" t="inlineStr">
        <is>
          <t>ÄLMHULT</t>
        </is>
      </c>
      <c r="G2923" t="n">
        <v>1.2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24297-2021</t>
        </is>
      </c>
      <c r="B2924" s="1" t="n">
        <v>44337.32231481482</v>
      </c>
      <c r="C2924" s="1" t="n">
        <v>45957</v>
      </c>
      <c r="D2924" t="inlineStr">
        <is>
          <t>KRONOBERGS LÄN</t>
        </is>
      </c>
      <c r="E2924" t="inlineStr">
        <is>
          <t>MARKARYD</t>
        </is>
      </c>
      <c r="G2924" t="n">
        <v>2.5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33076-2023</t>
        </is>
      </c>
      <c r="B2925" s="1" t="n">
        <v>45126</v>
      </c>
      <c r="C2925" s="1" t="n">
        <v>45957</v>
      </c>
      <c r="D2925" t="inlineStr">
        <is>
          <t>KRONOBERGS LÄN</t>
        </is>
      </c>
      <c r="E2925" t="inlineStr">
        <is>
          <t>LESSEBO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33113-2023</t>
        </is>
      </c>
      <c r="B2926" s="1" t="n">
        <v>45114</v>
      </c>
      <c r="C2926" s="1" t="n">
        <v>45957</v>
      </c>
      <c r="D2926" t="inlineStr">
        <is>
          <t>KRONOBERGS LÄN</t>
        </is>
      </c>
      <c r="E2926" t="inlineStr">
        <is>
          <t>ALVESTA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11302-2024</t>
        </is>
      </c>
      <c r="B2927" s="1" t="n">
        <v>45371.85761574074</v>
      </c>
      <c r="C2927" s="1" t="n">
        <v>45957</v>
      </c>
      <c r="D2927" t="inlineStr">
        <is>
          <t>KRONOBERGS LÄN</t>
        </is>
      </c>
      <c r="E2927" t="inlineStr">
        <is>
          <t>LJUNGBY</t>
        </is>
      </c>
      <c r="G2927" t="n">
        <v>12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16756-2025</t>
        </is>
      </c>
      <c r="B2928" s="1" t="n">
        <v>45754.5728125</v>
      </c>
      <c r="C2928" s="1" t="n">
        <v>45957</v>
      </c>
      <c r="D2928" t="inlineStr">
        <is>
          <t>KRONOBERGS LÄN</t>
        </is>
      </c>
      <c r="E2928" t="inlineStr">
        <is>
          <t>VÄXJÖ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37373-2024</t>
        </is>
      </c>
      <c r="B2929" s="1" t="n">
        <v>45540.56981481481</v>
      </c>
      <c r="C2929" s="1" t="n">
        <v>45957</v>
      </c>
      <c r="D2929" t="inlineStr">
        <is>
          <t>KRONOBERGS LÄN</t>
        </is>
      </c>
      <c r="E2929" t="inlineStr">
        <is>
          <t>UPPVIDINGE</t>
        </is>
      </c>
      <c r="G2929" t="n">
        <v>3.8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59544-2024</t>
        </is>
      </c>
      <c r="B2930" s="1" t="n">
        <v>45637</v>
      </c>
      <c r="C2930" s="1" t="n">
        <v>45957</v>
      </c>
      <c r="D2930" t="inlineStr">
        <is>
          <t>KRONOBERGS LÄN</t>
        </is>
      </c>
      <c r="E2930" t="inlineStr">
        <is>
          <t>LJUNGBY</t>
        </is>
      </c>
      <c r="G2930" t="n">
        <v>3.7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17581-2025</t>
        </is>
      </c>
      <c r="B2931" s="1" t="n">
        <v>45757.66442129629</v>
      </c>
      <c r="C2931" s="1" t="n">
        <v>45957</v>
      </c>
      <c r="D2931" t="inlineStr">
        <is>
          <t>KRONOBERGS LÄN</t>
        </is>
      </c>
      <c r="E2931" t="inlineStr">
        <is>
          <t>MARKARYD</t>
        </is>
      </c>
      <c r="G2931" t="n">
        <v>2.8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26471-2025</t>
        </is>
      </c>
      <c r="B2932" s="1" t="n">
        <v>45807.45905092593</v>
      </c>
      <c r="C2932" s="1" t="n">
        <v>45957</v>
      </c>
      <c r="D2932" t="inlineStr">
        <is>
          <t>KRONOBERGS LÄN</t>
        </is>
      </c>
      <c r="E2932" t="inlineStr">
        <is>
          <t>UPPVIDINGE</t>
        </is>
      </c>
      <c r="G2932" t="n">
        <v>0.7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26472-2025</t>
        </is>
      </c>
      <c r="B2933" s="1" t="n">
        <v>45807.46021990741</v>
      </c>
      <c r="C2933" s="1" t="n">
        <v>45957</v>
      </c>
      <c r="D2933" t="inlineStr">
        <is>
          <t>KRONOBERGS LÄN</t>
        </is>
      </c>
      <c r="E2933" t="inlineStr">
        <is>
          <t>UPPVIDINGE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17909-2025</t>
        </is>
      </c>
      <c r="B2934" s="1" t="n">
        <v>45758.73298611111</v>
      </c>
      <c r="C2934" s="1" t="n">
        <v>45957</v>
      </c>
      <c r="D2934" t="inlineStr">
        <is>
          <t>KRONOBERGS LÄN</t>
        </is>
      </c>
      <c r="E2934" t="inlineStr">
        <is>
          <t>LJUNGBY</t>
        </is>
      </c>
      <c r="G2934" t="n">
        <v>0.7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760-2022</t>
        </is>
      </c>
      <c r="B2935" s="1" t="n">
        <v>44569</v>
      </c>
      <c r="C2935" s="1" t="n">
        <v>45957</v>
      </c>
      <c r="D2935" t="inlineStr">
        <is>
          <t>KRONOBERGS LÄN</t>
        </is>
      </c>
      <c r="E2935" t="inlineStr">
        <is>
          <t>ALVESTA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26420-2025</t>
        </is>
      </c>
      <c r="B2936" s="1" t="n">
        <v>45807.3696412037</v>
      </c>
      <c r="C2936" s="1" t="n">
        <v>45957</v>
      </c>
      <c r="D2936" t="inlineStr">
        <is>
          <t>KRONOBERGS LÄN</t>
        </is>
      </c>
      <c r="E2936" t="inlineStr">
        <is>
          <t>ALVESTA</t>
        </is>
      </c>
      <c r="G2936" t="n">
        <v>2.8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47427-2025</t>
        </is>
      </c>
      <c r="B2937" s="1" t="n">
        <v>45930.6357175926</v>
      </c>
      <c r="C2937" s="1" t="n">
        <v>45957</v>
      </c>
      <c r="D2937" t="inlineStr">
        <is>
          <t>KRONOBERGS LÄN</t>
        </is>
      </c>
      <c r="E2937" t="inlineStr">
        <is>
          <t>MARKARYD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50919-2023</t>
        </is>
      </c>
      <c r="B2938" s="1" t="n">
        <v>45218.434375</v>
      </c>
      <c r="C2938" s="1" t="n">
        <v>45957</v>
      </c>
      <c r="D2938" t="inlineStr">
        <is>
          <t>KRONOBERGS LÄN</t>
        </is>
      </c>
      <c r="E2938" t="inlineStr">
        <is>
          <t>MARKARYD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785-2022</t>
        </is>
      </c>
      <c r="B2939" s="1" t="n">
        <v>44570.82280092593</v>
      </c>
      <c r="C2939" s="1" t="n">
        <v>45957</v>
      </c>
      <c r="D2939" t="inlineStr">
        <is>
          <t>KRONOBERGS LÄN</t>
        </is>
      </c>
      <c r="E2939" t="inlineStr">
        <is>
          <t>TINGSRYD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7287-2022</t>
        </is>
      </c>
      <c r="B2940" s="1" t="n">
        <v>44606.47229166667</v>
      </c>
      <c r="C2940" s="1" t="n">
        <v>45957</v>
      </c>
      <c r="D2940" t="inlineStr">
        <is>
          <t>KRONOBERGS LÄN</t>
        </is>
      </c>
      <c r="E2940" t="inlineStr">
        <is>
          <t>ALVESTA</t>
        </is>
      </c>
      <c r="G2940" t="n">
        <v>0.4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17055-2024</t>
        </is>
      </c>
      <c r="B2941" s="1" t="n">
        <v>45412.44925925926</v>
      </c>
      <c r="C2941" s="1" t="n">
        <v>45957</v>
      </c>
      <c r="D2941" t="inlineStr">
        <is>
          <t>KRONOBERGS LÄN</t>
        </is>
      </c>
      <c r="E2941" t="inlineStr">
        <is>
          <t>VÄXJÖ</t>
        </is>
      </c>
      <c r="G2941" t="n">
        <v>0.6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17060-2024</t>
        </is>
      </c>
      <c r="B2942" s="1" t="n">
        <v>45412.45357638889</v>
      </c>
      <c r="C2942" s="1" t="n">
        <v>45957</v>
      </c>
      <c r="D2942" t="inlineStr">
        <is>
          <t>KRONOBERGS LÄN</t>
        </is>
      </c>
      <c r="E2942" t="inlineStr">
        <is>
          <t>VÄXJÖ</t>
        </is>
      </c>
      <c r="G2942" t="n">
        <v>1.6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12961-2024</t>
        </is>
      </c>
      <c r="B2943" s="1" t="n">
        <v>45385.49137731481</v>
      </c>
      <c r="C2943" s="1" t="n">
        <v>45957</v>
      </c>
      <c r="D2943" t="inlineStr">
        <is>
          <t>KRONOBERGS LÄN</t>
        </is>
      </c>
      <c r="E2943" t="inlineStr">
        <is>
          <t>UPPVIDINGE</t>
        </is>
      </c>
      <c r="G2943" t="n">
        <v>2.4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47350-2025</t>
        </is>
      </c>
      <c r="B2944" s="1" t="n">
        <v>45930</v>
      </c>
      <c r="C2944" s="1" t="n">
        <v>45957</v>
      </c>
      <c r="D2944" t="inlineStr">
        <is>
          <t>KRONOBERGS LÄN</t>
        </is>
      </c>
      <c r="E2944" t="inlineStr">
        <is>
          <t>LJUNGBY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13580-2024</t>
        </is>
      </c>
      <c r="B2945" s="1" t="n">
        <v>45389</v>
      </c>
      <c r="C2945" s="1" t="n">
        <v>45957</v>
      </c>
      <c r="D2945" t="inlineStr">
        <is>
          <t>KRONOBERGS LÄN</t>
        </is>
      </c>
      <c r="E2945" t="inlineStr">
        <is>
          <t>UPPVIDINGE</t>
        </is>
      </c>
      <c r="G2945" t="n">
        <v>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73272-2021</t>
        </is>
      </c>
      <c r="B2946" s="1" t="n">
        <v>44550.91732638889</v>
      </c>
      <c r="C2946" s="1" t="n">
        <v>45957</v>
      </c>
      <c r="D2946" t="inlineStr">
        <is>
          <t>KRONOBERGS LÄN</t>
        </is>
      </c>
      <c r="E2946" t="inlineStr">
        <is>
          <t>TINGSRYD</t>
        </is>
      </c>
      <c r="G2946" t="n">
        <v>1.2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12704-2023</t>
        </is>
      </c>
      <c r="B2947" s="1" t="n">
        <v>45000</v>
      </c>
      <c r="C2947" s="1" t="n">
        <v>45957</v>
      </c>
      <c r="D2947" t="inlineStr">
        <is>
          <t>KRONOBERGS LÄN</t>
        </is>
      </c>
      <c r="E2947" t="inlineStr">
        <is>
          <t>VÄXJÖ</t>
        </is>
      </c>
      <c r="G2947" t="n">
        <v>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8037-2022</t>
        </is>
      </c>
      <c r="B2948" s="1" t="n">
        <v>44609</v>
      </c>
      <c r="C2948" s="1" t="n">
        <v>45957</v>
      </c>
      <c r="D2948" t="inlineStr">
        <is>
          <t>KRONOBERGS LÄN</t>
        </is>
      </c>
      <c r="E2948" t="inlineStr">
        <is>
          <t>VÄXJÖ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36966-2024</t>
        </is>
      </c>
      <c r="B2949" s="1" t="n">
        <v>45538.80545138889</v>
      </c>
      <c r="C2949" s="1" t="n">
        <v>45957</v>
      </c>
      <c r="D2949" t="inlineStr">
        <is>
          <t>KRONOBERGS LÄN</t>
        </is>
      </c>
      <c r="E2949" t="inlineStr">
        <is>
          <t>UPPVIDINGE</t>
        </is>
      </c>
      <c r="G2949" t="n">
        <v>3.7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37803-2024</t>
        </is>
      </c>
      <c r="B2950" s="1" t="n">
        <v>45543.72571759259</v>
      </c>
      <c r="C2950" s="1" t="n">
        <v>45957</v>
      </c>
      <c r="D2950" t="inlineStr">
        <is>
          <t>KRONOBERGS LÄN</t>
        </is>
      </c>
      <c r="E2950" t="inlineStr">
        <is>
          <t>ÄLMHULT</t>
        </is>
      </c>
      <c r="G2950" t="n">
        <v>3.1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25777-2024</t>
        </is>
      </c>
      <c r="B2951" s="1" t="n">
        <v>45466.72841435186</v>
      </c>
      <c r="C2951" s="1" t="n">
        <v>45957</v>
      </c>
      <c r="D2951" t="inlineStr">
        <is>
          <t>KRONOBERGS LÄN</t>
        </is>
      </c>
      <c r="E2951" t="inlineStr">
        <is>
          <t>VÄXJÖ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2265-2023</t>
        </is>
      </c>
      <c r="B2952" s="1" t="n">
        <v>44942</v>
      </c>
      <c r="C2952" s="1" t="n">
        <v>45957</v>
      </c>
      <c r="D2952" t="inlineStr">
        <is>
          <t>KRONOBERGS LÄN</t>
        </is>
      </c>
      <c r="E2952" t="inlineStr">
        <is>
          <t>UPPVIDINGE</t>
        </is>
      </c>
      <c r="G2952" t="n">
        <v>1.1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12818-2025</t>
        </is>
      </c>
      <c r="B2953" s="1" t="n">
        <v>45733.62466435185</v>
      </c>
      <c r="C2953" s="1" t="n">
        <v>45957</v>
      </c>
      <c r="D2953" t="inlineStr">
        <is>
          <t>KRONOBERGS LÄN</t>
        </is>
      </c>
      <c r="E2953" t="inlineStr">
        <is>
          <t>ALVESTA</t>
        </is>
      </c>
      <c r="G2953" t="n">
        <v>0.7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12916-2025</t>
        </is>
      </c>
      <c r="B2954" s="1" t="n">
        <v>45733.84600694444</v>
      </c>
      <c r="C2954" s="1" t="n">
        <v>45957</v>
      </c>
      <c r="D2954" t="inlineStr">
        <is>
          <t>KRONOBERGS LÄN</t>
        </is>
      </c>
      <c r="E2954" t="inlineStr">
        <is>
          <t>VÄXJÖ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2324-2023</t>
        </is>
      </c>
      <c r="B2955" s="1" t="n">
        <v>44942</v>
      </c>
      <c r="C2955" s="1" t="n">
        <v>45957</v>
      </c>
      <c r="D2955" t="inlineStr">
        <is>
          <t>KRONOBERGS LÄN</t>
        </is>
      </c>
      <c r="E2955" t="inlineStr">
        <is>
          <t>LJUNGBY</t>
        </is>
      </c>
      <c r="G2955" t="n">
        <v>3.8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38728-2025</t>
        </is>
      </c>
      <c r="B2956" s="1" t="n">
        <v>45887.32653935185</v>
      </c>
      <c r="C2956" s="1" t="n">
        <v>45957</v>
      </c>
      <c r="D2956" t="inlineStr">
        <is>
          <t>KRONOBERGS LÄN</t>
        </is>
      </c>
      <c r="E2956" t="inlineStr">
        <is>
          <t>VÄXJÖ</t>
        </is>
      </c>
      <c r="G2956" t="n">
        <v>0.9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29898-2023</t>
        </is>
      </c>
      <c r="B2957" s="1" t="n">
        <v>45107.6415162037</v>
      </c>
      <c r="C2957" s="1" t="n">
        <v>45957</v>
      </c>
      <c r="D2957" t="inlineStr">
        <is>
          <t>KRONOBERGS LÄN</t>
        </is>
      </c>
      <c r="E2957" t="inlineStr">
        <is>
          <t>TINGSRYD</t>
        </is>
      </c>
      <c r="G2957" t="n">
        <v>0.5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16536-2023</t>
        </is>
      </c>
      <c r="B2958" s="1" t="n">
        <v>45029.70599537037</v>
      </c>
      <c r="C2958" s="1" t="n">
        <v>45957</v>
      </c>
      <c r="D2958" t="inlineStr">
        <is>
          <t>KRONOBERGS LÄN</t>
        </is>
      </c>
      <c r="E2958" t="inlineStr">
        <is>
          <t>TINGSRYD</t>
        </is>
      </c>
      <c r="G2958" t="n">
        <v>0.2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9526-2025</t>
        </is>
      </c>
      <c r="B2959" s="1" t="n">
        <v>45715.56667824074</v>
      </c>
      <c r="C2959" s="1" t="n">
        <v>45957</v>
      </c>
      <c r="D2959" t="inlineStr">
        <is>
          <t>KRONOBERGS LÄN</t>
        </is>
      </c>
      <c r="E2959" t="inlineStr">
        <is>
          <t>LJUNGBY</t>
        </is>
      </c>
      <c r="G2959" t="n">
        <v>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60113-2024</t>
        </is>
      </c>
      <c r="B2960" s="1" t="n">
        <v>45642.57581018518</v>
      </c>
      <c r="C2960" s="1" t="n">
        <v>45957</v>
      </c>
      <c r="D2960" t="inlineStr">
        <is>
          <t>KRONOBERGS LÄN</t>
        </is>
      </c>
      <c r="E2960" t="inlineStr">
        <is>
          <t>LJUNGBY</t>
        </is>
      </c>
      <c r="G2960" t="n">
        <v>2.4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5282-2025</t>
        </is>
      </c>
      <c r="B2961" s="1" t="n">
        <v>45692</v>
      </c>
      <c r="C2961" s="1" t="n">
        <v>45957</v>
      </c>
      <c r="D2961" t="inlineStr">
        <is>
          <t>KRONOBERGS LÄN</t>
        </is>
      </c>
      <c r="E2961" t="inlineStr">
        <is>
          <t>UPPVIDINGE</t>
        </is>
      </c>
      <c r="G2961" t="n">
        <v>8.6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3624-2022</t>
        </is>
      </c>
      <c r="B2962" s="1" t="n">
        <v>44586.42520833333</v>
      </c>
      <c r="C2962" s="1" t="n">
        <v>45957</v>
      </c>
      <c r="D2962" t="inlineStr">
        <is>
          <t>KRONOBERGS LÄN</t>
        </is>
      </c>
      <c r="E2962" t="inlineStr">
        <is>
          <t>TINGSRYD</t>
        </is>
      </c>
      <c r="G2962" t="n">
        <v>1.5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26844-2025</t>
        </is>
      </c>
      <c r="B2963" s="1" t="n">
        <v>45810.66274305555</v>
      </c>
      <c r="C2963" s="1" t="n">
        <v>45957</v>
      </c>
      <c r="D2963" t="inlineStr">
        <is>
          <t>KRONOBERGS LÄN</t>
        </is>
      </c>
      <c r="E2963" t="inlineStr">
        <is>
          <t>VÄXJÖ</t>
        </is>
      </c>
      <c r="F2963" t="inlineStr">
        <is>
          <t>Övriga Aktiebolag</t>
        </is>
      </c>
      <c r="G2963" t="n">
        <v>1.8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51436-2024</t>
        </is>
      </c>
      <c r="B2964" s="1" t="n">
        <v>45604.47508101852</v>
      </c>
      <c r="C2964" s="1" t="n">
        <v>45957</v>
      </c>
      <c r="D2964" t="inlineStr">
        <is>
          <t>KRONOBERGS LÄN</t>
        </is>
      </c>
      <c r="E2964" t="inlineStr">
        <is>
          <t>LJUNGBY</t>
        </is>
      </c>
      <c r="G2964" t="n">
        <v>7.9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51443-2024</t>
        </is>
      </c>
      <c r="B2965" s="1" t="n">
        <v>45604.48289351852</v>
      </c>
      <c r="C2965" s="1" t="n">
        <v>45957</v>
      </c>
      <c r="D2965" t="inlineStr">
        <is>
          <t>KRONOBERGS LÄN</t>
        </is>
      </c>
      <c r="E2965" t="inlineStr">
        <is>
          <t>UPPVIDINGE</t>
        </is>
      </c>
      <c r="F2965" t="inlineStr">
        <is>
          <t>Sveaskog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4819-2025</t>
        </is>
      </c>
      <c r="B2966" s="1" t="n">
        <v>45688.62399305555</v>
      </c>
      <c r="C2966" s="1" t="n">
        <v>45957</v>
      </c>
      <c r="D2966" t="inlineStr">
        <is>
          <t>KRONOBERGS LÄN</t>
        </is>
      </c>
      <c r="E2966" t="inlineStr">
        <is>
          <t>VÄXJÖ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42467-2024</t>
        </is>
      </c>
      <c r="B2967" s="1" t="n">
        <v>45565.47667824074</v>
      </c>
      <c r="C2967" s="1" t="n">
        <v>45957</v>
      </c>
      <c r="D2967" t="inlineStr">
        <is>
          <t>KRONOBERGS LÄN</t>
        </is>
      </c>
      <c r="E2967" t="inlineStr">
        <is>
          <t>ALVESTA</t>
        </is>
      </c>
      <c r="G2967" t="n">
        <v>3.7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32617-2024</t>
        </is>
      </c>
      <c r="B2968" s="1" t="n">
        <v>45513.67152777778</v>
      </c>
      <c r="C2968" s="1" t="n">
        <v>45957</v>
      </c>
      <c r="D2968" t="inlineStr">
        <is>
          <t>KRONOBERGS LÄN</t>
        </is>
      </c>
      <c r="E2968" t="inlineStr">
        <is>
          <t>ÄLMHULT</t>
        </is>
      </c>
      <c r="G2968" t="n">
        <v>7.6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38882-2025</t>
        </is>
      </c>
      <c r="B2969" s="1" t="n">
        <v>45887.58039351852</v>
      </c>
      <c r="C2969" s="1" t="n">
        <v>45957</v>
      </c>
      <c r="D2969" t="inlineStr">
        <is>
          <t>KRONOBERGS LÄN</t>
        </is>
      </c>
      <c r="E2969" t="inlineStr">
        <is>
          <t>TINGSRYD</t>
        </is>
      </c>
      <c r="G2969" t="n">
        <v>1.3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10892-2025</t>
        </is>
      </c>
      <c r="B2970" s="1" t="n">
        <v>45722.67716435185</v>
      </c>
      <c r="C2970" s="1" t="n">
        <v>45957</v>
      </c>
      <c r="D2970" t="inlineStr">
        <is>
          <t>KRONOBERGS LÄN</t>
        </is>
      </c>
      <c r="E2970" t="inlineStr">
        <is>
          <t>VÄXJÖ</t>
        </is>
      </c>
      <c r="G2970" t="n">
        <v>0.5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47415-2025</t>
        </is>
      </c>
      <c r="B2971" s="1" t="n">
        <v>45930</v>
      </c>
      <c r="C2971" s="1" t="n">
        <v>45957</v>
      </c>
      <c r="D2971" t="inlineStr">
        <is>
          <t>KRONOBERGS LÄN</t>
        </is>
      </c>
      <c r="E2971" t="inlineStr">
        <is>
          <t>UPPVIDINGE</t>
        </is>
      </c>
      <c r="F2971" t="inlineStr">
        <is>
          <t>Kyrkan</t>
        </is>
      </c>
      <c r="G2971" t="n">
        <v>3.2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39133-2025</t>
        </is>
      </c>
      <c r="B2972" s="1" t="n">
        <v>45888.58818287037</v>
      </c>
      <c r="C2972" s="1" t="n">
        <v>45957</v>
      </c>
      <c r="D2972" t="inlineStr">
        <is>
          <t>KRONOBERGS LÄN</t>
        </is>
      </c>
      <c r="E2972" t="inlineStr">
        <is>
          <t>LJUNGBY</t>
        </is>
      </c>
      <c r="G2972" t="n">
        <v>1.5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17504-2023</t>
        </is>
      </c>
      <c r="B2973" s="1" t="n">
        <v>45036</v>
      </c>
      <c r="C2973" s="1" t="n">
        <v>45957</v>
      </c>
      <c r="D2973" t="inlineStr">
        <is>
          <t>KRONOBERGS LÄN</t>
        </is>
      </c>
      <c r="E2973" t="inlineStr">
        <is>
          <t>VÄXJÖ</t>
        </is>
      </c>
      <c r="G2973" t="n">
        <v>2.9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9523-2025</t>
        </is>
      </c>
      <c r="B2974" s="1" t="n">
        <v>45715</v>
      </c>
      <c r="C2974" s="1" t="n">
        <v>45957</v>
      </c>
      <c r="D2974" t="inlineStr">
        <is>
          <t>KRONOBERGS LÄN</t>
        </is>
      </c>
      <c r="E2974" t="inlineStr">
        <is>
          <t>LJUNGBY</t>
        </is>
      </c>
      <c r="G2974" t="n">
        <v>2.1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56038-2023</t>
        </is>
      </c>
      <c r="B2975" s="1" t="n">
        <v>45233</v>
      </c>
      <c r="C2975" s="1" t="n">
        <v>45957</v>
      </c>
      <c r="D2975" t="inlineStr">
        <is>
          <t>KRONOBERGS LÄN</t>
        </is>
      </c>
      <c r="E2975" t="inlineStr">
        <is>
          <t>UPPVIDINGE</t>
        </is>
      </c>
      <c r="G2975" t="n">
        <v>4.3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33122-2023</t>
        </is>
      </c>
      <c r="B2976" s="1" t="n">
        <v>45126</v>
      </c>
      <c r="C2976" s="1" t="n">
        <v>45957</v>
      </c>
      <c r="D2976" t="inlineStr">
        <is>
          <t>KRONOBERGS LÄN</t>
        </is>
      </c>
      <c r="E2976" t="inlineStr">
        <is>
          <t>LJUNGBY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26762-2025</t>
        </is>
      </c>
      <c r="B2977" s="1" t="n">
        <v>45810.56395833333</v>
      </c>
      <c r="C2977" s="1" t="n">
        <v>45957</v>
      </c>
      <c r="D2977" t="inlineStr">
        <is>
          <t>KRONOBERGS LÄN</t>
        </is>
      </c>
      <c r="E2977" t="inlineStr">
        <is>
          <t>VÄXJÖ</t>
        </is>
      </c>
      <c r="F2977" t="inlineStr">
        <is>
          <t>Övriga Aktiebolag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49618-2023</t>
        </is>
      </c>
      <c r="B2978" s="1" t="n">
        <v>45211.81873842593</v>
      </c>
      <c r="C2978" s="1" t="n">
        <v>45957</v>
      </c>
      <c r="D2978" t="inlineStr">
        <is>
          <t>KRONOBERGS LÄN</t>
        </is>
      </c>
      <c r="E2978" t="inlineStr">
        <is>
          <t>UPPVIDINGE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26808-2025</t>
        </is>
      </c>
      <c r="B2979" s="1" t="n">
        <v>45810.61635416667</v>
      </c>
      <c r="C2979" s="1" t="n">
        <v>45957</v>
      </c>
      <c r="D2979" t="inlineStr">
        <is>
          <t>KRONOBERGS LÄN</t>
        </is>
      </c>
      <c r="E2979" t="inlineStr">
        <is>
          <t>ALVESTA</t>
        </is>
      </c>
      <c r="G2979" t="n">
        <v>1.9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70350-2021</t>
        </is>
      </c>
      <c r="B2980" s="1" t="n">
        <v>44536.48008101852</v>
      </c>
      <c r="C2980" s="1" t="n">
        <v>45957</v>
      </c>
      <c r="D2980" t="inlineStr">
        <is>
          <t>KRONOBERGS LÄN</t>
        </is>
      </c>
      <c r="E2980" t="inlineStr">
        <is>
          <t>LESSEBO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42780-2023</t>
        </is>
      </c>
      <c r="B2981" s="1" t="n">
        <v>45181.80498842592</v>
      </c>
      <c r="C2981" s="1" t="n">
        <v>45957</v>
      </c>
      <c r="D2981" t="inlineStr">
        <is>
          <t>KRONOBERGS LÄN</t>
        </is>
      </c>
      <c r="E2981" t="inlineStr">
        <is>
          <t>ÄLMHULT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47353-2025</t>
        </is>
      </c>
      <c r="B2982" s="1" t="n">
        <v>45930</v>
      </c>
      <c r="C2982" s="1" t="n">
        <v>45957</v>
      </c>
      <c r="D2982" t="inlineStr">
        <is>
          <t>KRONOBERGS LÄN</t>
        </is>
      </c>
      <c r="E2982" t="inlineStr">
        <is>
          <t>LJUNGBY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20502-2025</t>
        </is>
      </c>
      <c r="B2983" s="1" t="n">
        <v>45775.58704861111</v>
      </c>
      <c r="C2983" s="1" t="n">
        <v>45957</v>
      </c>
      <c r="D2983" t="inlineStr">
        <is>
          <t>KRONOBERGS LÄN</t>
        </is>
      </c>
      <c r="E2983" t="inlineStr">
        <is>
          <t>LJUNGBY</t>
        </is>
      </c>
      <c r="G2983" t="n">
        <v>1.5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59202-2024</t>
        </is>
      </c>
      <c r="B2984" s="1" t="n">
        <v>45637.55135416667</v>
      </c>
      <c r="C2984" s="1" t="n">
        <v>45957</v>
      </c>
      <c r="D2984" t="inlineStr">
        <is>
          <t>KRONOBERGS LÄN</t>
        </is>
      </c>
      <c r="E2984" t="inlineStr">
        <is>
          <t>ÄLMHULT</t>
        </is>
      </c>
      <c r="G2984" t="n">
        <v>3.8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1488-2025</t>
        </is>
      </c>
      <c r="B2985" s="1" t="n">
        <v>45670</v>
      </c>
      <c r="C2985" s="1" t="n">
        <v>45957</v>
      </c>
      <c r="D2985" t="inlineStr">
        <is>
          <t>KRONOBERGS LÄN</t>
        </is>
      </c>
      <c r="E2985" t="inlineStr">
        <is>
          <t>LESSEBO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1490-2025</t>
        </is>
      </c>
      <c r="B2986" s="1" t="n">
        <v>45670.39853009259</v>
      </c>
      <c r="C2986" s="1" t="n">
        <v>45957</v>
      </c>
      <c r="D2986" t="inlineStr">
        <is>
          <t>KRONOBERGS LÄN</t>
        </is>
      </c>
      <c r="E2986" t="inlineStr">
        <is>
          <t>LESSEBO</t>
        </is>
      </c>
      <c r="F2986" t="inlineStr">
        <is>
          <t>Sveaskog</t>
        </is>
      </c>
      <c r="G2986" t="n">
        <v>0.8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66432-2020</t>
        </is>
      </c>
      <c r="B2987" s="1" t="n">
        <v>44176.66133101852</v>
      </c>
      <c r="C2987" s="1" t="n">
        <v>45957</v>
      </c>
      <c r="D2987" t="inlineStr">
        <is>
          <t>KRONOBERGS LÄN</t>
        </is>
      </c>
      <c r="E2987" t="inlineStr">
        <is>
          <t>UPPVIDINGE</t>
        </is>
      </c>
      <c r="G2987" t="n">
        <v>2.7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19870-2025</t>
        </is>
      </c>
      <c r="B2988" s="1" t="n">
        <v>45771.54563657408</v>
      </c>
      <c r="C2988" s="1" t="n">
        <v>45957</v>
      </c>
      <c r="D2988" t="inlineStr">
        <is>
          <t>KRONOBERGS LÄN</t>
        </is>
      </c>
      <c r="E2988" t="inlineStr">
        <is>
          <t>ÄLMHULT</t>
        </is>
      </c>
      <c r="F2988" t="inlineStr">
        <is>
          <t>Sveaskog</t>
        </is>
      </c>
      <c r="G2988" t="n">
        <v>6.6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70327-2021</t>
        </is>
      </c>
      <c r="B2989" s="1" t="n">
        <v>44536.46300925926</v>
      </c>
      <c r="C2989" s="1" t="n">
        <v>45957</v>
      </c>
      <c r="D2989" t="inlineStr">
        <is>
          <t>KRONOBERGS LÄN</t>
        </is>
      </c>
      <c r="E2989" t="inlineStr">
        <is>
          <t>MARKARYD</t>
        </is>
      </c>
      <c r="G2989" t="n">
        <v>2.2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34636-2023</t>
        </is>
      </c>
      <c r="B2990" s="1" t="n">
        <v>45140.6528125</v>
      </c>
      <c r="C2990" s="1" t="n">
        <v>45957</v>
      </c>
      <c r="D2990" t="inlineStr">
        <is>
          <t>KRONOBERGS LÄN</t>
        </is>
      </c>
      <c r="E2990" t="inlineStr">
        <is>
          <t>VÄXJÖ</t>
        </is>
      </c>
      <c r="G2990" t="n">
        <v>0.6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49744-2023</t>
        </is>
      </c>
      <c r="B2991" s="1" t="n">
        <v>45212</v>
      </c>
      <c r="C2991" s="1" t="n">
        <v>45957</v>
      </c>
      <c r="D2991" t="inlineStr">
        <is>
          <t>KRONOBERGS LÄN</t>
        </is>
      </c>
      <c r="E2991" t="inlineStr">
        <is>
          <t>LJUNGBY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32047-2024</t>
        </is>
      </c>
      <c r="B2992" s="1" t="n">
        <v>45510</v>
      </c>
      <c r="C2992" s="1" t="n">
        <v>45957</v>
      </c>
      <c r="D2992" t="inlineStr">
        <is>
          <t>KRONOBERGS LÄN</t>
        </is>
      </c>
      <c r="E2992" t="inlineStr">
        <is>
          <t>LJUNGBY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40550-2024</t>
        </is>
      </c>
      <c r="B2993" s="1" t="n">
        <v>45555.64445601852</v>
      </c>
      <c r="C2993" s="1" t="n">
        <v>45957</v>
      </c>
      <c r="D2993" t="inlineStr">
        <is>
          <t>KRONOBERGS LÄN</t>
        </is>
      </c>
      <c r="E2993" t="inlineStr">
        <is>
          <t>ALVESTA</t>
        </is>
      </c>
      <c r="G2993" t="n">
        <v>1.3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41717-2024</t>
        </is>
      </c>
      <c r="B2994" s="1" t="n">
        <v>45560.76623842592</v>
      </c>
      <c r="C2994" s="1" t="n">
        <v>45957</v>
      </c>
      <c r="D2994" t="inlineStr">
        <is>
          <t>KRONOBERGS LÄN</t>
        </is>
      </c>
      <c r="E2994" t="inlineStr">
        <is>
          <t>ÄLMHULT</t>
        </is>
      </c>
      <c r="G2994" t="n">
        <v>1.3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47110-2025</t>
        </is>
      </c>
      <c r="B2995" s="1" t="n">
        <v>45929.66826388889</v>
      </c>
      <c r="C2995" s="1" t="n">
        <v>45957</v>
      </c>
      <c r="D2995" t="inlineStr">
        <is>
          <t>KRONOBERGS LÄN</t>
        </is>
      </c>
      <c r="E2995" t="inlineStr">
        <is>
          <t>ALVESTA</t>
        </is>
      </c>
      <c r="F2995" t="inlineStr">
        <is>
          <t>Kommuner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35496-2023</t>
        </is>
      </c>
      <c r="B2996" s="1" t="n">
        <v>45146</v>
      </c>
      <c r="C2996" s="1" t="n">
        <v>45957</v>
      </c>
      <c r="D2996" t="inlineStr">
        <is>
          <t>KRONOBERGS LÄN</t>
        </is>
      </c>
      <c r="E2996" t="inlineStr">
        <is>
          <t>UPPVIDINGE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61843-2024</t>
        </is>
      </c>
      <c r="B2997" s="1" t="n">
        <v>45649.6427662037</v>
      </c>
      <c r="C2997" s="1" t="n">
        <v>45957</v>
      </c>
      <c r="D2997" t="inlineStr">
        <is>
          <t>KRONOBERGS LÄN</t>
        </is>
      </c>
      <c r="E2997" t="inlineStr">
        <is>
          <t>UPPVIDINGE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61844-2024</t>
        </is>
      </c>
      <c r="B2998" s="1" t="n">
        <v>45649.6471875</v>
      </c>
      <c r="C2998" s="1" t="n">
        <v>45957</v>
      </c>
      <c r="D2998" t="inlineStr">
        <is>
          <t>KRONOBERGS LÄN</t>
        </is>
      </c>
      <c r="E2998" t="inlineStr">
        <is>
          <t>VÄXJÖ</t>
        </is>
      </c>
      <c r="G2998" t="n">
        <v>1.5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10189-2025</t>
        </is>
      </c>
      <c r="B2999" s="1" t="n">
        <v>45719</v>
      </c>
      <c r="C2999" s="1" t="n">
        <v>45957</v>
      </c>
      <c r="D2999" t="inlineStr">
        <is>
          <t>KRONOBERGS LÄN</t>
        </is>
      </c>
      <c r="E2999" t="inlineStr">
        <is>
          <t>LJUNGBY</t>
        </is>
      </c>
      <c r="G2999" t="n">
        <v>2.6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15386-2022</t>
        </is>
      </c>
      <c r="B3000" s="1" t="n">
        <v>44659.58702546296</v>
      </c>
      <c r="C3000" s="1" t="n">
        <v>45957</v>
      </c>
      <c r="D3000" t="inlineStr">
        <is>
          <t>KRONOBERGS LÄN</t>
        </is>
      </c>
      <c r="E3000" t="inlineStr">
        <is>
          <t>UPPVIDINGE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36823-2025</t>
        </is>
      </c>
      <c r="B3001" s="1" t="n">
        <v>45874</v>
      </c>
      <c r="C3001" s="1" t="n">
        <v>45957</v>
      </c>
      <c r="D3001" t="inlineStr">
        <is>
          <t>KRONOBERGS LÄN</t>
        </is>
      </c>
      <c r="E3001" t="inlineStr">
        <is>
          <t>MARKARYD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10216-2025</t>
        </is>
      </c>
      <c r="B3002" s="1" t="n">
        <v>45720.21070601852</v>
      </c>
      <c r="C3002" s="1" t="n">
        <v>45957</v>
      </c>
      <c r="D3002" t="inlineStr">
        <is>
          <t>KRONOBERGS LÄN</t>
        </is>
      </c>
      <c r="E3002" t="inlineStr">
        <is>
          <t>ÄLMHULT</t>
        </is>
      </c>
      <c r="G3002" t="n">
        <v>2.9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26983-2025</t>
        </is>
      </c>
      <c r="B3003" s="1" t="n">
        <v>45811.49784722222</v>
      </c>
      <c r="C3003" s="1" t="n">
        <v>45957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39689-2024</t>
        </is>
      </c>
      <c r="B3004" s="1" t="n">
        <v>45552.57313657407</v>
      </c>
      <c r="C3004" s="1" t="n">
        <v>45957</v>
      </c>
      <c r="D3004" t="inlineStr">
        <is>
          <t>KRONOBERGS LÄN</t>
        </is>
      </c>
      <c r="E3004" t="inlineStr">
        <is>
          <t>VÄXJÖ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55973-2023</t>
        </is>
      </c>
      <c r="B3005" s="1" t="n">
        <v>45240.3635300926</v>
      </c>
      <c r="C3005" s="1" t="n">
        <v>45957</v>
      </c>
      <c r="D3005" t="inlineStr">
        <is>
          <t>KRONOBERGS LÄN</t>
        </is>
      </c>
      <c r="E3005" t="inlineStr">
        <is>
          <t>TINGSRYD</t>
        </is>
      </c>
      <c r="G3005" t="n">
        <v>1.5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27037-2025</t>
        </is>
      </c>
      <c r="B3006" s="1" t="n">
        <v>45811.59519675926</v>
      </c>
      <c r="C3006" s="1" t="n">
        <v>45957</v>
      </c>
      <c r="D3006" t="inlineStr">
        <is>
          <t>KRONOBERGS LÄN</t>
        </is>
      </c>
      <c r="E3006" t="inlineStr">
        <is>
          <t>UPPVIDINGE</t>
        </is>
      </c>
      <c r="G3006" t="n">
        <v>4.9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38730-2025</t>
        </is>
      </c>
      <c r="B3007" s="1" t="n">
        <v>45887.34725694444</v>
      </c>
      <c r="C3007" s="1" t="n">
        <v>45957</v>
      </c>
      <c r="D3007" t="inlineStr">
        <is>
          <t>KRONOBERGS LÄN</t>
        </is>
      </c>
      <c r="E3007" t="inlineStr">
        <is>
          <t>ÄLMHULT</t>
        </is>
      </c>
      <c r="G3007" t="n">
        <v>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24687-2023</t>
        </is>
      </c>
      <c r="B3008" s="1" t="n">
        <v>45084.51329861111</v>
      </c>
      <c r="C3008" s="1" t="n">
        <v>45957</v>
      </c>
      <c r="D3008" t="inlineStr">
        <is>
          <t>KRONOBERGS LÄN</t>
        </is>
      </c>
      <c r="E3008" t="inlineStr">
        <is>
          <t>LJUNGBY</t>
        </is>
      </c>
      <c r="G3008" t="n">
        <v>4.9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60560-2024</t>
        </is>
      </c>
      <c r="B3009" s="1" t="n">
        <v>45644.02509259259</v>
      </c>
      <c r="C3009" s="1" t="n">
        <v>45957</v>
      </c>
      <c r="D3009" t="inlineStr">
        <is>
          <t>KRONOBERGS LÄN</t>
        </is>
      </c>
      <c r="E3009" t="inlineStr">
        <is>
          <t>LJUNGBY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27266-2025</t>
        </is>
      </c>
      <c r="B3010" s="1" t="n">
        <v>45812.48452546296</v>
      </c>
      <c r="C3010" s="1" t="n">
        <v>45957</v>
      </c>
      <c r="D3010" t="inlineStr">
        <is>
          <t>KRONOBERGS LÄN</t>
        </is>
      </c>
      <c r="E3010" t="inlineStr">
        <is>
          <t>VÄXJÖ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27318-2025</t>
        </is>
      </c>
      <c r="B3011" s="1" t="n">
        <v>45812.59082175926</v>
      </c>
      <c r="C3011" s="1" t="n">
        <v>45957</v>
      </c>
      <c r="D3011" t="inlineStr">
        <is>
          <t>KRONOBERGS LÄN</t>
        </is>
      </c>
      <c r="E3011" t="inlineStr">
        <is>
          <t>LJUNGBY</t>
        </is>
      </c>
      <c r="G3011" t="n">
        <v>2.3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26977-2025</t>
        </is>
      </c>
      <c r="B3012" s="1" t="n">
        <v>45811</v>
      </c>
      <c r="C3012" s="1" t="n">
        <v>45957</v>
      </c>
      <c r="D3012" t="inlineStr">
        <is>
          <t>KRONOBERGS LÄN</t>
        </is>
      </c>
      <c r="E3012" t="inlineStr">
        <is>
          <t>ALVESTA</t>
        </is>
      </c>
      <c r="G3012" t="n">
        <v>0.5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25311-2024</t>
        </is>
      </c>
      <c r="B3013" s="1" t="n">
        <v>45462.69741898148</v>
      </c>
      <c r="C3013" s="1" t="n">
        <v>45957</v>
      </c>
      <c r="D3013" t="inlineStr">
        <is>
          <t>KRONOBERGS LÄN</t>
        </is>
      </c>
      <c r="E3013" t="inlineStr">
        <is>
          <t>ÄLMHULT</t>
        </is>
      </c>
      <c r="G3013" t="n">
        <v>1.1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9776-2025</t>
        </is>
      </c>
      <c r="B3014" s="1" t="n">
        <v>45716.49273148148</v>
      </c>
      <c r="C3014" s="1" t="n">
        <v>45957</v>
      </c>
      <c r="D3014" t="inlineStr">
        <is>
          <t>KRONOBERGS LÄN</t>
        </is>
      </c>
      <c r="E3014" t="inlineStr">
        <is>
          <t>ÄLMHULT</t>
        </is>
      </c>
      <c r="G3014" t="n">
        <v>1.9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35011-2021</t>
        </is>
      </c>
      <c r="B3015" s="1" t="n">
        <v>44383.6890162037</v>
      </c>
      <c r="C3015" s="1" t="n">
        <v>45957</v>
      </c>
      <c r="D3015" t="inlineStr">
        <is>
          <t>KRONOBERGS LÄN</t>
        </is>
      </c>
      <c r="E3015" t="inlineStr">
        <is>
          <t>ÄLMHULT</t>
        </is>
      </c>
      <c r="G3015" t="n">
        <v>4.2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57817-2024</t>
        </is>
      </c>
      <c r="B3016" s="1" t="n">
        <v>45631.38008101852</v>
      </c>
      <c r="C3016" s="1" t="n">
        <v>45957</v>
      </c>
      <c r="D3016" t="inlineStr">
        <is>
          <t>KRONOBERGS LÄN</t>
        </is>
      </c>
      <c r="E3016" t="inlineStr">
        <is>
          <t>VÄXJÖ</t>
        </is>
      </c>
      <c r="G3016" t="n">
        <v>0.8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26926-2025</t>
        </is>
      </c>
      <c r="B3017" s="1" t="n">
        <v>45811.39115740741</v>
      </c>
      <c r="C3017" s="1" t="n">
        <v>45957</v>
      </c>
      <c r="D3017" t="inlineStr">
        <is>
          <t>KRONOBERGS LÄN</t>
        </is>
      </c>
      <c r="E3017" t="inlineStr">
        <is>
          <t>LJUNGBY</t>
        </is>
      </c>
      <c r="G3017" t="n">
        <v>2.2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26928-2025</t>
        </is>
      </c>
      <c r="B3018" s="1" t="n">
        <v>45811.39695601852</v>
      </c>
      <c r="C3018" s="1" t="n">
        <v>45957</v>
      </c>
      <c r="D3018" t="inlineStr">
        <is>
          <t>KRONOBERGS LÄN</t>
        </is>
      </c>
      <c r="E3018" t="inlineStr">
        <is>
          <t>LJUNGBY</t>
        </is>
      </c>
      <c r="G3018" t="n">
        <v>0.6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26936-2025</t>
        </is>
      </c>
      <c r="B3019" s="1" t="n">
        <v>45811.40674768519</v>
      </c>
      <c r="C3019" s="1" t="n">
        <v>45957</v>
      </c>
      <c r="D3019" t="inlineStr">
        <is>
          <t>KRONOBERGS LÄN</t>
        </is>
      </c>
      <c r="E3019" t="inlineStr">
        <is>
          <t>LJUNGBY</t>
        </is>
      </c>
      <c r="G3019" t="n">
        <v>0.3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26971-2025</t>
        </is>
      </c>
      <c r="B3020" s="1" t="n">
        <v>45811</v>
      </c>
      <c r="C3020" s="1" t="n">
        <v>45957</v>
      </c>
      <c r="D3020" t="inlineStr">
        <is>
          <t>KRONOBERGS LÄN</t>
        </is>
      </c>
      <c r="E3020" t="inlineStr">
        <is>
          <t>ALVESTA</t>
        </is>
      </c>
      <c r="G3020" t="n">
        <v>1.8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26974-2025</t>
        </is>
      </c>
      <c r="B3021" s="1" t="n">
        <v>45811</v>
      </c>
      <c r="C3021" s="1" t="n">
        <v>45957</v>
      </c>
      <c r="D3021" t="inlineStr">
        <is>
          <t>KRONOBERGS LÄN</t>
        </is>
      </c>
      <c r="E3021" t="inlineStr">
        <is>
          <t>ALVESTA</t>
        </is>
      </c>
      <c r="G3021" t="n">
        <v>0.8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27012-2025</t>
        </is>
      </c>
      <c r="B3022" s="1" t="n">
        <v>45811.56310185185</v>
      </c>
      <c r="C3022" s="1" t="n">
        <v>45957</v>
      </c>
      <c r="D3022" t="inlineStr">
        <is>
          <t>KRONOBERGS LÄN</t>
        </is>
      </c>
      <c r="E3022" t="inlineStr">
        <is>
          <t>LJUNGBY</t>
        </is>
      </c>
      <c r="G3022" t="n">
        <v>3.5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26969-2025</t>
        </is>
      </c>
      <c r="B3023" s="1" t="n">
        <v>45811</v>
      </c>
      <c r="C3023" s="1" t="n">
        <v>45957</v>
      </c>
      <c r="D3023" t="inlineStr">
        <is>
          <t>KRONOBERGS LÄN</t>
        </is>
      </c>
      <c r="E3023" t="inlineStr">
        <is>
          <t>ALVESTA</t>
        </is>
      </c>
      <c r="G3023" t="n">
        <v>2.9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61575-2022</t>
        </is>
      </c>
      <c r="B3024" s="1" t="n">
        <v>44916.62188657407</v>
      </c>
      <c r="C3024" s="1" t="n">
        <v>45957</v>
      </c>
      <c r="D3024" t="inlineStr">
        <is>
          <t>KRONOBERGS LÄN</t>
        </is>
      </c>
      <c r="E3024" t="inlineStr">
        <is>
          <t>LESSEBO</t>
        </is>
      </c>
      <c r="F3024" t="inlineStr">
        <is>
          <t>Kommuner</t>
        </is>
      </c>
      <c r="G3024" t="n">
        <v>2.9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26965-2025</t>
        </is>
      </c>
      <c r="B3025" s="1" t="n">
        <v>45811.47126157407</v>
      </c>
      <c r="C3025" s="1" t="n">
        <v>45957</v>
      </c>
      <c r="D3025" t="inlineStr">
        <is>
          <t>KRONOBERGS LÄN</t>
        </is>
      </c>
      <c r="E3025" t="inlineStr">
        <is>
          <t>ALVESTA</t>
        </is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61588-2022</t>
        </is>
      </c>
      <c r="B3026" s="1" t="n">
        <v>44916.63834490741</v>
      </c>
      <c r="C3026" s="1" t="n">
        <v>45957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4.1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2332-2023</t>
        </is>
      </c>
      <c r="B3027" s="1" t="n">
        <v>44942.60704861111</v>
      </c>
      <c r="C3027" s="1" t="n">
        <v>45957</v>
      </c>
      <c r="D3027" t="inlineStr">
        <is>
          <t>KRONOBERGS LÄN</t>
        </is>
      </c>
      <c r="E3027" t="inlineStr">
        <is>
          <t>UPPVIDINGE</t>
        </is>
      </c>
      <c r="G3027" t="n">
        <v>1.9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9333-2025</t>
        </is>
      </c>
      <c r="B3028" s="1" t="n">
        <v>45714.80106481481</v>
      </c>
      <c r="C3028" s="1" t="n">
        <v>45957</v>
      </c>
      <c r="D3028" t="inlineStr">
        <is>
          <t>KRONOBERGS LÄN</t>
        </is>
      </c>
      <c r="E3028" t="inlineStr">
        <is>
          <t>LJUNGBY</t>
        </is>
      </c>
      <c r="G3028" t="n">
        <v>0.8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40016-2024</t>
        </is>
      </c>
      <c r="B3029" s="1" t="n">
        <v>45553.66137731481</v>
      </c>
      <c r="C3029" s="1" t="n">
        <v>45957</v>
      </c>
      <c r="D3029" t="inlineStr">
        <is>
          <t>KRONOBERGS LÄN</t>
        </is>
      </c>
      <c r="E3029" t="inlineStr">
        <is>
          <t>TINGSRYD</t>
        </is>
      </c>
      <c r="F3029" t="inlineStr">
        <is>
          <t>Sveaskog</t>
        </is>
      </c>
      <c r="G3029" t="n">
        <v>1.3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66937-2020</t>
        </is>
      </c>
      <c r="B3030" s="1" t="n">
        <v>44180</v>
      </c>
      <c r="C3030" s="1" t="n">
        <v>45957</v>
      </c>
      <c r="D3030" t="inlineStr">
        <is>
          <t>KRONOBERGS LÄN</t>
        </is>
      </c>
      <c r="E3030" t="inlineStr">
        <is>
          <t>LJUNGBY</t>
        </is>
      </c>
      <c r="G3030" t="n">
        <v>1.9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39311-2025</t>
        </is>
      </c>
      <c r="B3031" s="1" t="n">
        <v>45889</v>
      </c>
      <c r="C3031" s="1" t="n">
        <v>45957</v>
      </c>
      <c r="D3031" t="inlineStr">
        <is>
          <t>KRONOBERGS LÄN</t>
        </is>
      </c>
      <c r="E3031" t="inlineStr">
        <is>
          <t>VÄXJÖ</t>
        </is>
      </c>
      <c r="G3031" t="n">
        <v>1.4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3545-2024</t>
        </is>
      </c>
      <c r="B3032" s="1" t="n">
        <v>45320.58873842593</v>
      </c>
      <c r="C3032" s="1" t="n">
        <v>45957</v>
      </c>
      <c r="D3032" t="inlineStr">
        <is>
          <t>KRONOBERGS LÄN</t>
        </is>
      </c>
      <c r="E3032" t="inlineStr">
        <is>
          <t>UPPVIDINGE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12445-2024</t>
        </is>
      </c>
      <c r="B3033" s="1" t="n">
        <v>45378</v>
      </c>
      <c r="C3033" s="1" t="n">
        <v>45957</v>
      </c>
      <c r="D3033" t="inlineStr">
        <is>
          <t>KRONOBERGS LÄN</t>
        </is>
      </c>
      <c r="E3033" t="inlineStr">
        <is>
          <t>VÄXJÖ</t>
        </is>
      </c>
      <c r="G3033" t="n">
        <v>1.3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39463-2025</t>
        </is>
      </c>
      <c r="B3034" s="1" t="n">
        <v>45889.93328703703</v>
      </c>
      <c r="C3034" s="1" t="n">
        <v>45957</v>
      </c>
      <c r="D3034" t="inlineStr">
        <is>
          <t>KRONOBERGS LÄN</t>
        </is>
      </c>
      <c r="E3034" t="inlineStr">
        <is>
          <t>LJUNGBY</t>
        </is>
      </c>
      <c r="G3034" t="n">
        <v>3.8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47468-2025</t>
        </is>
      </c>
      <c r="B3035" s="1" t="n">
        <v>45930</v>
      </c>
      <c r="C3035" s="1" t="n">
        <v>45957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Kyrkan</t>
        </is>
      </c>
      <c r="G3035" t="n">
        <v>7.6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36267-2024</t>
        </is>
      </c>
      <c r="B3036" s="1" t="n">
        <v>45534.56091435185</v>
      </c>
      <c r="C3036" s="1" t="n">
        <v>45957</v>
      </c>
      <c r="D3036" t="inlineStr">
        <is>
          <t>KRONOBERGS LÄN</t>
        </is>
      </c>
      <c r="E3036" t="inlineStr">
        <is>
          <t>VÄXJÖ</t>
        </is>
      </c>
      <c r="G3036" t="n">
        <v>0.9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45755-2024</t>
        </is>
      </c>
      <c r="B3037" s="1" t="n">
        <v>45579</v>
      </c>
      <c r="C3037" s="1" t="n">
        <v>45957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4.9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1350-2023</t>
        </is>
      </c>
      <c r="B3038" s="1" t="n">
        <v>44936.61140046296</v>
      </c>
      <c r="C3038" s="1" t="n">
        <v>45957</v>
      </c>
      <c r="D3038" t="inlineStr">
        <is>
          <t>KRONOBERGS LÄN</t>
        </is>
      </c>
      <c r="E3038" t="inlineStr">
        <is>
          <t>TINGSRYD</t>
        </is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1364-2023</t>
        </is>
      </c>
      <c r="B3039" s="1" t="n">
        <v>44936</v>
      </c>
      <c r="C3039" s="1" t="n">
        <v>45957</v>
      </c>
      <c r="D3039" t="inlineStr">
        <is>
          <t>KRONOBERGS LÄN</t>
        </is>
      </c>
      <c r="E3039" t="inlineStr">
        <is>
          <t>TINGSRYD</t>
        </is>
      </c>
      <c r="G3039" t="n">
        <v>1.5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53405-2024</t>
        </is>
      </c>
      <c r="B3040" s="1" t="n">
        <v>45614.49559027778</v>
      </c>
      <c r="C3040" s="1" t="n">
        <v>45957</v>
      </c>
      <c r="D3040" t="inlineStr">
        <is>
          <t>KRONOBERGS LÄN</t>
        </is>
      </c>
      <c r="E3040" t="inlineStr">
        <is>
          <t>LJUNGBY</t>
        </is>
      </c>
      <c r="F3040" t="inlineStr">
        <is>
          <t>Sveaskog</t>
        </is>
      </c>
      <c r="G3040" t="n">
        <v>0.3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26972-2025</t>
        </is>
      </c>
      <c r="B3041" s="1" t="n">
        <v>45811.48321759259</v>
      </c>
      <c r="C3041" s="1" t="n">
        <v>45957</v>
      </c>
      <c r="D3041" t="inlineStr">
        <is>
          <t>KRONOBERGS LÄN</t>
        </is>
      </c>
      <c r="E3041" t="inlineStr">
        <is>
          <t>LJUNGBY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41482-2024</t>
        </is>
      </c>
      <c r="B3042" s="1" t="n">
        <v>45560.44628472222</v>
      </c>
      <c r="C3042" s="1" t="n">
        <v>45957</v>
      </c>
      <c r="D3042" t="inlineStr">
        <is>
          <t>KRONOBERGS LÄN</t>
        </is>
      </c>
      <c r="E3042" t="inlineStr">
        <is>
          <t>VÄXJÖ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10795-2024</t>
        </is>
      </c>
      <c r="B3043" s="1" t="n">
        <v>45369.61829861111</v>
      </c>
      <c r="C3043" s="1" t="n">
        <v>45957</v>
      </c>
      <c r="D3043" t="inlineStr">
        <is>
          <t>KRONOBERGS LÄN</t>
        </is>
      </c>
      <c r="E3043" t="inlineStr">
        <is>
          <t>VÄXJÖ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39582-2025</t>
        </is>
      </c>
      <c r="B3044" s="1" t="n">
        <v>45890.49473379629</v>
      </c>
      <c r="C3044" s="1" t="n">
        <v>45957</v>
      </c>
      <c r="D3044" t="inlineStr">
        <is>
          <t>KRONOBERGS LÄN</t>
        </is>
      </c>
      <c r="E3044" t="inlineStr">
        <is>
          <t>VÄXJÖ</t>
        </is>
      </c>
      <c r="G3044" t="n">
        <v>1.6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6133-2022</t>
        </is>
      </c>
      <c r="B3045" s="1" t="n">
        <v>44599</v>
      </c>
      <c r="C3045" s="1" t="n">
        <v>45957</v>
      </c>
      <c r="D3045" t="inlineStr">
        <is>
          <t>KRONOBERGS LÄN</t>
        </is>
      </c>
      <c r="E3045" t="inlineStr">
        <is>
          <t>VÄXJÖ</t>
        </is>
      </c>
      <c r="G3045" t="n">
        <v>3.2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6210-2022</t>
        </is>
      </c>
      <c r="B3046" s="1" t="n">
        <v>44600</v>
      </c>
      <c r="C3046" s="1" t="n">
        <v>45957</v>
      </c>
      <c r="D3046" t="inlineStr">
        <is>
          <t>KRONOBERGS LÄN</t>
        </is>
      </c>
      <c r="E3046" t="inlineStr">
        <is>
          <t>ALVESTA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39549-2025</t>
        </is>
      </c>
      <c r="B3047" s="1" t="n">
        <v>45890</v>
      </c>
      <c r="C3047" s="1" t="n">
        <v>45957</v>
      </c>
      <c r="D3047" t="inlineStr">
        <is>
          <t>KRONOBERGS LÄN</t>
        </is>
      </c>
      <c r="E3047" t="inlineStr">
        <is>
          <t>LESSEBO</t>
        </is>
      </c>
      <c r="G3047" t="n">
        <v>7.2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11497-2024</t>
        </is>
      </c>
      <c r="B3048" s="1" t="n">
        <v>45372.65918981482</v>
      </c>
      <c r="C3048" s="1" t="n">
        <v>45957</v>
      </c>
      <c r="D3048" t="inlineStr">
        <is>
          <t>KRONOBERGS LÄN</t>
        </is>
      </c>
      <c r="E3048" t="inlineStr">
        <is>
          <t>MARKARYD</t>
        </is>
      </c>
      <c r="G3048" t="n">
        <v>1.9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51472-2022</t>
        </is>
      </c>
      <c r="B3049" s="1" t="n">
        <v>44869.55530092592</v>
      </c>
      <c r="C3049" s="1" t="n">
        <v>45957</v>
      </c>
      <c r="D3049" t="inlineStr">
        <is>
          <t>KRONOBERGS LÄN</t>
        </is>
      </c>
      <c r="E3049" t="inlineStr">
        <is>
          <t>VÄXJÖ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11509-2024</t>
        </is>
      </c>
      <c r="B3050" s="1" t="n">
        <v>45372.7019212963</v>
      </c>
      <c r="C3050" s="1" t="n">
        <v>45957</v>
      </c>
      <c r="D3050" t="inlineStr">
        <is>
          <t>KRONOBERGS LÄN</t>
        </is>
      </c>
      <c r="E3050" t="inlineStr">
        <is>
          <t>LJUNGBY</t>
        </is>
      </c>
      <c r="G3050" t="n">
        <v>0.4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7627-2023</t>
        </is>
      </c>
      <c r="B3051" s="1" t="n">
        <v>44972.54864583333</v>
      </c>
      <c r="C3051" s="1" t="n">
        <v>45957</v>
      </c>
      <c r="D3051" t="inlineStr">
        <is>
          <t>KRONOBERGS LÄN</t>
        </is>
      </c>
      <c r="E3051" t="inlineStr">
        <is>
          <t>ALVESTA</t>
        </is>
      </c>
      <c r="G3051" t="n">
        <v>4.2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4482-2021</t>
        </is>
      </c>
      <c r="B3052" s="1" t="n">
        <v>44224</v>
      </c>
      <c r="C3052" s="1" t="n">
        <v>45957</v>
      </c>
      <c r="D3052" t="inlineStr">
        <is>
          <t>KRONOBERGS LÄN</t>
        </is>
      </c>
      <c r="E3052" t="inlineStr">
        <is>
          <t>VÄXJÖ</t>
        </is>
      </c>
      <c r="G3052" t="n">
        <v>0.5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16241-2022</t>
        </is>
      </c>
      <c r="B3053" s="1" t="n">
        <v>44670.43472222222</v>
      </c>
      <c r="C3053" s="1" t="n">
        <v>45957</v>
      </c>
      <c r="D3053" t="inlineStr">
        <is>
          <t>KRONOBERGS LÄN</t>
        </is>
      </c>
      <c r="E3053" t="inlineStr">
        <is>
          <t>LJUNGBY</t>
        </is>
      </c>
      <c r="G3053" t="n">
        <v>1.7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68804-2020</t>
        </is>
      </c>
      <c r="B3054" s="1" t="n">
        <v>44187</v>
      </c>
      <c r="C3054" s="1" t="n">
        <v>45957</v>
      </c>
      <c r="D3054" t="inlineStr">
        <is>
          <t>KRONOBERGS LÄN</t>
        </is>
      </c>
      <c r="E3054" t="inlineStr">
        <is>
          <t>LJUNGBY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43453-2024</t>
        </is>
      </c>
      <c r="B3055" s="1" t="n">
        <v>45568.69032407407</v>
      </c>
      <c r="C3055" s="1" t="n">
        <v>45957</v>
      </c>
      <c r="D3055" t="inlineStr">
        <is>
          <t>KRONOBERGS LÄN</t>
        </is>
      </c>
      <c r="E3055" t="inlineStr">
        <is>
          <t>LESSEBO</t>
        </is>
      </c>
      <c r="G3055" t="n">
        <v>3.3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43462-2024</t>
        </is>
      </c>
      <c r="B3056" s="1" t="n">
        <v>45568</v>
      </c>
      <c r="C3056" s="1" t="n">
        <v>45957</v>
      </c>
      <c r="D3056" t="inlineStr">
        <is>
          <t>KRONOBERGS LÄN</t>
        </is>
      </c>
      <c r="E3056" t="inlineStr">
        <is>
          <t>TINGSRYD</t>
        </is>
      </c>
      <c r="G3056" t="n">
        <v>2.4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6662-2021</t>
        </is>
      </c>
      <c r="B3057" s="1" t="n">
        <v>44236</v>
      </c>
      <c r="C3057" s="1" t="n">
        <v>45957</v>
      </c>
      <c r="D3057" t="inlineStr">
        <is>
          <t>KRONOBERGS LÄN</t>
        </is>
      </c>
      <c r="E3057" t="inlineStr">
        <is>
          <t>ALVESTA</t>
        </is>
      </c>
      <c r="G3057" t="n">
        <v>0.8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4823-2022</t>
        </is>
      </c>
      <c r="B3058" s="1" t="n">
        <v>44592.72989583333</v>
      </c>
      <c r="C3058" s="1" t="n">
        <v>45957</v>
      </c>
      <c r="D3058" t="inlineStr">
        <is>
          <t>KRONOBERGS LÄN</t>
        </is>
      </c>
      <c r="E3058" t="inlineStr">
        <is>
          <t>UPPVIDINGE</t>
        </is>
      </c>
      <c r="G3058" t="n">
        <v>2.3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50976-2023</t>
        </is>
      </c>
      <c r="B3059" s="1" t="n">
        <v>45218.51930555556</v>
      </c>
      <c r="C3059" s="1" t="n">
        <v>45957</v>
      </c>
      <c r="D3059" t="inlineStr">
        <is>
          <t>KRONOBERGS LÄN</t>
        </is>
      </c>
      <c r="E3059" t="inlineStr">
        <is>
          <t>ALVESTA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50314-2023</t>
        </is>
      </c>
      <c r="B3060" s="1" t="n">
        <v>45216.52173611111</v>
      </c>
      <c r="C3060" s="1" t="n">
        <v>45957</v>
      </c>
      <c r="D3060" t="inlineStr">
        <is>
          <t>KRONOBERGS LÄN</t>
        </is>
      </c>
      <c r="E3060" t="inlineStr">
        <is>
          <t>LJUNGBY</t>
        </is>
      </c>
      <c r="G3060" t="n">
        <v>7.8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57989-2024</t>
        </is>
      </c>
      <c r="B3061" s="1" t="n">
        <v>45631.62325231481</v>
      </c>
      <c r="C3061" s="1" t="n">
        <v>45957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21768-2023</t>
        </is>
      </c>
      <c r="B3062" s="1" t="n">
        <v>45065</v>
      </c>
      <c r="C3062" s="1" t="n">
        <v>45957</v>
      </c>
      <c r="D3062" t="inlineStr">
        <is>
          <t>KRONOBERGS LÄN</t>
        </is>
      </c>
      <c r="E3062" t="inlineStr">
        <is>
          <t>VÄXJÖ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47996-2025</t>
        </is>
      </c>
      <c r="B3063" s="1" t="n">
        <v>45932.62766203703</v>
      </c>
      <c r="C3063" s="1" t="n">
        <v>45957</v>
      </c>
      <c r="D3063" t="inlineStr">
        <is>
          <t>KRONOBERGS LÄN</t>
        </is>
      </c>
      <c r="E3063" t="inlineStr">
        <is>
          <t>VÄXJÖ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40373-2024</t>
        </is>
      </c>
      <c r="B3064" s="1" t="n">
        <v>45554</v>
      </c>
      <c r="C3064" s="1" t="n">
        <v>45957</v>
      </c>
      <c r="D3064" t="inlineStr">
        <is>
          <t>KRONOBERGS LÄN</t>
        </is>
      </c>
      <c r="E3064" t="inlineStr">
        <is>
          <t>ÄLMHULT</t>
        </is>
      </c>
      <c r="G3064" t="n">
        <v>0.7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6384-2024</t>
        </is>
      </c>
      <c r="B3065" s="1" t="n">
        <v>45338.5585300926</v>
      </c>
      <c r="C3065" s="1" t="n">
        <v>45957</v>
      </c>
      <c r="D3065" t="inlineStr">
        <is>
          <t>KRONOBERGS LÄN</t>
        </is>
      </c>
      <c r="E3065" t="inlineStr">
        <is>
          <t>VÄXJÖ</t>
        </is>
      </c>
      <c r="G3065" t="n">
        <v>2.2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57737-2023</t>
        </is>
      </c>
      <c r="B3066" s="1" t="n">
        <v>45246</v>
      </c>
      <c r="C3066" s="1" t="n">
        <v>45957</v>
      </c>
      <c r="D3066" t="inlineStr">
        <is>
          <t>KRONOBERGS LÄN</t>
        </is>
      </c>
      <c r="E3066" t="inlineStr">
        <is>
          <t>LJUNGBY</t>
        </is>
      </c>
      <c r="G3066" t="n">
        <v>1.4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41143-2024</t>
        </is>
      </c>
      <c r="B3067" s="1" t="n">
        <v>45559</v>
      </c>
      <c r="C3067" s="1" t="n">
        <v>45957</v>
      </c>
      <c r="D3067" t="inlineStr">
        <is>
          <t>KRONOBERGS LÄN</t>
        </is>
      </c>
      <c r="E3067" t="inlineStr">
        <is>
          <t>TINGSRYD</t>
        </is>
      </c>
      <c r="G3067" t="n">
        <v>1.1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41144-2024</t>
        </is>
      </c>
      <c r="B3068" s="1" t="n">
        <v>45559</v>
      </c>
      <c r="C3068" s="1" t="n">
        <v>45957</v>
      </c>
      <c r="D3068" t="inlineStr">
        <is>
          <t>KRONOBERGS LÄN</t>
        </is>
      </c>
      <c r="E3068" t="inlineStr">
        <is>
          <t>TINGSRYD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4799-2025</t>
        </is>
      </c>
      <c r="B3069" s="1" t="n">
        <v>45688.58755787037</v>
      </c>
      <c r="C3069" s="1" t="n">
        <v>45957</v>
      </c>
      <c r="D3069" t="inlineStr">
        <is>
          <t>KRONOBERGS LÄN</t>
        </is>
      </c>
      <c r="E3069" t="inlineStr">
        <is>
          <t>UPPVIDINGE</t>
        </is>
      </c>
      <c r="F3069" t="inlineStr">
        <is>
          <t>Sveaskog</t>
        </is>
      </c>
      <c r="G3069" t="n">
        <v>6.8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9647-2022</t>
        </is>
      </c>
      <c r="B3070" s="1" t="n">
        <v>44617.58907407407</v>
      </c>
      <c r="C3070" s="1" t="n">
        <v>45957</v>
      </c>
      <c r="D3070" t="inlineStr">
        <is>
          <t>KRONOBERGS LÄN</t>
        </is>
      </c>
      <c r="E3070" t="inlineStr">
        <is>
          <t>TINGSRYD</t>
        </is>
      </c>
      <c r="G3070" t="n">
        <v>1.5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4825-2025</t>
        </is>
      </c>
      <c r="B3071" s="1" t="n">
        <v>45688.63835648148</v>
      </c>
      <c r="C3071" s="1" t="n">
        <v>45957</v>
      </c>
      <c r="D3071" t="inlineStr">
        <is>
          <t>KRONOBERGS LÄN</t>
        </is>
      </c>
      <c r="E3071" t="inlineStr">
        <is>
          <t>UPPVIDINGE</t>
        </is>
      </c>
      <c r="F3071" t="inlineStr">
        <is>
          <t>Sveaskog</t>
        </is>
      </c>
      <c r="G3071" t="n">
        <v>3.3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27127-2025</t>
        </is>
      </c>
      <c r="B3072" s="1" t="n">
        <v>45811</v>
      </c>
      <c r="C3072" s="1" t="n">
        <v>45957</v>
      </c>
      <c r="D3072" t="inlineStr">
        <is>
          <t>KRONOBERGS LÄN</t>
        </is>
      </c>
      <c r="E3072" t="inlineStr">
        <is>
          <t>MARKARYD</t>
        </is>
      </c>
      <c r="F3072" t="inlineStr">
        <is>
          <t>Kyrkan</t>
        </is>
      </c>
      <c r="G3072" t="n">
        <v>7.2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56947-2023</t>
        </is>
      </c>
      <c r="B3073" s="1" t="n">
        <v>45244</v>
      </c>
      <c r="C3073" s="1" t="n">
        <v>45957</v>
      </c>
      <c r="D3073" t="inlineStr">
        <is>
          <t>KRONOBERGS LÄN</t>
        </is>
      </c>
      <c r="E3073" t="inlineStr">
        <is>
          <t>VÄXJÖ</t>
        </is>
      </c>
      <c r="G3073" t="n">
        <v>1.9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33075-2024</t>
        </is>
      </c>
      <c r="B3074" s="1" t="n">
        <v>45517.66657407407</v>
      </c>
      <c r="C3074" s="1" t="n">
        <v>45957</v>
      </c>
      <c r="D3074" t="inlineStr">
        <is>
          <t>KRONOBERGS LÄN</t>
        </is>
      </c>
      <c r="E3074" t="inlineStr">
        <is>
          <t>VÄXJÖ</t>
        </is>
      </c>
      <c r="G3074" t="n">
        <v>1.2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17752-2025</t>
        </is>
      </c>
      <c r="B3075" s="1" t="n">
        <v>45758.48525462963</v>
      </c>
      <c r="C3075" s="1" t="n">
        <v>45957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2.4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39497-2025</t>
        </is>
      </c>
      <c r="B3076" s="1" t="n">
        <v>45890.37820601852</v>
      </c>
      <c r="C3076" s="1" t="n">
        <v>45957</v>
      </c>
      <c r="D3076" t="inlineStr">
        <is>
          <t>KRONOBERGS LÄN</t>
        </is>
      </c>
      <c r="E3076" t="inlineStr">
        <is>
          <t>LJUNGBY</t>
        </is>
      </c>
      <c r="G3076" t="n">
        <v>2.9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16643-2024</t>
        </is>
      </c>
      <c r="B3077" s="1" t="n">
        <v>45408.61435185185</v>
      </c>
      <c r="C3077" s="1" t="n">
        <v>45957</v>
      </c>
      <c r="D3077" t="inlineStr">
        <is>
          <t>KRONOBERGS LÄN</t>
        </is>
      </c>
      <c r="E3077" t="inlineStr">
        <is>
          <t>UPPVIDINGE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16655-2024</t>
        </is>
      </c>
      <c r="B3078" s="1" t="n">
        <v>45408.63730324074</v>
      </c>
      <c r="C3078" s="1" t="n">
        <v>45957</v>
      </c>
      <c r="D3078" t="inlineStr">
        <is>
          <t>KRONOBERGS LÄN</t>
        </is>
      </c>
      <c r="E3078" t="inlineStr">
        <is>
          <t>VÄXJÖ</t>
        </is>
      </c>
      <c r="G3078" t="n">
        <v>3.6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47687-2025</t>
        </is>
      </c>
      <c r="B3079" s="1" t="n">
        <v>45930</v>
      </c>
      <c r="C3079" s="1" t="n">
        <v>45957</v>
      </c>
      <c r="D3079" t="inlineStr">
        <is>
          <t>KRONOBERGS LÄN</t>
        </is>
      </c>
      <c r="E3079" t="inlineStr">
        <is>
          <t>UPPVIDINGE</t>
        </is>
      </c>
      <c r="F3079" t="inlineStr">
        <is>
          <t>Kyrkan</t>
        </is>
      </c>
      <c r="G3079" t="n">
        <v>5.2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6342-2024</t>
        </is>
      </c>
      <c r="B3080" s="1" t="n">
        <v>45338.43358796297</v>
      </c>
      <c r="C3080" s="1" t="n">
        <v>45957</v>
      </c>
      <c r="D3080" t="inlineStr">
        <is>
          <t>KRONOBERGS LÄN</t>
        </is>
      </c>
      <c r="E3080" t="inlineStr">
        <is>
          <t>UPPVIDINGE</t>
        </is>
      </c>
      <c r="F3080" t="inlineStr">
        <is>
          <t>Sveaskog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6343-2024</t>
        </is>
      </c>
      <c r="B3081" s="1" t="n">
        <v>45338</v>
      </c>
      <c r="C3081" s="1" t="n">
        <v>45957</v>
      </c>
      <c r="D3081" t="inlineStr">
        <is>
          <t>KRONOBERGS LÄN</t>
        </is>
      </c>
      <c r="E3081" t="inlineStr">
        <is>
          <t>UPPVIDINGE</t>
        </is>
      </c>
      <c r="F3081" t="inlineStr">
        <is>
          <t>Sveaskog</t>
        </is>
      </c>
      <c r="G3081" t="n">
        <v>6.2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6345-2024</t>
        </is>
      </c>
      <c r="B3082" s="1" t="n">
        <v>45338</v>
      </c>
      <c r="C3082" s="1" t="n">
        <v>45957</v>
      </c>
      <c r="D3082" t="inlineStr">
        <is>
          <t>KRONOBERGS LÄN</t>
        </is>
      </c>
      <c r="E3082" t="inlineStr">
        <is>
          <t>UPPVIDINGE</t>
        </is>
      </c>
      <c r="F3082" t="inlineStr">
        <is>
          <t>Sveaskog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6370-2024</t>
        </is>
      </c>
      <c r="B3083" s="1" t="n">
        <v>45338.50238425926</v>
      </c>
      <c r="C3083" s="1" t="n">
        <v>45957</v>
      </c>
      <c r="D3083" t="inlineStr">
        <is>
          <t>KRONOBERGS LÄN</t>
        </is>
      </c>
      <c r="E3083" t="inlineStr">
        <is>
          <t>ALVESTA</t>
        </is>
      </c>
      <c r="G3083" t="n">
        <v>0.5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42381-2024</t>
        </is>
      </c>
      <c r="B3084" s="1" t="n">
        <v>45564</v>
      </c>
      <c r="C3084" s="1" t="n">
        <v>45957</v>
      </c>
      <c r="D3084" t="inlineStr">
        <is>
          <t>KRONOBERGS LÄN</t>
        </is>
      </c>
      <c r="E3084" t="inlineStr">
        <is>
          <t>MARKARYD</t>
        </is>
      </c>
      <c r="G3084" t="n">
        <v>3.1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42383-2024</t>
        </is>
      </c>
      <c r="B3085" s="1" t="n">
        <v>45564.98079861111</v>
      </c>
      <c r="C3085" s="1" t="n">
        <v>45957</v>
      </c>
      <c r="D3085" t="inlineStr">
        <is>
          <t>KRONOBERGS LÄN</t>
        </is>
      </c>
      <c r="E3085" t="inlineStr">
        <is>
          <t>ÄLMHULT</t>
        </is>
      </c>
      <c r="G3085" t="n">
        <v>4.7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47425-2025</t>
        </is>
      </c>
      <c r="B3086" s="1" t="n">
        <v>45930</v>
      </c>
      <c r="C3086" s="1" t="n">
        <v>45957</v>
      </c>
      <c r="D3086" t="inlineStr">
        <is>
          <t>KRONOBERGS LÄN</t>
        </is>
      </c>
      <c r="E3086" t="inlineStr">
        <is>
          <t>UPPVIDINGE</t>
        </is>
      </c>
      <c r="F3086" t="inlineStr">
        <is>
          <t>Kyrkan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47839-2025</t>
        </is>
      </c>
      <c r="B3087" s="1" t="n">
        <v>45932.36827546296</v>
      </c>
      <c r="C3087" s="1" t="n">
        <v>45957</v>
      </c>
      <c r="D3087" t="inlineStr">
        <is>
          <t>KRONOBERGS LÄN</t>
        </is>
      </c>
      <c r="E3087" t="inlineStr">
        <is>
          <t>UPPVIDINGE</t>
        </is>
      </c>
      <c r="G3087" t="n">
        <v>1.1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37189-2023</t>
        </is>
      </c>
      <c r="B3088" s="1" t="n">
        <v>45155</v>
      </c>
      <c r="C3088" s="1" t="n">
        <v>45957</v>
      </c>
      <c r="D3088" t="inlineStr">
        <is>
          <t>KRONOBERGS LÄN</t>
        </is>
      </c>
      <c r="E3088" t="inlineStr">
        <is>
          <t>TINGSRYD</t>
        </is>
      </c>
      <c r="G3088" t="n">
        <v>0.5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37195-2023</t>
        </is>
      </c>
      <c r="B3089" s="1" t="n">
        <v>45155</v>
      </c>
      <c r="C3089" s="1" t="n">
        <v>45957</v>
      </c>
      <c r="D3089" t="inlineStr">
        <is>
          <t>KRONOBERGS LÄN</t>
        </is>
      </c>
      <c r="E3089" t="inlineStr">
        <is>
          <t>TINGSRYD</t>
        </is>
      </c>
      <c r="G3089" t="n">
        <v>0.5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47696-2025</t>
        </is>
      </c>
      <c r="B3090" s="1" t="n">
        <v>45931.59982638889</v>
      </c>
      <c r="C3090" s="1" t="n">
        <v>45957</v>
      </c>
      <c r="D3090" t="inlineStr">
        <is>
          <t>KRONOBERGS LÄN</t>
        </is>
      </c>
      <c r="E3090" t="inlineStr">
        <is>
          <t>LESSEBO</t>
        </is>
      </c>
      <c r="G3090" t="n">
        <v>1.4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51659-2023</t>
        </is>
      </c>
      <c r="B3091" s="1" t="n">
        <v>45222.56635416667</v>
      </c>
      <c r="C3091" s="1" t="n">
        <v>45957</v>
      </c>
      <c r="D3091" t="inlineStr">
        <is>
          <t>KRONOBERGS LÄN</t>
        </is>
      </c>
      <c r="E3091" t="inlineStr">
        <is>
          <t>VÄXJÖ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36337-2023</t>
        </is>
      </c>
      <c r="B3092" s="1" t="n">
        <v>45152</v>
      </c>
      <c r="C3092" s="1" t="n">
        <v>45957</v>
      </c>
      <c r="D3092" t="inlineStr">
        <is>
          <t>KRONOBERGS LÄN</t>
        </is>
      </c>
      <c r="E3092" t="inlineStr">
        <is>
          <t>TINGSRYD</t>
        </is>
      </c>
      <c r="G3092" t="n">
        <v>0.4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59513-2023</t>
        </is>
      </c>
      <c r="B3093" s="1" t="n">
        <v>45254.48444444445</v>
      </c>
      <c r="C3093" s="1" t="n">
        <v>45957</v>
      </c>
      <c r="D3093" t="inlineStr">
        <is>
          <t>KRONOBERGS LÄN</t>
        </is>
      </c>
      <c r="E3093" t="inlineStr">
        <is>
          <t>ÄLMHULT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51521-2024</t>
        </is>
      </c>
      <c r="B3094" s="1" t="n">
        <v>45604.5687962963</v>
      </c>
      <c r="C3094" s="1" t="n">
        <v>45957</v>
      </c>
      <c r="D3094" t="inlineStr">
        <is>
          <t>KRONOBERGS LÄN</t>
        </is>
      </c>
      <c r="E3094" t="inlineStr">
        <is>
          <t>UPPVIDINGE</t>
        </is>
      </c>
      <c r="F3094" t="inlineStr">
        <is>
          <t>Sveaskog</t>
        </is>
      </c>
      <c r="G3094" t="n">
        <v>3.7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27247-2024</t>
        </is>
      </c>
      <c r="B3095" s="1" t="n">
        <v>45471.6733912037</v>
      </c>
      <c r="C3095" s="1" t="n">
        <v>45957</v>
      </c>
      <c r="D3095" t="inlineStr">
        <is>
          <t>KRONOBERGS LÄN</t>
        </is>
      </c>
      <c r="E3095" t="inlineStr">
        <is>
          <t>ALVESTA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27252-2024</t>
        </is>
      </c>
      <c r="B3096" s="1" t="n">
        <v>45471.69940972222</v>
      </c>
      <c r="C3096" s="1" t="n">
        <v>45957</v>
      </c>
      <c r="D3096" t="inlineStr">
        <is>
          <t>KRONOBERGS LÄN</t>
        </is>
      </c>
      <c r="E3096" t="inlineStr">
        <is>
          <t>ALVESTA</t>
        </is>
      </c>
      <c r="G3096" t="n">
        <v>3.4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52040-2024</t>
        </is>
      </c>
      <c r="B3097" s="1" t="n">
        <v>45608.31934027778</v>
      </c>
      <c r="C3097" s="1" t="n">
        <v>45957</v>
      </c>
      <c r="D3097" t="inlineStr">
        <is>
          <t>KRONOBERGS LÄN</t>
        </is>
      </c>
      <c r="E3097" t="inlineStr">
        <is>
          <t>ALVESTA</t>
        </is>
      </c>
      <c r="G3097" t="n">
        <v>5.1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32393-2025</t>
        </is>
      </c>
      <c r="B3098" s="1" t="n">
        <v>45837.91177083334</v>
      </c>
      <c r="C3098" s="1" t="n">
        <v>45957</v>
      </c>
      <c r="D3098" t="inlineStr">
        <is>
          <t>KRONOBERGS LÄN</t>
        </is>
      </c>
      <c r="E3098" t="inlineStr">
        <is>
          <t>LJUNGBY</t>
        </is>
      </c>
      <c r="G3098" t="n">
        <v>2.1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6341-2024</t>
        </is>
      </c>
      <c r="B3099" s="1" t="n">
        <v>45338.43309027778</v>
      </c>
      <c r="C3099" s="1" t="n">
        <v>45957</v>
      </c>
      <c r="D3099" t="inlineStr">
        <is>
          <t>KRONOBERGS LÄN</t>
        </is>
      </c>
      <c r="E3099" t="inlineStr">
        <is>
          <t>UPPVIDINGE</t>
        </is>
      </c>
      <c r="F3099" t="inlineStr">
        <is>
          <t>Sveaskog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47396-2024</t>
        </is>
      </c>
      <c r="B3100" s="1" t="n">
        <v>45587</v>
      </c>
      <c r="C3100" s="1" t="n">
        <v>45957</v>
      </c>
      <c r="D3100" t="inlineStr">
        <is>
          <t>KRONOBERGS LÄN</t>
        </is>
      </c>
      <c r="E3100" t="inlineStr">
        <is>
          <t>LESSEBO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47510-2025</t>
        </is>
      </c>
      <c r="B3101" s="1" t="n">
        <v>45930.91256944444</v>
      </c>
      <c r="C3101" s="1" t="n">
        <v>45957</v>
      </c>
      <c r="D3101" t="inlineStr">
        <is>
          <t>KRONOBERGS LÄN</t>
        </is>
      </c>
      <c r="E3101" t="inlineStr">
        <is>
          <t>ÄLMHULT</t>
        </is>
      </c>
      <c r="G3101" t="n">
        <v>0.4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8416-2025</t>
        </is>
      </c>
      <c r="B3102" s="1" t="n">
        <v>45709.39714120371</v>
      </c>
      <c r="C3102" s="1" t="n">
        <v>45957</v>
      </c>
      <c r="D3102" t="inlineStr">
        <is>
          <t>KRONOBERGS LÄN</t>
        </is>
      </c>
      <c r="E3102" t="inlineStr">
        <is>
          <t>UPPVIDINGE</t>
        </is>
      </c>
      <c r="F3102" t="inlineStr">
        <is>
          <t>Sveaskog</t>
        </is>
      </c>
      <c r="G3102" t="n">
        <v>7.2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9866-2022</t>
        </is>
      </c>
      <c r="B3103" s="1" t="n">
        <v>44620.55774305556</v>
      </c>
      <c r="C3103" s="1" t="n">
        <v>45957</v>
      </c>
      <c r="D3103" t="inlineStr">
        <is>
          <t>KRONOBERGS LÄN</t>
        </is>
      </c>
      <c r="E3103" t="inlineStr">
        <is>
          <t>TINGSRYD</t>
        </is>
      </c>
      <c r="F3103" t="inlineStr">
        <is>
          <t>Kommuner</t>
        </is>
      </c>
      <c r="G3103" t="n">
        <v>0.8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6365-2024</t>
        </is>
      </c>
      <c r="B3104" s="1" t="n">
        <v>45338.49630787037</v>
      </c>
      <c r="C3104" s="1" t="n">
        <v>45957</v>
      </c>
      <c r="D3104" t="inlineStr">
        <is>
          <t>KRONOBERGS LÄN</t>
        </is>
      </c>
      <c r="E3104" t="inlineStr">
        <is>
          <t>ALVESTA</t>
        </is>
      </c>
      <c r="G3104" t="n">
        <v>0.3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6368-2024</t>
        </is>
      </c>
      <c r="B3105" s="1" t="n">
        <v>45338.50097222222</v>
      </c>
      <c r="C3105" s="1" t="n">
        <v>45957</v>
      </c>
      <c r="D3105" t="inlineStr">
        <is>
          <t>KRONOBERGS LÄN</t>
        </is>
      </c>
      <c r="E3105" t="inlineStr">
        <is>
          <t>ALVESTA</t>
        </is>
      </c>
      <c r="G3105" t="n">
        <v>0.4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72857-2021</t>
        </is>
      </c>
      <c r="B3106" s="1" t="n">
        <v>44547</v>
      </c>
      <c r="C3106" s="1" t="n">
        <v>45957</v>
      </c>
      <c r="D3106" t="inlineStr">
        <is>
          <t>KRONOBERGS LÄN</t>
        </is>
      </c>
      <c r="E3106" t="inlineStr">
        <is>
          <t>VÄXJÖ</t>
        </is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30132-2023</t>
        </is>
      </c>
      <c r="B3107" s="1" t="n">
        <v>45110</v>
      </c>
      <c r="C3107" s="1" t="n">
        <v>45957</v>
      </c>
      <c r="D3107" t="inlineStr">
        <is>
          <t>KRONOBERGS LÄN</t>
        </is>
      </c>
      <c r="E3107" t="inlineStr">
        <is>
          <t>LJUNGBY</t>
        </is>
      </c>
      <c r="G3107" t="n">
        <v>0.4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16200-2023</t>
        </is>
      </c>
      <c r="B3108" s="1" t="n">
        <v>45028</v>
      </c>
      <c r="C3108" s="1" t="n">
        <v>45957</v>
      </c>
      <c r="D3108" t="inlineStr">
        <is>
          <t>KRONOBERGS LÄN</t>
        </is>
      </c>
      <c r="E3108" t="inlineStr">
        <is>
          <t>VÄXJÖ</t>
        </is>
      </c>
      <c r="G3108" t="n">
        <v>1.2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40216-2023</t>
        </is>
      </c>
      <c r="B3109" s="1" t="n">
        <v>45169.45532407407</v>
      </c>
      <c r="C3109" s="1" t="n">
        <v>45957</v>
      </c>
      <c r="D3109" t="inlineStr">
        <is>
          <t>KRONOBERGS LÄN</t>
        </is>
      </c>
      <c r="E3109" t="inlineStr">
        <is>
          <t>VÄXJÖ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39256-2025</t>
        </is>
      </c>
      <c r="B3110" s="1" t="n">
        <v>45889.36693287037</v>
      </c>
      <c r="C3110" s="1" t="n">
        <v>45957</v>
      </c>
      <c r="D3110" t="inlineStr">
        <is>
          <t>KRONOBERGS LÄN</t>
        </is>
      </c>
      <c r="E3110" t="inlineStr">
        <is>
          <t>UPPVIDINGE</t>
        </is>
      </c>
      <c r="G3110" t="n">
        <v>4.4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47693-2025</t>
        </is>
      </c>
      <c r="B3111" s="1" t="n">
        <v>45931.59833333334</v>
      </c>
      <c r="C3111" s="1" t="n">
        <v>45957</v>
      </c>
      <c r="D3111" t="inlineStr">
        <is>
          <t>KRONOBERGS LÄN</t>
        </is>
      </c>
      <c r="E3111" t="inlineStr">
        <is>
          <t>LESSEBO</t>
        </is>
      </c>
      <c r="G3111" t="n">
        <v>2.2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7107-2022</t>
        </is>
      </c>
      <c r="B3112" s="1" t="n">
        <v>44603.63212962963</v>
      </c>
      <c r="C3112" s="1" t="n">
        <v>45957</v>
      </c>
      <c r="D3112" t="inlineStr">
        <is>
          <t>KRONOBERGS LÄN</t>
        </is>
      </c>
      <c r="E3112" t="inlineStr">
        <is>
          <t>LJUNGBY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7113-2022</t>
        </is>
      </c>
      <c r="B3113" s="1" t="n">
        <v>44603</v>
      </c>
      <c r="C3113" s="1" t="n">
        <v>45957</v>
      </c>
      <c r="D3113" t="inlineStr">
        <is>
          <t>KRONOBERGS LÄN</t>
        </is>
      </c>
      <c r="E3113" t="inlineStr">
        <is>
          <t>LJUNGBY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7114-2022</t>
        </is>
      </c>
      <c r="B3114" s="1" t="n">
        <v>44603.6434375</v>
      </c>
      <c r="C3114" s="1" t="n">
        <v>45957</v>
      </c>
      <c r="D3114" t="inlineStr">
        <is>
          <t>KRONOBERGS LÄN</t>
        </is>
      </c>
      <c r="E3114" t="inlineStr">
        <is>
          <t>LJUNGBY</t>
        </is>
      </c>
      <c r="G3114" t="n">
        <v>1.4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49001-2024</t>
        </is>
      </c>
      <c r="B3115" s="1" t="n">
        <v>45594.49429398148</v>
      </c>
      <c r="C3115" s="1" t="n">
        <v>45957</v>
      </c>
      <c r="D3115" t="inlineStr">
        <is>
          <t>KRONOBERGS LÄN</t>
        </is>
      </c>
      <c r="E3115" t="inlineStr">
        <is>
          <t>VÄXJÖ</t>
        </is>
      </c>
      <c r="F3115" t="inlineStr">
        <is>
          <t>Sveaskog</t>
        </is>
      </c>
      <c r="G3115" t="n">
        <v>0.9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49005-2024</t>
        </is>
      </c>
      <c r="B3116" s="1" t="n">
        <v>45594.49712962963</v>
      </c>
      <c r="C3116" s="1" t="n">
        <v>45957</v>
      </c>
      <c r="D3116" t="inlineStr">
        <is>
          <t>KRONOBERGS LÄN</t>
        </is>
      </c>
      <c r="E3116" t="inlineStr">
        <is>
          <t>VÄXJÖ</t>
        </is>
      </c>
      <c r="F3116" t="inlineStr">
        <is>
          <t>Sveaskog</t>
        </is>
      </c>
      <c r="G3116" t="n">
        <v>0.5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49009-2024</t>
        </is>
      </c>
      <c r="B3117" s="1" t="n">
        <v>45594.50039351852</v>
      </c>
      <c r="C3117" s="1" t="n">
        <v>45957</v>
      </c>
      <c r="D3117" t="inlineStr">
        <is>
          <t>KRONOBERGS LÄN</t>
        </is>
      </c>
      <c r="E3117" t="inlineStr">
        <is>
          <t>VÄXJÖ</t>
        </is>
      </c>
      <c r="F3117" t="inlineStr">
        <is>
          <t>Sveaskog</t>
        </is>
      </c>
      <c r="G3117" t="n">
        <v>0.4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49014-2024</t>
        </is>
      </c>
      <c r="B3118" s="1" t="n">
        <v>45594.50556712963</v>
      </c>
      <c r="C3118" s="1" t="n">
        <v>45957</v>
      </c>
      <c r="D3118" t="inlineStr">
        <is>
          <t>KRONOBERGS LÄN</t>
        </is>
      </c>
      <c r="E3118" t="inlineStr">
        <is>
          <t>VÄXJÖ</t>
        </is>
      </c>
      <c r="F3118" t="inlineStr">
        <is>
          <t>Sveaskog</t>
        </is>
      </c>
      <c r="G3118" t="n">
        <v>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49015-2024</t>
        </is>
      </c>
      <c r="B3119" s="1" t="n">
        <v>45594.50665509259</v>
      </c>
      <c r="C3119" s="1" t="n">
        <v>45957</v>
      </c>
      <c r="D3119" t="inlineStr">
        <is>
          <t>KRONOBERGS LÄN</t>
        </is>
      </c>
      <c r="E3119" t="inlineStr">
        <is>
          <t>VÄXJÖ</t>
        </is>
      </c>
      <c r="F3119" t="inlineStr">
        <is>
          <t>Sveaskog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39250-2025</t>
        </is>
      </c>
      <c r="B3120" s="1" t="n">
        <v>45889.36107638889</v>
      </c>
      <c r="C3120" s="1" t="n">
        <v>45957</v>
      </c>
      <c r="D3120" t="inlineStr">
        <is>
          <t>KRONOBERGS LÄN</t>
        </is>
      </c>
      <c r="E3120" t="inlineStr">
        <is>
          <t>UPPVIDINGE</t>
        </is>
      </c>
      <c r="G3120" t="n">
        <v>2.8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9923-2023</t>
        </is>
      </c>
      <c r="B3121" s="1" t="n">
        <v>44985</v>
      </c>
      <c r="C3121" s="1" t="n">
        <v>45957</v>
      </c>
      <c r="D3121" t="inlineStr">
        <is>
          <t>KRONOBERGS LÄN</t>
        </is>
      </c>
      <c r="E3121" t="inlineStr">
        <is>
          <t>UPPVIDINGE</t>
        </is>
      </c>
      <c r="G3121" t="n">
        <v>0.7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8415-2025</t>
        </is>
      </c>
      <c r="B3122" s="1" t="n">
        <v>45709.39515046297</v>
      </c>
      <c r="C3122" s="1" t="n">
        <v>45957</v>
      </c>
      <c r="D3122" t="inlineStr">
        <is>
          <t>KRONOBERGS LÄN</t>
        </is>
      </c>
      <c r="E3122" t="inlineStr">
        <is>
          <t>UPPVIDINGE</t>
        </is>
      </c>
      <c r="F3122" t="inlineStr">
        <is>
          <t>Sveaskog</t>
        </is>
      </c>
      <c r="G3122" t="n">
        <v>3.3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8418-2025</t>
        </is>
      </c>
      <c r="B3123" s="1" t="n">
        <v>45709.40043981482</v>
      </c>
      <c r="C3123" s="1" t="n">
        <v>45957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46891-2024</t>
        </is>
      </c>
      <c r="B3124" s="1" t="n">
        <v>45583.6671875</v>
      </c>
      <c r="C3124" s="1" t="n">
        <v>45957</v>
      </c>
      <c r="D3124" t="inlineStr">
        <is>
          <t>KRONOBERGS LÄN</t>
        </is>
      </c>
      <c r="E3124" t="inlineStr">
        <is>
          <t>MARKARYD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47587-2025</t>
        </is>
      </c>
      <c r="B3125" s="1" t="n">
        <v>45931.43657407408</v>
      </c>
      <c r="C3125" s="1" t="n">
        <v>45957</v>
      </c>
      <c r="D3125" t="inlineStr">
        <is>
          <t>KRONOBERGS LÄN</t>
        </is>
      </c>
      <c r="E3125" t="inlineStr">
        <is>
          <t>TINGSRYD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46963-2024</t>
        </is>
      </c>
      <c r="B3126" s="1" t="n">
        <v>45583</v>
      </c>
      <c r="C3126" s="1" t="n">
        <v>45957</v>
      </c>
      <c r="D3126" t="inlineStr">
        <is>
          <t>KRONOBERGS LÄN</t>
        </is>
      </c>
      <c r="E3126" t="inlineStr">
        <is>
          <t>VÄXJÖ</t>
        </is>
      </c>
      <c r="F3126" t="inlineStr">
        <is>
          <t>Kyrkan</t>
        </is>
      </c>
      <c r="G3126" t="n">
        <v>2.7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53367-2023</t>
        </is>
      </c>
      <c r="B3127" s="1" t="n">
        <v>45229.66976851852</v>
      </c>
      <c r="C3127" s="1" t="n">
        <v>45957</v>
      </c>
      <c r="D3127" t="inlineStr">
        <is>
          <t>KRONOBERGS LÄN</t>
        </is>
      </c>
      <c r="E3127" t="inlineStr">
        <is>
          <t>ALVESTA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7342-2024</t>
        </is>
      </c>
      <c r="B3128" s="1" t="n">
        <v>45345.45221064815</v>
      </c>
      <c r="C3128" s="1" t="n">
        <v>45957</v>
      </c>
      <c r="D3128" t="inlineStr">
        <is>
          <t>KRONOBERGS LÄN</t>
        </is>
      </c>
      <c r="E3128" t="inlineStr">
        <is>
          <t>ALVESTA</t>
        </is>
      </c>
      <c r="G3128" t="n">
        <v>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7374-2024</t>
        </is>
      </c>
      <c r="B3129" s="1" t="n">
        <v>45345</v>
      </c>
      <c r="C3129" s="1" t="n">
        <v>45957</v>
      </c>
      <c r="D3129" t="inlineStr">
        <is>
          <t>KRONOBERGS LÄN</t>
        </is>
      </c>
      <c r="E3129" t="inlineStr">
        <is>
          <t>LJUNGBY</t>
        </is>
      </c>
      <c r="G3129" t="n">
        <v>6.3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13978-2024</t>
        </is>
      </c>
      <c r="B3130" s="1" t="n">
        <v>45392.39776620371</v>
      </c>
      <c r="C3130" s="1" t="n">
        <v>45957</v>
      </c>
      <c r="D3130" t="inlineStr">
        <is>
          <t>KRONOBERGS LÄN</t>
        </is>
      </c>
      <c r="E3130" t="inlineStr">
        <is>
          <t>VÄXJÖ</t>
        </is>
      </c>
      <c r="F3130" t="inlineStr">
        <is>
          <t>Sveaskog</t>
        </is>
      </c>
      <c r="G3130" t="n">
        <v>0.7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27942-2025</t>
        </is>
      </c>
      <c r="B3131" s="1" t="n">
        <v>45817.50908564815</v>
      </c>
      <c r="C3131" s="1" t="n">
        <v>45957</v>
      </c>
      <c r="D3131" t="inlineStr">
        <is>
          <t>KRONOBERGS LÄN</t>
        </is>
      </c>
      <c r="E3131" t="inlineStr">
        <is>
          <t>ÄLMHULT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14549-2025</t>
        </is>
      </c>
      <c r="B3132" s="1" t="n">
        <v>45741.70359953704</v>
      </c>
      <c r="C3132" s="1" t="n">
        <v>45957</v>
      </c>
      <c r="D3132" t="inlineStr">
        <is>
          <t>KRONOBERGS LÄN</t>
        </is>
      </c>
      <c r="E3132" t="inlineStr">
        <is>
          <t>LESSEBO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14583-2025</t>
        </is>
      </c>
      <c r="B3133" s="1" t="n">
        <v>45742.31431712963</v>
      </c>
      <c r="C3133" s="1" t="n">
        <v>45957</v>
      </c>
      <c r="D3133" t="inlineStr">
        <is>
          <t>KRONOBERGS LÄN</t>
        </is>
      </c>
      <c r="E3133" t="inlineStr">
        <is>
          <t>TINGSRYD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4437-2025</t>
        </is>
      </c>
      <c r="B3134" s="1" t="n">
        <v>45686.51583333333</v>
      </c>
      <c r="C3134" s="1" t="n">
        <v>45957</v>
      </c>
      <c r="D3134" t="inlineStr">
        <is>
          <t>KRONOBERGS LÄN</t>
        </is>
      </c>
      <c r="E3134" t="inlineStr">
        <is>
          <t>LJUNGBY</t>
        </is>
      </c>
      <c r="G3134" t="n">
        <v>3.5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54474-2024</t>
        </is>
      </c>
      <c r="B3135" s="1" t="n">
        <v>45617.54989583333</v>
      </c>
      <c r="C3135" s="1" t="n">
        <v>45957</v>
      </c>
      <c r="D3135" t="inlineStr">
        <is>
          <t>KRONOBERGS LÄN</t>
        </is>
      </c>
      <c r="E3135" t="inlineStr">
        <is>
          <t>LJUNGBY</t>
        </is>
      </c>
      <c r="G3135" t="n">
        <v>6.2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27849-2025</t>
        </is>
      </c>
      <c r="B3136" s="1" t="n">
        <v>45817.39481481481</v>
      </c>
      <c r="C3136" s="1" t="n">
        <v>45957</v>
      </c>
      <c r="D3136" t="inlineStr">
        <is>
          <t>KRONOBERGS LÄN</t>
        </is>
      </c>
      <c r="E3136" t="inlineStr">
        <is>
          <t>LJUNGBY</t>
        </is>
      </c>
      <c r="G3136" t="n">
        <v>3.1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20857-2025</t>
        </is>
      </c>
      <c r="B3137" s="1" t="n">
        <v>45777.32631944444</v>
      </c>
      <c r="C3137" s="1" t="n">
        <v>45957</v>
      </c>
      <c r="D3137" t="inlineStr">
        <is>
          <t>KRONOBERGS LÄN</t>
        </is>
      </c>
      <c r="E3137" t="inlineStr">
        <is>
          <t>LESSEBO</t>
        </is>
      </c>
      <c r="F3137" t="inlineStr">
        <is>
          <t>Sveaskog</t>
        </is>
      </c>
      <c r="G3137" t="n">
        <v>1.1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4427-2025</t>
        </is>
      </c>
      <c r="B3138" s="1" t="n">
        <v>45686</v>
      </c>
      <c r="C3138" s="1" t="n">
        <v>45957</v>
      </c>
      <c r="D3138" t="inlineStr">
        <is>
          <t>KRONOBERGS LÄN</t>
        </is>
      </c>
      <c r="E3138" t="inlineStr">
        <is>
          <t>ALVESTA</t>
        </is>
      </c>
      <c r="G3138" t="n">
        <v>1.9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28171-2025</t>
        </is>
      </c>
      <c r="B3139" s="1" t="n">
        <v>45818</v>
      </c>
      <c r="C3139" s="1" t="n">
        <v>45957</v>
      </c>
      <c r="D3139" t="inlineStr">
        <is>
          <t>KRONOBERGS LÄN</t>
        </is>
      </c>
      <c r="E3139" t="inlineStr">
        <is>
          <t>VÄXJÖ</t>
        </is>
      </c>
      <c r="G3139" t="n">
        <v>19.3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28177-2025</t>
        </is>
      </c>
      <c r="B3140" s="1" t="n">
        <v>45818.39106481482</v>
      </c>
      <c r="C3140" s="1" t="n">
        <v>45957</v>
      </c>
      <c r="D3140" t="inlineStr">
        <is>
          <t>KRONOBERGS LÄN</t>
        </is>
      </c>
      <c r="E3140" t="inlineStr">
        <is>
          <t>ÄLMHULT</t>
        </is>
      </c>
      <c r="G3140" t="n">
        <v>1.5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16214-2022</t>
        </is>
      </c>
      <c r="B3141" s="1" t="n">
        <v>44670</v>
      </c>
      <c r="C3141" s="1" t="n">
        <v>45957</v>
      </c>
      <c r="D3141" t="inlineStr">
        <is>
          <t>KRONOBERGS LÄN</t>
        </is>
      </c>
      <c r="E3141" t="inlineStr">
        <is>
          <t>VÄXJÖ</t>
        </is>
      </c>
      <c r="G3141" t="n">
        <v>1.3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55206-2023</t>
        </is>
      </c>
      <c r="B3142" s="1" t="n">
        <v>45237</v>
      </c>
      <c r="C3142" s="1" t="n">
        <v>45957</v>
      </c>
      <c r="D3142" t="inlineStr">
        <is>
          <t>KRONOBERGS LÄN</t>
        </is>
      </c>
      <c r="E3142" t="inlineStr">
        <is>
          <t>MARKARYD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39125-2024</t>
        </is>
      </c>
      <c r="B3143" s="1" t="n">
        <v>45548.59546296296</v>
      </c>
      <c r="C3143" s="1" t="n">
        <v>45957</v>
      </c>
      <c r="D3143" t="inlineStr">
        <is>
          <t>KRONOBERGS LÄN</t>
        </is>
      </c>
      <c r="E3143" t="inlineStr">
        <is>
          <t>ÄLMHULT</t>
        </is>
      </c>
      <c r="G3143" t="n">
        <v>1.6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28292-2025</t>
        </is>
      </c>
      <c r="B3144" s="1" t="n">
        <v>45818.59465277778</v>
      </c>
      <c r="C3144" s="1" t="n">
        <v>45957</v>
      </c>
      <c r="D3144" t="inlineStr">
        <is>
          <t>KRONOBERGS LÄN</t>
        </is>
      </c>
      <c r="E3144" t="inlineStr">
        <is>
          <t>MARKARYD</t>
        </is>
      </c>
      <c r="G3144" t="n">
        <v>1.1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28301-2025</t>
        </is>
      </c>
      <c r="B3145" s="1" t="n">
        <v>45818.60510416667</v>
      </c>
      <c r="C3145" s="1" t="n">
        <v>45957</v>
      </c>
      <c r="D3145" t="inlineStr">
        <is>
          <t>KRONOBERGS LÄN</t>
        </is>
      </c>
      <c r="E3145" t="inlineStr">
        <is>
          <t>ÄLMHULT</t>
        </is>
      </c>
      <c r="G3145" t="n">
        <v>4.3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28335-2025</t>
        </is>
      </c>
      <c r="B3146" s="1" t="n">
        <v>45818.66649305556</v>
      </c>
      <c r="C3146" s="1" t="n">
        <v>45957</v>
      </c>
      <c r="D3146" t="inlineStr">
        <is>
          <t>KRONOBERGS LÄN</t>
        </is>
      </c>
      <c r="E3146" t="inlineStr">
        <is>
          <t>LJUNGBY</t>
        </is>
      </c>
      <c r="G3146" t="n">
        <v>1.1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19867-2025</t>
        </is>
      </c>
      <c r="B3147" s="1" t="n">
        <v>45771.54145833333</v>
      </c>
      <c r="C3147" s="1" t="n">
        <v>45957</v>
      </c>
      <c r="D3147" t="inlineStr">
        <is>
          <t>KRONOBERGS LÄN</t>
        </is>
      </c>
      <c r="E3147" t="inlineStr">
        <is>
          <t>ÄLMHULT</t>
        </is>
      </c>
      <c r="F3147" t="inlineStr">
        <is>
          <t>Sveaskog</t>
        </is>
      </c>
      <c r="G3147" t="n">
        <v>13.1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45749-2024</t>
        </is>
      </c>
      <c r="B3148" s="1" t="n">
        <v>45579</v>
      </c>
      <c r="C3148" s="1" t="n">
        <v>45957</v>
      </c>
      <c r="D3148" t="inlineStr">
        <is>
          <t>KRONOBERGS LÄN</t>
        </is>
      </c>
      <c r="E3148" t="inlineStr">
        <is>
          <t>UPPVIDINGE</t>
        </is>
      </c>
      <c r="F3148" t="inlineStr">
        <is>
          <t>Sveaskog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39754-2023</t>
        </is>
      </c>
      <c r="B3149" s="1" t="n">
        <v>45167.68207175926</v>
      </c>
      <c r="C3149" s="1" t="n">
        <v>45957</v>
      </c>
      <c r="D3149" t="inlineStr">
        <is>
          <t>KRONOBERGS LÄN</t>
        </is>
      </c>
      <c r="E3149" t="inlineStr">
        <is>
          <t>LJUNGBY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53256-2024</t>
        </is>
      </c>
      <c r="B3150" s="1" t="n">
        <v>45614.33466435185</v>
      </c>
      <c r="C3150" s="1" t="n">
        <v>45957</v>
      </c>
      <c r="D3150" t="inlineStr">
        <is>
          <t>KRONOBERGS LÄN</t>
        </is>
      </c>
      <c r="E3150" t="inlineStr">
        <is>
          <t>TINGSRYD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9321-2021</t>
        </is>
      </c>
      <c r="B3151" s="1" t="n">
        <v>44250</v>
      </c>
      <c r="C3151" s="1" t="n">
        <v>45957</v>
      </c>
      <c r="D3151" t="inlineStr">
        <is>
          <t>KRONOBERGS LÄN</t>
        </is>
      </c>
      <c r="E3151" t="inlineStr">
        <is>
          <t>UPPVIDINGE</t>
        </is>
      </c>
      <c r="G3151" t="n">
        <v>3.3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5865-2025</t>
        </is>
      </c>
      <c r="B3152" s="1" t="n">
        <v>45695.35372685185</v>
      </c>
      <c r="C3152" s="1" t="n">
        <v>45957</v>
      </c>
      <c r="D3152" t="inlineStr">
        <is>
          <t>KRONOBERGS LÄN</t>
        </is>
      </c>
      <c r="E3152" t="inlineStr">
        <is>
          <t>ÄLMHULT</t>
        </is>
      </c>
      <c r="G3152" t="n">
        <v>1.4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27846-2025</t>
        </is>
      </c>
      <c r="B3153" s="1" t="n">
        <v>45817.39133101852</v>
      </c>
      <c r="C3153" s="1" t="n">
        <v>45957</v>
      </c>
      <c r="D3153" t="inlineStr">
        <is>
          <t>KRONOBERGS LÄN</t>
        </is>
      </c>
      <c r="E3153" t="inlineStr">
        <is>
          <t>LJUNGBY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53345-2024</t>
        </is>
      </c>
      <c r="B3154" s="1" t="n">
        <v>45614.44239583334</v>
      </c>
      <c r="C3154" s="1" t="n">
        <v>45957</v>
      </c>
      <c r="D3154" t="inlineStr">
        <is>
          <t>KRONOBERGS LÄN</t>
        </is>
      </c>
      <c r="E3154" t="inlineStr">
        <is>
          <t>LJUNGBY</t>
        </is>
      </c>
      <c r="G3154" t="n">
        <v>4.9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28227-2025</t>
        </is>
      </c>
      <c r="B3155" s="1" t="n">
        <v>45818</v>
      </c>
      <c r="C3155" s="1" t="n">
        <v>45957</v>
      </c>
      <c r="D3155" t="inlineStr">
        <is>
          <t>KRONOBERGS LÄN</t>
        </is>
      </c>
      <c r="E3155" t="inlineStr">
        <is>
          <t>LJUNGBY</t>
        </is>
      </c>
      <c r="G3155" t="n">
        <v>3.6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20963-2025</t>
        </is>
      </c>
      <c r="B3156" s="1" t="n">
        <v>45777.45011574074</v>
      </c>
      <c r="C3156" s="1" t="n">
        <v>45957</v>
      </c>
      <c r="D3156" t="inlineStr">
        <is>
          <t>KRONOBERGS LÄN</t>
        </is>
      </c>
      <c r="E3156" t="inlineStr">
        <is>
          <t>UPPVIDINGE</t>
        </is>
      </c>
      <c r="F3156" t="inlineStr">
        <is>
          <t>Sveaskog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11800-2023</t>
        </is>
      </c>
      <c r="B3157" s="1" t="n">
        <v>44994</v>
      </c>
      <c r="C3157" s="1" t="n">
        <v>45957</v>
      </c>
      <c r="D3157" t="inlineStr">
        <is>
          <t>KRONOBERGS LÄN</t>
        </is>
      </c>
      <c r="E3157" t="inlineStr">
        <is>
          <t>ÄLMHULT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7957-2023</t>
        </is>
      </c>
      <c r="B3158" s="1" t="n">
        <v>44973.68270833333</v>
      </c>
      <c r="C3158" s="1" t="n">
        <v>45957</v>
      </c>
      <c r="D3158" t="inlineStr">
        <is>
          <t>KRONOBERGS LÄN</t>
        </is>
      </c>
      <c r="E3158" t="inlineStr">
        <is>
          <t>LESSEBO</t>
        </is>
      </c>
      <c r="G3158" t="n">
        <v>0.5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47511-2025</t>
        </is>
      </c>
      <c r="B3159" s="1" t="n">
        <v>45930.91648148148</v>
      </c>
      <c r="C3159" s="1" t="n">
        <v>45957</v>
      </c>
      <c r="D3159" t="inlineStr">
        <is>
          <t>KRONOBERGS LÄN</t>
        </is>
      </c>
      <c r="E3159" t="inlineStr">
        <is>
          <t>ÄLMHULT</t>
        </is>
      </c>
      <c r="G3159" t="n">
        <v>0.4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15734-2024</t>
        </is>
      </c>
      <c r="B3160" s="1" t="n">
        <v>45404</v>
      </c>
      <c r="C3160" s="1" t="n">
        <v>45957</v>
      </c>
      <c r="D3160" t="inlineStr">
        <is>
          <t>KRONOBERGS LÄN</t>
        </is>
      </c>
      <c r="E3160" t="inlineStr">
        <is>
          <t>UPPVIDINGE</t>
        </is>
      </c>
      <c r="G3160" t="n">
        <v>0.3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53214-2024</t>
        </is>
      </c>
      <c r="B3161" s="1" t="n">
        <v>45612.66797453703</v>
      </c>
      <c r="C3161" s="1" t="n">
        <v>45957</v>
      </c>
      <c r="D3161" t="inlineStr">
        <is>
          <t>KRONOBERGS LÄN</t>
        </is>
      </c>
      <c r="E3161" t="inlineStr">
        <is>
          <t>ÄLMHULT</t>
        </is>
      </c>
      <c r="G3161" t="n">
        <v>2.8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20896-2024</t>
        </is>
      </c>
      <c r="B3162" s="1" t="n">
        <v>45439.46791666667</v>
      </c>
      <c r="C3162" s="1" t="n">
        <v>45957</v>
      </c>
      <c r="D3162" t="inlineStr">
        <is>
          <t>KRONOBERGS LÄN</t>
        </is>
      </c>
      <c r="E3162" t="inlineStr">
        <is>
          <t>TINGSRYD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47922-2025</t>
        </is>
      </c>
      <c r="B3163" s="1" t="n">
        <v>45932.53429398148</v>
      </c>
      <c r="C3163" s="1" t="n">
        <v>45957</v>
      </c>
      <c r="D3163" t="inlineStr">
        <is>
          <t>KRONOBERGS LÄN</t>
        </is>
      </c>
      <c r="E3163" t="inlineStr">
        <is>
          <t>TINGSRYD</t>
        </is>
      </c>
      <c r="G3163" t="n">
        <v>3.3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37215-2025</t>
        </is>
      </c>
      <c r="B3164" s="1" t="n">
        <v>45875</v>
      </c>
      <c r="C3164" s="1" t="n">
        <v>45957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39220-2025</t>
        </is>
      </c>
      <c r="B3165" s="1" t="n">
        <v>45888.89115740741</v>
      </c>
      <c r="C3165" s="1" t="n">
        <v>45957</v>
      </c>
      <c r="D3165" t="inlineStr">
        <is>
          <t>KRONOBERGS LÄN</t>
        </is>
      </c>
      <c r="E3165" t="inlineStr">
        <is>
          <t>MARKARYD</t>
        </is>
      </c>
      <c r="G3165" t="n">
        <v>0.9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39485-2025</t>
        </is>
      </c>
      <c r="B3166" s="1" t="n">
        <v>45890.36122685186</v>
      </c>
      <c r="C3166" s="1" t="n">
        <v>45957</v>
      </c>
      <c r="D3166" t="inlineStr">
        <is>
          <t>KRONOBERGS LÄN</t>
        </is>
      </c>
      <c r="E3166" t="inlineStr">
        <is>
          <t>TINGSRYD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8359-2022</t>
        </is>
      </c>
      <c r="B3167" s="1" t="n">
        <v>44610</v>
      </c>
      <c r="C3167" s="1" t="n">
        <v>45957</v>
      </c>
      <c r="D3167" t="inlineStr">
        <is>
          <t>KRONOBERGS LÄN</t>
        </is>
      </c>
      <c r="E3167" t="inlineStr">
        <is>
          <t>UPPVIDINGE</t>
        </is>
      </c>
      <c r="G3167" t="n">
        <v>0.9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27373-2024</t>
        </is>
      </c>
      <c r="B3168" s="1" t="n">
        <v>45473.86574074074</v>
      </c>
      <c r="C3168" s="1" t="n">
        <v>45957</v>
      </c>
      <c r="D3168" t="inlineStr">
        <is>
          <t>KRONOBERGS LÄN</t>
        </is>
      </c>
      <c r="E3168" t="inlineStr">
        <is>
          <t>MARKARYD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60653-2024</t>
        </is>
      </c>
      <c r="B3169" s="1" t="n">
        <v>45644.43983796296</v>
      </c>
      <c r="C3169" s="1" t="n">
        <v>45957</v>
      </c>
      <c r="D3169" t="inlineStr">
        <is>
          <t>KRONOBERGS LÄN</t>
        </is>
      </c>
      <c r="E3169" t="inlineStr">
        <is>
          <t>TINGSRYD</t>
        </is>
      </c>
      <c r="G3169" t="n">
        <v>2.2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27405-2024</t>
        </is>
      </c>
      <c r="B3170" s="1" t="n">
        <v>45474.35745370371</v>
      </c>
      <c r="C3170" s="1" t="n">
        <v>45957</v>
      </c>
      <c r="D3170" t="inlineStr">
        <is>
          <t>KRONOBERGS LÄN</t>
        </is>
      </c>
      <c r="E3170" t="inlineStr">
        <is>
          <t>LESSEBO</t>
        </is>
      </c>
      <c r="G3170" t="n">
        <v>0.4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48009-2025</t>
        </is>
      </c>
      <c r="B3171" s="1" t="n">
        <v>45932.64091435185</v>
      </c>
      <c r="C3171" s="1" t="n">
        <v>45957</v>
      </c>
      <c r="D3171" t="inlineStr">
        <is>
          <t>KRONOBERGS LÄN</t>
        </is>
      </c>
      <c r="E3171" t="inlineStr">
        <is>
          <t>ALVESTA</t>
        </is>
      </c>
      <c r="G3171" t="n">
        <v>2.9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48010-2025</t>
        </is>
      </c>
      <c r="B3172" s="1" t="n">
        <v>45932.64313657407</v>
      </c>
      <c r="C3172" s="1" t="n">
        <v>45957</v>
      </c>
      <c r="D3172" t="inlineStr">
        <is>
          <t>KRONOBERGS LÄN</t>
        </is>
      </c>
      <c r="E3172" t="inlineStr">
        <is>
          <t>VÄXJÖ</t>
        </is>
      </c>
      <c r="G3172" t="n">
        <v>1.5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27415-2024</t>
        </is>
      </c>
      <c r="B3173" s="1" t="n">
        <v>45474.36921296296</v>
      </c>
      <c r="C3173" s="1" t="n">
        <v>45957</v>
      </c>
      <c r="D3173" t="inlineStr">
        <is>
          <t>KRONOBERGS LÄN</t>
        </is>
      </c>
      <c r="E3173" t="inlineStr">
        <is>
          <t>UPPVIDINGE</t>
        </is>
      </c>
      <c r="G3173" t="n">
        <v>8.4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48022-2025</t>
        </is>
      </c>
      <c r="B3174" s="1" t="n">
        <v>45932.64996527778</v>
      </c>
      <c r="C3174" s="1" t="n">
        <v>45957</v>
      </c>
      <c r="D3174" t="inlineStr">
        <is>
          <t>KRONOBERGS LÄN</t>
        </is>
      </c>
      <c r="E3174" t="inlineStr">
        <is>
          <t>ALVESTA</t>
        </is>
      </c>
      <c r="G3174" t="n">
        <v>1.7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52103-2024</t>
        </is>
      </c>
      <c r="B3175" s="1" t="n">
        <v>45608.42064814815</v>
      </c>
      <c r="C3175" s="1" t="n">
        <v>45957</v>
      </c>
      <c r="D3175" t="inlineStr">
        <is>
          <t>KRONOBERGS LÄN</t>
        </is>
      </c>
      <c r="E3175" t="inlineStr">
        <is>
          <t>ALVESTA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39266-2025</t>
        </is>
      </c>
      <c r="B3176" s="1" t="n">
        <v>45889.37565972222</v>
      </c>
      <c r="C3176" s="1" t="n">
        <v>45957</v>
      </c>
      <c r="D3176" t="inlineStr">
        <is>
          <t>KRONOBERGS LÄN</t>
        </is>
      </c>
      <c r="E3176" t="inlineStr">
        <is>
          <t>UPPVIDINGE</t>
        </is>
      </c>
      <c r="G3176" t="n">
        <v>2.3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19265-2023</t>
        </is>
      </c>
      <c r="B3177" s="1" t="n">
        <v>45049.36695601852</v>
      </c>
      <c r="C3177" s="1" t="n">
        <v>45957</v>
      </c>
      <c r="D3177" t="inlineStr">
        <is>
          <t>KRONOBERGS LÄN</t>
        </is>
      </c>
      <c r="E3177" t="inlineStr">
        <is>
          <t>ÄLMHULT</t>
        </is>
      </c>
      <c r="G3177" t="n">
        <v>1.8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48093-2025</t>
        </is>
      </c>
      <c r="B3178" s="1" t="n">
        <v>45933.29821759259</v>
      </c>
      <c r="C3178" s="1" t="n">
        <v>45957</v>
      </c>
      <c r="D3178" t="inlineStr">
        <is>
          <t>KRONOBERGS LÄN</t>
        </is>
      </c>
      <c r="E3178" t="inlineStr">
        <is>
          <t>TINGSRYD</t>
        </is>
      </c>
      <c r="G3178" t="n">
        <v>1.3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48157-2025</t>
        </is>
      </c>
      <c r="B3179" s="1" t="n">
        <v>45933.41994212963</v>
      </c>
      <c r="C3179" s="1" t="n">
        <v>45957</v>
      </c>
      <c r="D3179" t="inlineStr">
        <is>
          <t>KRONOBERGS LÄN</t>
        </is>
      </c>
      <c r="E3179" t="inlineStr">
        <is>
          <t>TINGSRYD</t>
        </is>
      </c>
      <c r="G3179" t="n">
        <v>1.5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48159-2025</t>
        </is>
      </c>
      <c r="B3180" s="1" t="n">
        <v>45933.42581018519</v>
      </c>
      <c r="C3180" s="1" t="n">
        <v>45957</v>
      </c>
      <c r="D3180" t="inlineStr">
        <is>
          <t>KRONOBERGS LÄN</t>
        </is>
      </c>
      <c r="E3180" t="inlineStr">
        <is>
          <t>VÄXJÖ</t>
        </is>
      </c>
      <c r="G3180" t="n">
        <v>1.5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39795-2025</t>
        </is>
      </c>
      <c r="B3181" s="1" t="n">
        <v>45891.49476851852</v>
      </c>
      <c r="C3181" s="1" t="n">
        <v>45957</v>
      </c>
      <c r="D3181" t="inlineStr">
        <is>
          <t>KRONOBERGS LÄN</t>
        </is>
      </c>
      <c r="E3181" t="inlineStr">
        <is>
          <t>UPPVIDINGE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39799-2025</t>
        </is>
      </c>
      <c r="B3182" s="1" t="n">
        <v>45891.49868055555</v>
      </c>
      <c r="C3182" s="1" t="n">
        <v>45957</v>
      </c>
      <c r="D3182" t="inlineStr">
        <is>
          <t>KRONOBERGS LÄN</t>
        </is>
      </c>
      <c r="E3182" t="inlineStr">
        <is>
          <t>UPPVIDINGE</t>
        </is>
      </c>
      <c r="G3182" t="n">
        <v>1.3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3041-2022</t>
        </is>
      </c>
      <c r="B3183" s="1" t="n">
        <v>44582</v>
      </c>
      <c r="C3183" s="1" t="n">
        <v>45957</v>
      </c>
      <c r="D3183" t="inlineStr">
        <is>
          <t>KRONOBERGS LÄN</t>
        </is>
      </c>
      <c r="E3183" t="inlineStr">
        <is>
          <t>TINGSRYD</t>
        </is>
      </c>
      <c r="F3183" t="inlineStr">
        <is>
          <t>Övriga Aktiebolag</t>
        </is>
      </c>
      <c r="G3183" t="n">
        <v>3.1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3074-2022</t>
        </is>
      </c>
      <c r="B3184" s="1" t="n">
        <v>44582.42422453704</v>
      </c>
      <c r="C3184" s="1" t="n">
        <v>45957</v>
      </c>
      <c r="D3184" t="inlineStr">
        <is>
          <t>KRONOBERGS LÄN</t>
        </is>
      </c>
      <c r="E3184" t="inlineStr">
        <is>
          <t>LJUNGBY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40152-2025</t>
        </is>
      </c>
      <c r="B3185" s="1" t="n">
        <v>45894.59266203704</v>
      </c>
      <c r="C3185" s="1" t="n">
        <v>45957</v>
      </c>
      <c r="D3185" t="inlineStr">
        <is>
          <t>KRONOBERGS LÄN</t>
        </is>
      </c>
      <c r="E3185" t="inlineStr">
        <is>
          <t>UPPVIDINGE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31753-2024</t>
        </is>
      </c>
      <c r="B3186" s="1" t="n">
        <v>45509</v>
      </c>
      <c r="C3186" s="1" t="n">
        <v>45957</v>
      </c>
      <c r="D3186" t="inlineStr">
        <is>
          <t>KRONOBERGS LÄN</t>
        </is>
      </c>
      <c r="E3186" t="inlineStr">
        <is>
          <t>VÄXJÖ</t>
        </is>
      </c>
      <c r="G3186" t="n">
        <v>3.4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28740-2024</t>
        </is>
      </c>
      <c r="B3187" s="1" t="n">
        <v>45478.57016203704</v>
      </c>
      <c r="C3187" s="1" t="n">
        <v>45957</v>
      </c>
      <c r="D3187" t="inlineStr">
        <is>
          <t>KRONOBERGS LÄN</t>
        </is>
      </c>
      <c r="E3187" t="inlineStr">
        <is>
          <t>ALVESTA</t>
        </is>
      </c>
      <c r="G3187" t="n">
        <v>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2896-2022</t>
        </is>
      </c>
      <c r="B3188" s="1" t="n">
        <v>44581</v>
      </c>
      <c r="C3188" s="1" t="n">
        <v>45957</v>
      </c>
      <c r="D3188" t="inlineStr">
        <is>
          <t>KRONOBERGS LÄN</t>
        </is>
      </c>
      <c r="E3188" t="inlineStr">
        <is>
          <t>MARKARYD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17934-2024</t>
        </is>
      </c>
      <c r="B3189" s="1" t="n">
        <v>45419.61466435185</v>
      </c>
      <c r="C3189" s="1" t="n">
        <v>45957</v>
      </c>
      <c r="D3189" t="inlineStr">
        <is>
          <t>KRONOBERGS LÄN</t>
        </is>
      </c>
      <c r="E3189" t="inlineStr">
        <is>
          <t>VÄXJÖ</t>
        </is>
      </c>
      <c r="G3189" t="n">
        <v>6.1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45038-2023</t>
        </is>
      </c>
      <c r="B3190" s="1" t="n">
        <v>45191</v>
      </c>
      <c r="C3190" s="1" t="n">
        <v>45957</v>
      </c>
      <c r="D3190" t="inlineStr">
        <is>
          <t>KRONOBERGS LÄN</t>
        </is>
      </c>
      <c r="E3190" t="inlineStr">
        <is>
          <t>TINGSRYD</t>
        </is>
      </c>
      <c r="G3190" t="n">
        <v>1.7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45055-2023</t>
        </is>
      </c>
      <c r="B3191" s="1" t="n">
        <v>45191</v>
      </c>
      <c r="C3191" s="1" t="n">
        <v>45957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5.8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67331-2021</t>
        </is>
      </c>
      <c r="B3192" s="1" t="n">
        <v>44523</v>
      </c>
      <c r="C3192" s="1" t="n">
        <v>45957</v>
      </c>
      <c r="D3192" t="inlineStr">
        <is>
          <t>KRONOBERGS LÄN</t>
        </is>
      </c>
      <c r="E3192" t="inlineStr">
        <is>
          <t>ALVESTA</t>
        </is>
      </c>
      <c r="G3192" t="n">
        <v>6.4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2847-2022</t>
        </is>
      </c>
      <c r="B3193" s="1" t="n">
        <v>44581.4650925926</v>
      </c>
      <c r="C3193" s="1" t="n">
        <v>45957</v>
      </c>
      <c r="D3193" t="inlineStr">
        <is>
          <t>KRONOBERGS LÄN</t>
        </is>
      </c>
      <c r="E3193" t="inlineStr">
        <is>
          <t>ALVESTA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60733-2024</t>
        </is>
      </c>
      <c r="B3194" s="1" t="n">
        <v>45644.54353009259</v>
      </c>
      <c r="C3194" s="1" t="n">
        <v>45957</v>
      </c>
      <c r="D3194" t="inlineStr">
        <is>
          <t>KRONOBERGS LÄN</t>
        </is>
      </c>
      <c r="E3194" t="inlineStr">
        <is>
          <t>VÄXJÖ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53742-2023</t>
        </is>
      </c>
      <c r="B3195" s="1" t="n">
        <v>45230.83997685185</v>
      </c>
      <c r="C3195" s="1" t="n">
        <v>45957</v>
      </c>
      <c r="D3195" t="inlineStr">
        <is>
          <t>KRONOBERGS LÄN</t>
        </is>
      </c>
      <c r="E3195" t="inlineStr">
        <is>
          <t>MARKARYD</t>
        </is>
      </c>
      <c r="G3195" t="n">
        <v>1.4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64769-2020</t>
        </is>
      </c>
      <c r="B3196" s="1" t="n">
        <v>44169</v>
      </c>
      <c r="C3196" s="1" t="n">
        <v>45957</v>
      </c>
      <c r="D3196" t="inlineStr">
        <is>
          <t>KRONOBERGS LÄN</t>
        </is>
      </c>
      <c r="E3196" t="inlineStr">
        <is>
          <t>TINGSRYD</t>
        </is>
      </c>
      <c r="G3196" t="n">
        <v>4.2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59072-2024</t>
        </is>
      </c>
      <c r="B3197" s="1" t="n">
        <v>45636.96761574074</v>
      </c>
      <c r="C3197" s="1" t="n">
        <v>45957</v>
      </c>
      <c r="D3197" t="inlineStr">
        <is>
          <t>KRONOBERGS LÄN</t>
        </is>
      </c>
      <c r="E3197" t="inlineStr">
        <is>
          <t>UPPVIDINGE</t>
        </is>
      </c>
      <c r="G3197" t="n">
        <v>3.2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59089-2024</t>
        </is>
      </c>
      <c r="B3198" s="1" t="n">
        <v>45637.31768518518</v>
      </c>
      <c r="C3198" s="1" t="n">
        <v>45957</v>
      </c>
      <c r="D3198" t="inlineStr">
        <is>
          <t>KRONOBERGS LÄN</t>
        </is>
      </c>
      <c r="E3198" t="inlineStr">
        <is>
          <t>TINGSRYD</t>
        </is>
      </c>
      <c r="F3198" t="inlineStr">
        <is>
          <t>Övriga Aktiebolag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18403-2025</t>
        </is>
      </c>
      <c r="B3199" s="1" t="n">
        <v>45762.60217592592</v>
      </c>
      <c r="C3199" s="1" t="n">
        <v>45957</v>
      </c>
      <c r="D3199" t="inlineStr">
        <is>
          <t>KRONOBERGS LÄN</t>
        </is>
      </c>
      <c r="E3199" t="inlineStr">
        <is>
          <t>LJUNGBY</t>
        </is>
      </c>
      <c r="G3199" t="n">
        <v>4.9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39766-2025</t>
        </is>
      </c>
      <c r="B3200" s="1" t="n">
        <v>45891</v>
      </c>
      <c r="C3200" s="1" t="n">
        <v>45957</v>
      </c>
      <c r="D3200" t="inlineStr">
        <is>
          <t>KRONOBERGS LÄN</t>
        </is>
      </c>
      <c r="E3200" t="inlineStr">
        <is>
          <t>TINGSRYD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27972-2025</t>
        </is>
      </c>
      <c r="B3201" s="1" t="n">
        <v>45817</v>
      </c>
      <c r="C3201" s="1" t="n">
        <v>45957</v>
      </c>
      <c r="D3201" t="inlineStr">
        <is>
          <t>KRONOBERGS LÄN</t>
        </is>
      </c>
      <c r="E3201" t="inlineStr">
        <is>
          <t>LJUNGBY</t>
        </is>
      </c>
      <c r="G3201" t="n">
        <v>2.2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28225-2025</t>
        </is>
      </c>
      <c r="B3202" s="1" t="n">
        <v>45818</v>
      </c>
      <c r="C3202" s="1" t="n">
        <v>45957</v>
      </c>
      <c r="D3202" t="inlineStr">
        <is>
          <t>KRONOBERGS LÄN</t>
        </is>
      </c>
      <c r="E3202" t="inlineStr">
        <is>
          <t>ALVESTA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18364-2025</t>
        </is>
      </c>
      <c r="B3203" s="1" t="n">
        <v>45762</v>
      </c>
      <c r="C3203" s="1" t="n">
        <v>45957</v>
      </c>
      <c r="D3203" t="inlineStr">
        <is>
          <t>KRONOBERGS LÄN</t>
        </is>
      </c>
      <c r="E3203" t="inlineStr">
        <is>
          <t>VÄXJÖ</t>
        </is>
      </c>
      <c r="F3203" t="inlineStr">
        <is>
          <t>Sveaskog</t>
        </is>
      </c>
      <c r="G3203" t="n">
        <v>4.2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28148-2025</t>
        </is>
      </c>
      <c r="B3204" s="1" t="n">
        <v>45818</v>
      </c>
      <c r="C3204" s="1" t="n">
        <v>45957</v>
      </c>
      <c r="D3204" t="inlineStr">
        <is>
          <t>KRONOBERGS LÄN</t>
        </is>
      </c>
      <c r="E3204" t="inlineStr">
        <is>
          <t>UPPVIDINGE</t>
        </is>
      </c>
      <c r="G3204" t="n">
        <v>1.6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17755-2025</t>
        </is>
      </c>
      <c r="B3205" s="1" t="n">
        <v>45758.48863425926</v>
      </c>
      <c r="C3205" s="1" t="n">
        <v>45957</v>
      </c>
      <c r="D3205" t="inlineStr">
        <is>
          <t>KRONOBERGS LÄN</t>
        </is>
      </c>
      <c r="E3205" t="inlineStr">
        <is>
          <t>VÄXJÖ</t>
        </is>
      </c>
      <c r="F3205" t="inlineStr">
        <is>
          <t>Sveaskog</t>
        </is>
      </c>
      <c r="G3205" t="n">
        <v>2.4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17758-2025</t>
        </is>
      </c>
      <c r="B3206" s="1" t="n">
        <v>45758.49101851852</v>
      </c>
      <c r="C3206" s="1" t="n">
        <v>45957</v>
      </c>
      <c r="D3206" t="inlineStr">
        <is>
          <t>KRONOBERGS LÄN</t>
        </is>
      </c>
      <c r="E3206" t="inlineStr">
        <is>
          <t>VÄXJÖ</t>
        </is>
      </c>
      <c r="F3206" t="inlineStr">
        <is>
          <t>Sveaskog</t>
        </is>
      </c>
      <c r="G3206" t="n">
        <v>2.2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7139-2025</t>
        </is>
      </c>
      <c r="B3207" s="1" t="n">
        <v>45702.36793981482</v>
      </c>
      <c r="C3207" s="1" t="n">
        <v>45957</v>
      </c>
      <c r="D3207" t="inlineStr">
        <is>
          <t>KRONOBERGS LÄN</t>
        </is>
      </c>
      <c r="E3207" t="inlineStr">
        <is>
          <t>UPPVIDINGE</t>
        </is>
      </c>
      <c r="G3207" t="n">
        <v>3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40076-2025</t>
        </is>
      </c>
      <c r="B3208" s="1" t="n">
        <v>45894.45380787037</v>
      </c>
      <c r="C3208" s="1" t="n">
        <v>45957</v>
      </c>
      <c r="D3208" t="inlineStr">
        <is>
          <t>KRONOBERGS LÄN</t>
        </is>
      </c>
      <c r="E3208" t="inlineStr">
        <is>
          <t>VÄXJÖ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10735-2025</t>
        </is>
      </c>
      <c r="B3209" s="1" t="n">
        <v>45722.40604166667</v>
      </c>
      <c r="C3209" s="1" t="n">
        <v>45957</v>
      </c>
      <c r="D3209" t="inlineStr">
        <is>
          <t>KRONOBERGS LÄN</t>
        </is>
      </c>
      <c r="E3209" t="inlineStr">
        <is>
          <t>UPPVIDINGE</t>
        </is>
      </c>
      <c r="G3209" t="n">
        <v>2.7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49008-2024</t>
        </is>
      </c>
      <c r="B3210" s="1" t="n">
        <v>45594.49958333333</v>
      </c>
      <c r="C3210" s="1" t="n">
        <v>45957</v>
      </c>
      <c r="D3210" t="inlineStr">
        <is>
          <t>KRONOBERGS LÄN</t>
        </is>
      </c>
      <c r="E3210" t="inlineStr">
        <is>
          <t>VÄXJÖ</t>
        </is>
      </c>
      <c r="F3210" t="inlineStr">
        <is>
          <t>Sveaskog</t>
        </is>
      </c>
      <c r="G3210" t="n">
        <v>0.4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33176-2024</t>
        </is>
      </c>
      <c r="B3211" s="1" t="n">
        <v>45518</v>
      </c>
      <c r="C3211" s="1" t="n">
        <v>45957</v>
      </c>
      <c r="D3211" t="inlineStr">
        <is>
          <t>KRONOBERGS LÄN</t>
        </is>
      </c>
      <c r="E3211" t="inlineStr">
        <is>
          <t>LJUNGBY</t>
        </is>
      </c>
      <c r="G3211" t="n">
        <v>3.1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48327-2025</t>
        </is>
      </c>
      <c r="B3212" s="1" t="n">
        <v>45933.6312962963</v>
      </c>
      <c r="C3212" s="1" t="n">
        <v>45957</v>
      </c>
      <c r="D3212" t="inlineStr">
        <is>
          <t>KRONOBERGS LÄN</t>
        </is>
      </c>
      <c r="E3212" t="inlineStr">
        <is>
          <t>MARKARYD</t>
        </is>
      </c>
      <c r="G3212" t="n">
        <v>2.4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49020-2024</t>
        </is>
      </c>
      <c r="B3213" s="1" t="n">
        <v>45594.51133101852</v>
      </c>
      <c r="C3213" s="1" t="n">
        <v>45957</v>
      </c>
      <c r="D3213" t="inlineStr">
        <is>
          <t>KRONOBERGS LÄN</t>
        </is>
      </c>
      <c r="E3213" t="inlineStr">
        <is>
          <t>VÄXJÖ</t>
        </is>
      </c>
      <c r="F3213" t="inlineStr">
        <is>
          <t>Sveaskog</t>
        </is>
      </c>
      <c r="G3213" t="n">
        <v>1.7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49024-2024</t>
        </is>
      </c>
      <c r="B3214" s="1" t="n">
        <v>45594.51443287037</v>
      </c>
      <c r="C3214" s="1" t="n">
        <v>45957</v>
      </c>
      <c r="D3214" t="inlineStr">
        <is>
          <t>KRONOBERGS LÄN</t>
        </is>
      </c>
      <c r="E3214" t="inlineStr">
        <is>
          <t>VÄXJÖ</t>
        </is>
      </c>
      <c r="F3214" t="inlineStr">
        <is>
          <t>Sveaskog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28334-2025</t>
        </is>
      </c>
      <c r="B3215" s="1" t="n">
        <v>45818.66446759259</v>
      </c>
      <c r="C3215" s="1" t="n">
        <v>45957</v>
      </c>
      <c r="D3215" t="inlineStr">
        <is>
          <t>KRONOBERGS LÄN</t>
        </is>
      </c>
      <c r="E3215" t="inlineStr">
        <is>
          <t>LJUNGBY</t>
        </is>
      </c>
      <c r="G3215" t="n">
        <v>0.8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35897-2025</t>
        </is>
      </c>
      <c r="B3216" s="1" t="n">
        <v>45862.48601851852</v>
      </c>
      <c r="C3216" s="1" t="n">
        <v>45957</v>
      </c>
      <c r="D3216" t="inlineStr">
        <is>
          <t>KRONOBERGS LÄN</t>
        </is>
      </c>
      <c r="E3216" t="inlineStr">
        <is>
          <t>LESSEBO</t>
        </is>
      </c>
      <c r="F3216" t="inlineStr">
        <is>
          <t>Sveaskog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24015-2023</t>
        </is>
      </c>
      <c r="B3217" s="1" t="n">
        <v>45078</v>
      </c>
      <c r="C3217" s="1" t="n">
        <v>45957</v>
      </c>
      <c r="D3217" t="inlineStr">
        <is>
          <t>KRONOBERGS LÄN</t>
        </is>
      </c>
      <c r="E3217" t="inlineStr">
        <is>
          <t>TINGSRYD</t>
        </is>
      </c>
      <c r="G3217" t="n">
        <v>0.9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28176-2025</t>
        </is>
      </c>
      <c r="B3218" s="1" t="n">
        <v>45818</v>
      </c>
      <c r="C3218" s="1" t="n">
        <v>45957</v>
      </c>
      <c r="D3218" t="inlineStr">
        <is>
          <t>KRONOBERGS LÄN</t>
        </is>
      </c>
      <c r="E3218" t="inlineStr">
        <is>
          <t>VÄXJÖ</t>
        </is>
      </c>
      <c r="G3218" t="n">
        <v>2.3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48151-2025</t>
        </is>
      </c>
      <c r="B3219" s="1" t="n">
        <v>45933.40837962963</v>
      </c>
      <c r="C3219" s="1" t="n">
        <v>45957</v>
      </c>
      <c r="D3219" t="inlineStr">
        <is>
          <t>KRONOBERGS LÄN</t>
        </is>
      </c>
      <c r="E3219" t="inlineStr">
        <is>
          <t>VÄXJÖ</t>
        </is>
      </c>
      <c r="G3219" t="n">
        <v>1.3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48155-2025</t>
        </is>
      </c>
      <c r="B3220" s="1" t="n">
        <v>45933.41378472222</v>
      </c>
      <c r="C3220" s="1" t="n">
        <v>45957</v>
      </c>
      <c r="D3220" t="inlineStr">
        <is>
          <t>KRONOBERGS LÄN</t>
        </is>
      </c>
      <c r="E3220" t="inlineStr">
        <is>
          <t>UPPVIDINGE</t>
        </is>
      </c>
      <c r="G3220" t="n">
        <v>1.2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48158-2025</t>
        </is>
      </c>
      <c r="B3221" s="1" t="n">
        <v>45933</v>
      </c>
      <c r="C3221" s="1" t="n">
        <v>45957</v>
      </c>
      <c r="D3221" t="inlineStr">
        <is>
          <t>KRONOBERGS LÄN</t>
        </is>
      </c>
      <c r="E3221" t="inlineStr">
        <is>
          <t>VÄXJÖ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48161-2025</t>
        </is>
      </c>
      <c r="B3222" s="1" t="n">
        <v>45933.4261574074</v>
      </c>
      <c r="C3222" s="1" t="n">
        <v>45957</v>
      </c>
      <c r="D3222" t="inlineStr">
        <is>
          <t>KRONOBERGS LÄN</t>
        </is>
      </c>
      <c r="E3222" t="inlineStr">
        <is>
          <t>VÄXJÖ</t>
        </is>
      </c>
      <c r="G3222" t="n">
        <v>0.7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52048-2024</t>
        </is>
      </c>
      <c r="B3223" s="1" t="n">
        <v>45608.34103009259</v>
      </c>
      <c r="C3223" s="1" t="n">
        <v>45957</v>
      </c>
      <c r="D3223" t="inlineStr">
        <is>
          <t>KRONOBERGS LÄN</t>
        </is>
      </c>
      <c r="E3223" t="inlineStr">
        <is>
          <t>ALVESTA</t>
        </is>
      </c>
      <c r="G3223" t="n">
        <v>4.4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27757-2025</t>
        </is>
      </c>
      <c r="B3224" s="1" t="n">
        <v>45816.46207175926</v>
      </c>
      <c r="C3224" s="1" t="n">
        <v>45957</v>
      </c>
      <c r="D3224" t="inlineStr">
        <is>
          <t>KRONOBERGS LÄN</t>
        </is>
      </c>
      <c r="E3224" t="inlineStr">
        <is>
          <t>VÄXJÖ</t>
        </is>
      </c>
      <c r="G3224" t="n">
        <v>1.2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28035-2025</t>
        </is>
      </c>
      <c r="B3225" s="1" t="n">
        <v>45817.63480324074</v>
      </c>
      <c r="C3225" s="1" t="n">
        <v>45957</v>
      </c>
      <c r="D3225" t="inlineStr">
        <is>
          <t>KRONOBERGS LÄN</t>
        </is>
      </c>
      <c r="E3225" t="inlineStr">
        <is>
          <t>ÄLMHULT</t>
        </is>
      </c>
      <c r="G3225" t="n">
        <v>6.2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20182-2025</t>
        </is>
      </c>
      <c r="B3226" s="1" t="n">
        <v>45772.59259259259</v>
      </c>
      <c r="C3226" s="1" t="n">
        <v>45957</v>
      </c>
      <c r="D3226" t="inlineStr">
        <is>
          <t>KRONOBERGS LÄN</t>
        </is>
      </c>
      <c r="E3226" t="inlineStr">
        <is>
          <t>LJUNGBY</t>
        </is>
      </c>
      <c r="G3226" t="n">
        <v>3.4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12834-2024</t>
        </is>
      </c>
      <c r="B3227" s="1" t="n">
        <v>45384.70548611111</v>
      </c>
      <c r="C3227" s="1" t="n">
        <v>45957</v>
      </c>
      <c r="D3227" t="inlineStr">
        <is>
          <t>KRONOBERGS LÄN</t>
        </is>
      </c>
      <c r="E3227" t="inlineStr">
        <is>
          <t>ALVESTA</t>
        </is>
      </c>
      <c r="G3227" t="n">
        <v>1.5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39898-2025</t>
        </is>
      </c>
      <c r="B3228" s="1" t="n">
        <v>45891</v>
      </c>
      <c r="C3228" s="1" t="n">
        <v>45957</v>
      </c>
      <c r="D3228" t="inlineStr">
        <is>
          <t>KRONOBERGS LÄN</t>
        </is>
      </c>
      <c r="E3228" t="inlineStr">
        <is>
          <t>ALVESTA</t>
        </is>
      </c>
      <c r="G3228" t="n">
        <v>1.9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19349-2025</t>
        </is>
      </c>
      <c r="B3229" s="1" t="n">
        <v>45769.6050462963</v>
      </c>
      <c r="C3229" s="1" t="n">
        <v>45957</v>
      </c>
      <c r="D3229" t="inlineStr">
        <is>
          <t>KRONOBERGS LÄN</t>
        </is>
      </c>
      <c r="E3229" t="inlineStr">
        <is>
          <t>VÄXJÖ</t>
        </is>
      </c>
      <c r="G3229" t="n">
        <v>0.5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48278-2025</t>
        </is>
      </c>
      <c r="B3230" s="1" t="n">
        <v>45933.58689814815</v>
      </c>
      <c r="C3230" s="1" t="n">
        <v>45957</v>
      </c>
      <c r="D3230" t="inlineStr">
        <is>
          <t>KRONOBERGS LÄN</t>
        </is>
      </c>
      <c r="E3230" t="inlineStr">
        <is>
          <t>UPPVIDINGE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46-2023</t>
        </is>
      </c>
      <c r="B3231" s="1" t="n">
        <v>44928.39131944445</v>
      </c>
      <c r="C3231" s="1" t="n">
        <v>45957</v>
      </c>
      <c r="D3231" t="inlineStr">
        <is>
          <t>KRONOBERGS LÄN</t>
        </is>
      </c>
      <c r="E3231" t="inlineStr">
        <is>
          <t>TINGSRYD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28036-2025</t>
        </is>
      </c>
      <c r="B3232" s="1" t="n">
        <v>45817.63504629629</v>
      </c>
      <c r="C3232" s="1" t="n">
        <v>45957</v>
      </c>
      <c r="D3232" t="inlineStr">
        <is>
          <t>KRONOBERGS LÄN</t>
        </is>
      </c>
      <c r="E3232" t="inlineStr">
        <is>
          <t>VÄXJÖ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48338-2025</t>
        </is>
      </c>
      <c r="B3233" s="1" t="n">
        <v>45933.64008101852</v>
      </c>
      <c r="C3233" s="1" t="n">
        <v>45957</v>
      </c>
      <c r="D3233" t="inlineStr">
        <is>
          <t>KRONOBERGS LÄN</t>
        </is>
      </c>
      <c r="E3233" t="inlineStr">
        <is>
          <t>MARKARYD</t>
        </is>
      </c>
      <c r="G3233" t="n">
        <v>1.3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48395-2025</t>
        </is>
      </c>
      <c r="B3234" s="1" t="n">
        <v>45934.26534722222</v>
      </c>
      <c r="C3234" s="1" t="n">
        <v>45957</v>
      </c>
      <c r="D3234" t="inlineStr">
        <is>
          <t>KRONOBERGS LÄN</t>
        </is>
      </c>
      <c r="E3234" t="inlineStr">
        <is>
          <t>UPPVIDINGE</t>
        </is>
      </c>
      <c r="G3234" t="n">
        <v>3.2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48400-2025</t>
        </is>
      </c>
      <c r="B3235" s="1" t="n">
        <v>45934.29163194444</v>
      </c>
      <c r="C3235" s="1" t="n">
        <v>45957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13036-2022</t>
        </is>
      </c>
      <c r="B3236" s="1" t="n">
        <v>44643.59888888889</v>
      </c>
      <c r="C3236" s="1" t="n">
        <v>45957</v>
      </c>
      <c r="D3236" t="inlineStr">
        <is>
          <t>KRONOBERGS LÄN</t>
        </is>
      </c>
      <c r="E3236" t="inlineStr">
        <is>
          <t>LESSEBO</t>
        </is>
      </c>
      <c r="G3236" t="n">
        <v>1.5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39338-2025</t>
        </is>
      </c>
      <c r="B3237" s="1" t="n">
        <v>45889</v>
      </c>
      <c r="C3237" s="1" t="n">
        <v>45957</v>
      </c>
      <c r="D3237" t="inlineStr">
        <is>
          <t>KRONOBERGS LÄN</t>
        </is>
      </c>
      <c r="E3237" t="inlineStr">
        <is>
          <t>ALVESTA</t>
        </is>
      </c>
      <c r="G3237" t="n">
        <v>1.6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39913-2025</t>
        </is>
      </c>
      <c r="B3238" s="1" t="n">
        <v>45891.65295138889</v>
      </c>
      <c r="C3238" s="1" t="n">
        <v>45957</v>
      </c>
      <c r="D3238" t="inlineStr">
        <is>
          <t>KRONOBERGS LÄN</t>
        </is>
      </c>
      <c r="E3238" t="inlineStr">
        <is>
          <t>LJUNGBY</t>
        </is>
      </c>
      <c r="G3238" t="n">
        <v>2.6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39979-2025</t>
        </is>
      </c>
      <c r="B3239" s="1" t="n">
        <v>45893.72087962963</v>
      </c>
      <c r="C3239" s="1" t="n">
        <v>45957</v>
      </c>
      <c r="D3239" t="inlineStr">
        <is>
          <t>KRONOBERGS LÄN</t>
        </is>
      </c>
      <c r="E3239" t="inlineStr">
        <is>
          <t>LESSEBO</t>
        </is>
      </c>
      <c r="G3239" t="n">
        <v>1.6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7879-2025</t>
        </is>
      </c>
      <c r="B3240" s="1" t="n">
        <v>45706.78021990741</v>
      </c>
      <c r="C3240" s="1" t="n">
        <v>45957</v>
      </c>
      <c r="D3240" t="inlineStr">
        <is>
          <t>KRONOBERGS LÄN</t>
        </is>
      </c>
      <c r="E3240" t="inlineStr">
        <is>
          <t>ÄLMHULT</t>
        </is>
      </c>
      <c r="G3240" t="n">
        <v>0.5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20478-2025</t>
        </is>
      </c>
      <c r="B3241" s="1" t="n">
        <v>45775.55267361111</v>
      </c>
      <c r="C3241" s="1" t="n">
        <v>45957</v>
      </c>
      <c r="D3241" t="inlineStr">
        <is>
          <t>KRONOBERGS LÄN</t>
        </is>
      </c>
      <c r="E3241" t="inlineStr">
        <is>
          <t>LESSEBO</t>
        </is>
      </c>
      <c r="F3241" t="inlineStr">
        <is>
          <t>Sveaskog</t>
        </is>
      </c>
      <c r="G3241" t="n">
        <v>3.6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48396-2025</t>
        </is>
      </c>
      <c r="B3242" s="1" t="n">
        <v>45934.27184027778</v>
      </c>
      <c r="C3242" s="1" t="n">
        <v>45957</v>
      </c>
      <c r="D3242" t="inlineStr">
        <is>
          <t>KRONOBERGS LÄN</t>
        </is>
      </c>
      <c r="E3242" t="inlineStr">
        <is>
          <t>UPPVIDINGE</t>
        </is>
      </c>
      <c r="G3242" t="n">
        <v>1.3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48397-2025</t>
        </is>
      </c>
      <c r="B3243" s="1" t="n">
        <v>45934.27815972222</v>
      </c>
      <c r="C3243" s="1" t="n">
        <v>45957</v>
      </c>
      <c r="D3243" t="inlineStr">
        <is>
          <t>KRONOBERGS LÄN</t>
        </is>
      </c>
      <c r="E3243" t="inlineStr">
        <is>
          <t>UPPVIDINGE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48398-2025</t>
        </is>
      </c>
      <c r="B3244" s="1" t="n">
        <v>45934.28152777778</v>
      </c>
      <c r="C3244" s="1" t="n">
        <v>45957</v>
      </c>
      <c r="D3244" t="inlineStr">
        <is>
          <t>KRONOBERGS LÄN</t>
        </is>
      </c>
      <c r="E3244" t="inlineStr">
        <is>
          <t>UPPVIDINGE</t>
        </is>
      </c>
      <c r="G3244" t="n">
        <v>0.6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48399-2025</t>
        </is>
      </c>
      <c r="B3245" s="1" t="n">
        <v>45934.28383101852</v>
      </c>
      <c r="C3245" s="1" t="n">
        <v>45957</v>
      </c>
      <c r="D3245" t="inlineStr">
        <is>
          <t>KRONOBERGS LÄN</t>
        </is>
      </c>
      <c r="E3245" t="inlineStr">
        <is>
          <t>UPPVIDINGE</t>
        </is>
      </c>
      <c r="G3245" t="n">
        <v>0.5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22610-2023</t>
        </is>
      </c>
      <c r="B3246" s="1" t="n">
        <v>45071.54651620371</v>
      </c>
      <c r="C3246" s="1" t="n">
        <v>45957</v>
      </c>
      <c r="D3246" t="inlineStr">
        <is>
          <t>KRONOBERGS LÄN</t>
        </is>
      </c>
      <c r="E3246" t="inlineStr">
        <is>
          <t>LJUNGBY</t>
        </is>
      </c>
      <c r="G3246" t="n">
        <v>4.1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22613-2023</t>
        </is>
      </c>
      <c r="B3247" s="1" t="n">
        <v>45071.54908564815</v>
      </c>
      <c r="C3247" s="1" t="n">
        <v>45957</v>
      </c>
      <c r="D3247" t="inlineStr">
        <is>
          <t>KRONOBERGS LÄN</t>
        </is>
      </c>
      <c r="E3247" t="inlineStr">
        <is>
          <t>LJUNGBY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48292-2025</t>
        </is>
      </c>
      <c r="B3248" s="1" t="n">
        <v>45933.5980324074</v>
      </c>
      <c r="C3248" s="1" t="n">
        <v>45957</v>
      </c>
      <c r="D3248" t="inlineStr">
        <is>
          <t>KRONOBERGS LÄN</t>
        </is>
      </c>
      <c r="E3248" t="inlineStr">
        <is>
          <t>VÄXJÖ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39739-2025</t>
        </is>
      </c>
      <c r="B3249" s="1" t="n">
        <v>45891</v>
      </c>
      <c r="C3249" s="1" t="n">
        <v>45957</v>
      </c>
      <c r="D3249" t="inlineStr">
        <is>
          <t>KRONOBERGS LÄN</t>
        </is>
      </c>
      <c r="E3249" t="inlineStr">
        <is>
          <t>MARKARYD</t>
        </is>
      </c>
      <c r="G3249" t="n">
        <v>1.8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22641-2023</t>
        </is>
      </c>
      <c r="B3250" s="1" t="n">
        <v>45071</v>
      </c>
      <c r="C3250" s="1" t="n">
        <v>45957</v>
      </c>
      <c r="D3250" t="inlineStr">
        <is>
          <t>KRONOBERGS LÄN</t>
        </is>
      </c>
      <c r="E3250" t="inlineStr">
        <is>
          <t>TINGSRYD</t>
        </is>
      </c>
      <c r="G3250" t="n">
        <v>2.3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48433-2025</t>
        </is>
      </c>
      <c r="B3251" s="1" t="n">
        <v>45934.89519675926</v>
      </c>
      <c r="C3251" s="1" t="n">
        <v>45957</v>
      </c>
      <c r="D3251" t="inlineStr">
        <is>
          <t>KRONOBERGS LÄN</t>
        </is>
      </c>
      <c r="E3251" t="inlineStr">
        <is>
          <t>LESSEBO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22058-2022</t>
        </is>
      </c>
      <c r="B3252" s="1" t="n">
        <v>44711.68930555556</v>
      </c>
      <c r="C3252" s="1" t="n">
        <v>45957</v>
      </c>
      <c r="D3252" t="inlineStr">
        <is>
          <t>KRONOBERGS LÄN</t>
        </is>
      </c>
      <c r="E3252" t="inlineStr">
        <is>
          <t>VÄXJÖ</t>
        </is>
      </c>
      <c r="G3252" t="n">
        <v>3.5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48145-2025</t>
        </is>
      </c>
      <c r="B3253" s="1" t="n">
        <v>45933.38829861111</v>
      </c>
      <c r="C3253" s="1" t="n">
        <v>45957</v>
      </c>
      <c r="D3253" t="inlineStr">
        <is>
          <t>KRONOBERGS LÄN</t>
        </is>
      </c>
      <c r="E3253" t="inlineStr">
        <is>
          <t>ÄLMHULT</t>
        </is>
      </c>
      <c r="G3253" t="n">
        <v>4.9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3138-2025</t>
        </is>
      </c>
      <c r="B3254" s="1" t="n">
        <v>45678.75651620371</v>
      </c>
      <c r="C3254" s="1" t="n">
        <v>45957</v>
      </c>
      <c r="D3254" t="inlineStr">
        <is>
          <t>KRONOBERGS LÄN</t>
        </is>
      </c>
      <c r="E3254" t="inlineStr">
        <is>
          <t>MARKARYD</t>
        </is>
      </c>
      <c r="G3254" t="n">
        <v>7.8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3139-2025</t>
        </is>
      </c>
      <c r="B3255" s="1" t="n">
        <v>45678.75866898148</v>
      </c>
      <c r="C3255" s="1" t="n">
        <v>45957</v>
      </c>
      <c r="D3255" t="inlineStr">
        <is>
          <t>KRONOBERGS LÄN</t>
        </is>
      </c>
      <c r="E3255" t="inlineStr">
        <is>
          <t>MARKARYD</t>
        </is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3143-2025</t>
        </is>
      </c>
      <c r="B3256" s="1" t="n">
        <v>45678.76875</v>
      </c>
      <c r="C3256" s="1" t="n">
        <v>45957</v>
      </c>
      <c r="D3256" t="inlineStr">
        <is>
          <t>KRONOBERGS LÄN</t>
        </is>
      </c>
      <c r="E3256" t="inlineStr">
        <is>
          <t>MARKARYD</t>
        </is>
      </c>
      <c r="G3256" t="n">
        <v>3.7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48114-2025</t>
        </is>
      </c>
      <c r="B3257" s="1" t="n">
        <v>45933.35158564815</v>
      </c>
      <c r="C3257" s="1" t="n">
        <v>45957</v>
      </c>
      <c r="D3257" t="inlineStr">
        <is>
          <t>KRONOBERGS LÄN</t>
        </is>
      </c>
      <c r="E3257" t="inlineStr">
        <is>
          <t>ALVESTA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28904-2025</t>
        </is>
      </c>
      <c r="B3258" s="1" t="n">
        <v>45820.64496527778</v>
      </c>
      <c r="C3258" s="1" t="n">
        <v>45957</v>
      </c>
      <c r="D3258" t="inlineStr">
        <is>
          <t>KRONOBERGS LÄN</t>
        </is>
      </c>
      <c r="E3258" t="inlineStr">
        <is>
          <t>VÄXJÖ</t>
        </is>
      </c>
      <c r="G3258" t="n">
        <v>3.6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48394-2025</t>
        </is>
      </c>
      <c r="B3259" s="1" t="n">
        <v>45933.9649537037</v>
      </c>
      <c r="C3259" s="1" t="n">
        <v>45957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48345-2025</t>
        </is>
      </c>
      <c r="B3260" s="1" t="n">
        <v>45933.64509259259</v>
      </c>
      <c r="C3260" s="1" t="n">
        <v>45957</v>
      </c>
      <c r="D3260" t="inlineStr">
        <is>
          <t>KRONOBERGS LÄN</t>
        </is>
      </c>
      <c r="E3260" t="inlineStr">
        <is>
          <t>MARKARYD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1384-2022</t>
        </is>
      </c>
      <c r="B3261" s="1" t="n">
        <v>44573</v>
      </c>
      <c r="C3261" s="1" t="n">
        <v>45957</v>
      </c>
      <c r="D3261" t="inlineStr">
        <is>
          <t>KRONOBERGS LÄN</t>
        </is>
      </c>
      <c r="E3261" t="inlineStr">
        <is>
          <t>LJUNGBY</t>
        </is>
      </c>
      <c r="F3261" t="inlineStr">
        <is>
          <t>Kommuner</t>
        </is>
      </c>
      <c r="G3261" t="n">
        <v>5.1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35896-2025</t>
        </is>
      </c>
      <c r="B3262" s="1" t="n">
        <v>45862.48434027778</v>
      </c>
      <c r="C3262" s="1" t="n">
        <v>45957</v>
      </c>
      <c r="D3262" t="inlineStr">
        <is>
          <t>KRONOBERGS LÄN</t>
        </is>
      </c>
      <c r="E3262" t="inlineStr">
        <is>
          <t>LESSEBO</t>
        </is>
      </c>
      <c r="F3262" t="inlineStr">
        <is>
          <t>Sveaskog</t>
        </is>
      </c>
      <c r="G3262" t="n">
        <v>1.8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4654-2024</t>
        </is>
      </c>
      <c r="B3263" s="1" t="n">
        <v>45327</v>
      </c>
      <c r="C3263" s="1" t="n">
        <v>45957</v>
      </c>
      <c r="D3263" t="inlineStr">
        <is>
          <t>KRONOBERGS LÄN</t>
        </is>
      </c>
      <c r="E3263" t="inlineStr">
        <is>
          <t>VÄXJÖ</t>
        </is>
      </c>
      <c r="G3263" t="n">
        <v>1.1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22668-2023</t>
        </is>
      </c>
      <c r="B3264" s="1" t="n">
        <v>45071</v>
      </c>
      <c r="C3264" s="1" t="n">
        <v>45957</v>
      </c>
      <c r="D3264" t="inlineStr">
        <is>
          <t>KRONOBERGS LÄN</t>
        </is>
      </c>
      <c r="E3264" t="inlineStr">
        <is>
          <t>VÄXJÖ</t>
        </is>
      </c>
      <c r="F3264" t="inlineStr">
        <is>
          <t>Övriga Aktiebolag</t>
        </is>
      </c>
      <c r="G3264" t="n">
        <v>1.3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40058-2025</t>
        </is>
      </c>
      <c r="B3265" s="1" t="n">
        <v>45894.42326388889</v>
      </c>
      <c r="C3265" s="1" t="n">
        <v>45957</v>
      </c>
      <c r="D3265" t="inlineStr">
        <is>
          <t>KRONOBERGS LÄN</t>
        </is>
      </c>
      <c r="E3265" t="inlineStr">
        <is>
          <t>VÄXJÖ</t>
        </is>
      </c>
      <c r="G3265" t="n">
        <v>0.5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11533-2025</t>
        </is>
      </c>
      <c r="B3266" s="1" t="n">
        <v>45727.33197916667</v>
      </c>
      <c r="C3266" s="1" t="n">
        <v>45957</v>
      </c>
      <c r="D3266" t="inlineStr">
        <is>
          <t>KRONOBERGS LÄN</t>
        </is>
      </c>
      <c r="E3266" t="inlineStr">
        <is>
          <t>TINGSRYD</t>
        </is>
      </c>
      <c r="G3266" t="n">
        <v>0.6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8298-2025</t>
        </is>
      </c>
      <c r="B3267" s="1" t="n">
        <v>45708.58217592593</v>
      </c>
      <c r="C3267" s="1" t="n">
        <v>45957</v>
      </c>
      <c r="D3267" t="inlineStr">
        <is>
          <t>KRONOBERGS LÄN</t>
        </is>
      </c>
      <c r="E3267" t="inlineStr">
        <is>
          <t>ALVESTA</t>
        </is>
      </c>
      <c r="G3267" t="n">
        <v>0.5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46742-2024</t>
        </is>
      </c>
      <c r="B3268" s="1" t="n">
        <v>45583.47736111111</v>
      </c>
      <c r="C3268" s="1" t="n">
        <v>45957</v>
      </c>
      <c r="D3268" t="inlineStr">
        <is>
          <t>KRONOBERGS LÄN</t>
        </is>
      </c>
      <c r="E3268" t="inlineStr">
        <is>
          <t>VÄXJÖ</t>
        </is>
      </c>
      <c r="G3268" t="n">
        <v>0.7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39910-2025</t>
        </is>
      </c>
      <c r="B3269" s="1" t="n">
        <v>45891.64903935185</v>
      </c>
      <c r="C3269" s="1" t="n">
        <v>45957</v>
      </c>
      <c r="D3269" t="inlineStr">
        <is>
          <t>KRONOBERGS LÄN</t>
        </is>
      </c>
      <c r="E3269" t="inlineStr">
        <is>
          <t>ÄLMHULT</t>
        </is>
      </c>
      <c r="G3269" t="n">
        <v>2.8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39912-2025</t>
        </is>
      </c>
      <c r="B3270" s="1" t="n">
        <v>45891.65096064815</v>
      </c>
      <c r="C3270" s="1" t="n">
        <v>45957</v>
      </c>
      <c r="D3270" t="inlineStr">
        <is>
          <t>KRONOBERGS LÄN</t>
        </is>
      </c>
      <c r="E3270" t="inlineStr">
        <is>
          <t>LJUNGBY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28794-2025</t>
        </is>
      </c>
      <c r="B3271" s="1" t="n">
        <v>45820.47526620371</v>
      </c>
      <c r="C3271" s="1" t="n">
        <v>45957</v>
      </c>
      <c r="D3271" t="inlineStr">
        <is>
          <t>KRONOBERGS LÄN</t>
        </is>
      </c>
      <c r="E3271" t="inlineStr">
        <is>
          <t>LESSEBO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28795-2025</t>
        </is>
      </c>
      <c r="B3272" s="1" t="n">
        <v>45820</v>
      </c>
      <c r="C3272" s="1" t="n">
        <v>45957</v>
      </c>
      <c r="D3272" t="inlineStr">
        <is>
          <t>KRONOBERGS LÄN</t>
        </is>
      </c>
      <c r="E3272" t="inlineStr">
        <is>
          <t>ALVESTA</t>
        </is>
      </c>
      <c r="G3272" t="n">
        <v>0.6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28641-2025</t>
        </is>
      </c>
      <c r="B3273" s="1" t="n">
        <v>45819.63748842593</v>
      </c>
      <c r="C3273" s="1" t="n">
        <v>45957</v>
      </c>
      <c r="D3273" t="inlineStr">
        <is>
          <t>KRONOBERGS LÄN</t>
        </is>
      </c>
      <c r="E3273" t="inlineStr">
        <is>
          <t>VÄXJÖ</t>
        </is>
      </c>
      <c r="G3273" t="n">
        <v>3.8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28642-2025</t>
        </is>
      </c>
      <c r="B3274" s="1" t="n">
        <v>45819.64385416666</v>
      </c>
      <c r="C3274" s="1" t="n">
        <v>45957</v>
      </c>
      <c r="D3274" t="inlineStr">
        <is>
          <t>KRONOBERGS LÄN</t>
        </is>
      </c>
      <c r="E3274" t="inlineStr">
        <is>
          <t>VÄXJÖ</t>
        </is>
      </c>
      <c r="G3274" t="n">
        <v>3.8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50040-2024</t>
        </is>
      </c>
      <c r="B3275" s="1" t="n">
        <v>45600.29040509259</v>
      </c>
      <c r="C3275" s="1" t="n">
        <v>45957</v>
      </c>
      <c r="D3275" t="inlineStr">
        <is>
          <t>KRONOBERGS LÄN</t>
        </is>
      </c>
      <c r="E3275" t="inlineStr">
        <is>
          <t>ÄLMHULT</t>
        </is>
      </c>
      <c r="G3275" t="n">
        <v>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28732-2025</t>
        </is>
      </c>
      <c r="B3276" s="1" t="n">
        <v>45820.36880787037</v>
      </c>
      <c r="C3276" s="1" t="n">
        <v>45957</v>
      </c>
      <c r="D3276" t="inlineStr">
        <is>
          <t>KRONOBERGS LÄN</t>
        </is>
      </c>
      <c r="E3276" t="inlineStr">
        <is>
          <t>TINGSRYD</t>
        </is>
      </c>
      <c r="G3276" t="n">
        <v>0.8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62571-2020</t>
        </is>
      </c>
      <c r="B3277" s="1" t="n">
        <v>44160.86444444444</v>
      </c>
      <c r="C3277" s="1" t="n">
        <v>45957</v>
      </c>
      <c r="D3277" t="inlineStr">
        <is>
          <t>KRONOBERGS LÄN</t>
        </is>
      </c>
      <c r="E3277" t="inlineStr">
        <is>
          <t>MARKARYD</t>
        </is>
      </c>
      <c r="G3277" t="n">
        <v>1.9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39909-2025</t>
        </is>
      </c>
      <c r="B3278" s="1" t="n">
        <v>45891.64818287037</v>
      </c>
      <c r="C3278" s="1" t="n">
        <v>45957</v>
      </c>
      <c r="D3278" t="inlineStr">
        <is>
          <t>KRONOBERGS LÄN</t>
        </is>
      </c>
      <c r="E3278" t="inlineStr">
        <is>
          <t>LJUNGBY</t>
        </is>
      </c>
      <c r="G3278" t="n">
        <v>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11584-2025</t>
        </is>
      </c>
      <c r="B3279" s="1" t="n">
        <v>45727</v>
      </c>
      <c r="C3279" s="1" t="n">
        <v>45957</v>
      </c>
      <c r="D3279" t="inlineStr">
        <is>
          <t>KRONOBERGS LÄN</t>
        </is>
      </c>
      <c r="E3279" t="inlineStr">
        <is>
          <t>ALVESTA</t>
        </is>
      </c>
      <c r="G3279" t="n">
        <v>2.6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20372-2024</t>
        </is>
      </c>
      <c r="B3280" s="1" t="n">
        <v>45435</v>
      </c>
      <c r="C3280" s="1" t="n">
        <v>45957</v>
      </c>
      <c r="D3280" t="inlineStr">
        <is>
          <t>KRONOBERGS LÄN</t>
        </is>
      </c>
      <c r="E3280" t="inlineStr">
        <is>
          <t>VÄXJÖ</t>
        </is>
      </c>
      <c r="F3280" t="inlineStr">
        <is>
          <t>Kyrkan</t>
        </is>
      </c>
      <c r="G3280" t="n">
        <v>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50465-2024</t>
        </is>
      </c>
      <c r="B3281" s="1" t="n">
        <v>45601.46222222222</v>
      </c>
      <c r="C3281" s="1" t="n">
        <v>45957</v>
      </c>
      <c r="D3281" t="inlineStr">
        <is>
          <t>KRONOBERGS LÄN</t>
        </is>
      </c>
      <c r="E3281" t="inlineStr">
        <is>
          <t>VÄXJÖ</t>
        </is>
      </c>
      <c r="G3281" t="n">
        <v>1.5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42905-2023</t>
        </is>
      </c>
      <c r="B3282" s="1" t="n">
        <v>45182</v>
      </c>
      <c r="C3282" s="1" t="n">
        <v>45957</v>
      </c>
      <c r="D3282" t="inlineStr">
        <is>
          <t>KRONOBERGS LÄN</t>
        </is>
      </c>
      <c r="E3282" t="inlineStr">
        <is>
          <t>ALVESTA</t>
        </is>
      </c>
      <c r="G3282" t="n">
        <v>2.9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39712-2025</t>
        </is>
      </c>
      <c r="B3283" s="1" t="n">
        <v>45890.86472222222</v>
      </c>
      <c r="C3283" s="1" t="n">
        <v>45957</v>
      </c>
      <c r="D3283" t="inlineStr">
        <is>
          <t>KRONOBERGS LÄN</t>
        </is>
      </c>
      <c r="E3283" t="inlineStr">
        <is>
          <t>VÄXJÖ</t>
        </is>
      </c>
      <c r="G3283" t="n">
        <v>4.8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28801-2025</t>
        </is>
      </c>
      <c r="B3284" s="1" t="n">
        <v>45820.49263888889</v>
      </c>
      <c r="C3284" s="1" t="n">
        <v>45957</v>
      </c>
      <c r="D3284" t="inlineStr">
        <is>
          <t>KRONOBERGS LÄN</t>
        </is>
      </c>
      <c r="E3284" t="inlineStr">
        <is>
          <t>VÄXJÖ</t>
        </is>
      </c>
      <c r="G3284" t="n">
        <v>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28391-2025</t>
        </is>
      </c>
      <c r="B3285" s="1" t="n">
        <v>45819.32747685185</v>
      </c>
      <c r="C3285" s="1" t="n">
        <v>45957</v>
      </c>
      <c r="D3285" t="inlineStr">
        <is>
          <t>KRONOBERGS LÄN</t>
        </is>
      </c>
      <c r="E3285" t="inlineStr">
        <is>
          <t>UPPVIDINGE</t>
        </is>
      </c>
      <c r="F3285" t="inlineStr">
        <is>
          <t>Sveaskog</t>
        </is>
      </c>
      <c r="G3285" t="n">
        <v>1.9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18367-2025</t>
        </is>
      </c>
      <c r="B3286" s="1" t="n">
        <v>45762</v>
      </c>
      <c r="C3286" s="1" t="n">
        <v>45957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23821-2025</t>
        </is>
      </c>
      <c r="B3287" s="1" t="n">
        <v>45793.58851851852</v>
      </c>
      <c r="C3287" s="1" t="n">
        <v>45957</v>
      </c>
      <c r="D3287" t="inlineStr">
        <is>
          <t>KRONOBERGS LÄN</t>
        </is>
      </c>
      <c r="E3287" t="inlineStr">
        <is>
          <t>TINGSRYD</t>
        </is>
      </c>
      <c r="G3287" t="n">
        <v>3.6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18374-2025</t>
        </is>
      </c>
      <c r="B3288" s="1" t="n">
        <v>45762.57273148148</v>
      </c>
      <c r="C3288" s="1" t="n">
        <v>45957</v>
      </c>
      <c r="D3288" t="inlineStr">
        <is>
          <t>KRONOBERGS LÄN</t>
        </is>
      </c>
      <c r="E3288" t="inlineStr">
        <is>
          <t>VÄXJÖ</t>
        </is>
      </c>
      <c r="F3288" t="inlineStr">
        <is>
          <t>Sveaskog</t>
        </is>
      </c>
      <c r="G3288" t="n">
        <v>2.3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25742-2025</t>
        </is>
      </c>
      <c r="B3289" s="1" t="n">
        <v>45803.88311342592</v>
      </c>
      <c r="C3289" s="1" t="n">
        <v>45957</v>
      </c>
      <c r="D3289" t="inlineStr">
        <is>
          <t>KRONOBERGS LÄN</t>
        </is>
      </c>
      <c r="E3289" t="inlineStr">
        <is>
          <t>TINGSRYD</t>
        </is>
      </c>
      <c r="G3289" t="n">
        <v>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18379-2025</t>
        </is>
      </c>
      <c r="B3290" s="1" t="n">
        <v>45762.57758101852</v>
      </c>
      <c r="C3290" s="1" t="n">
        <v>45957</v>
      </c>
      <c r="D3290" t="inlineStr">
        <is>
          <t>KRONOBERGS LÄN</t>
        </is>
      </c>
      <c r="E3290" t="inlineStr">
        <is>
          <t>VÄXJÖ</t>
        </is>
      </c>
      <c r="F3290" t="inlineStr">
        <is>
          <t>Sveaskog</t>
        </is>
      </c>
      <c r="G3290" t="n">
        <v>2.3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17470-2025</t>
        </is>
      </c>
      <c r="B3291" s="1" t="n">
        <v>45757.4737037037</v>
      </c>
      <c r="C3291" s="1" t="n">
        <v>45957</v>
      </c>
      <c r="D3291" t="inlineStr">
        <is>
          <t>KRONOBERGS LÄN</t>
        </is>
      </c>
      <c r="E3291" t="inlineStr">
        <is>
          <t>VÄXJÖ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48429-2025</t>
        </is>
      </c>
      <c r="B3292" s="1" t="n">
        <v>45934.87306712963</v>
      </c>
      <c r="C3292" s="1" t="n">
        <v>45957</v>
      </c>
      <c r="D3292" t="inlineStr">
        <is>
          <t>KRONOBERGS LÄN</t>
        </is>
      </c>
      <c r="E3292" t="inlineStr">
        <is>
          <t>LESSEBO</t>
        </is>
      </c>
      <c r="G3292" t="n">
        <v>2.9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28490-2025</t>
        </is>
      </c>
      <c r="B3293" s="1" t="n">
        <v>45819.46775462963</v>
      </c>
      <c r="C3293" s="1" t="n">
        <v>45957</v>
      </c>
      <c r="D3293" t="inlineStr">
        <is>
          <t>KRONOBERGS LÄN</t>
        </is>
      </c>
      <c r="E3293" t="inlineStr">
        <is>
          <t>UPPVIDINGE</t>
        </is>
      </c>
      <c r="G3293" t="n">
        <v>1.7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12845-2024</t>
        </is>
      </c>
      <c r="B3294" s="1" t="n">
        <v>45384.80710648148</v>
      </c>
      <c r="C3294" s="1" t="n">
        <v>45957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13582-2024</t>
        </is>
      </c>
      <c r="B3295" s="1" t="n">
        <v>45389.73820601852</v>
      </c>
      <c r="C3295" s="1" t="n">
        <v>45957</v>
      </c>
      <c r="D3295" t="inlineStr">
        <is>
          <t>KRONOBERGS LÄN</t>
        </is>
      </c>
      <c r="E3295" t="inlineStr">
        <is>
          <t>UPPVIDINGE</t>
        </is>
      </c>
      <c r="G3295" t="n">
        <v>7.5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39976-2025</t>
        </is>
      </c>
      <c r="B3296" s="1" t="n">
        <v>45893.60962962963</v>
      </c>
      <c r="C3296" s="1" t="n">
        <v>45957</v>
      </c>
      <c r="D3296" t="inlineStr">
        <is>
          <t>KRONOBERGS LÄN</t>
        </is>
      </c>
      <c r="E3296" t="inlineStr">
        <is>
          <t>LJUNGBY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40069-2025</t>
        </is>
      </c>
      <c r="B3297" s="1" t="n">
        <v>45894.43885416666</v>
      </c>
      <c r="C3297" s="1" t="n">
        <v>45957</v>
      </c>
      <c r="D3297" t="inlineStr">
        <is>
          <t>KRONOBERGS LÄN</t>
        </is>
      </c>
      <c r="E3297" t="inlineStr">
        <is>
          <t>VÄXJÖ</t>
        </is>
      </c>
      <c r="G3297" t="n">
        <v>4.5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21668-2025</t>
        </is>
      </c>
      <c r="B3298" s="1" t="n">
        <v>45783.46728009259</v>
      </c>
      <c r="C3298" s="1" t="n">
        <v>45957</v>
      </c>
      <c r="D3298" t="inlineStr">
        <is>
          <t>KRONOBERGS LÄN</t>
        </is>
      </c>
      <c r="E3298" t="inlineStr">
        <is>
          <t>VÄXJÖ</t>
        </is>
      </c>
      <c r="G3298" t="n">
        <v>0.8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7176-2024</t>
        </is>
      </c>
      <c r="B3299" s="1" t="n">
        <v>45344</v>
      </c>
      <c r="C3299" s="1" t="n">
        <v>45957</v>
      </c>
      <c r="D3299" t="inlineStr">
        <is>
          <t>KRONOBERGS LÄN</t>
        </is>
      </c>
      <c r="E3299" t="inlineStr">
        <is>
          <t>TINGSRYD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47386-2024</t>
        </is>
      </c>
      <c r="B3300" s="1" t="n">
        <v>45587</v>
      </c>
      <c r="C3300" s="1" t="n">
        <v>45957</v>
      </c>
      <c r="D3300" t="inlineStr">
        <is>
          <t>KRONOBERGS LÄN</t>
        </is>
      </c>
      <c r="E3300" t="inlineStr">
        <is>
          <t>LESSEBO</t>
        </is>
      </c>
      <c r="G3300" t="n">
        <v>1.2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48828-2023</t>
        </is>
      </c>
      <c r="B3301" s="1" t="n">
        <v>45209.37945601852</v>
      </c>
      <c r="C3301" s="1" t="n">
        <v>45957</v>
      </c>
      <c r="D3301" t="inlineStr">
        <is>
          <t>KRONOBERGS LÄN</t>
        </is>
      </c>
      <c r="E3301" t="inlineStr">
        <is>
          <t>MARKARYD</t>
        </is>
      </c>
      <c r="G3301" t="n">
        <v>0.6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7304-2024</t>
        </is>
      </c>
      <c r="B3302" s="1" t="n">
        <v>45345.30666666666</v>
      </c>
      <c r="C3302" s="1" t="n">
        <v>45957</v>
      </c>
      <c r="D3302" t="inlineStr">
        <is>
          <t>KRONOBERGS LÄN</t>
        </is>
      </c>
      <c r="E3302" t="inlineStr">
        <is>
          <t>VÄXJÖ</t>
        </is>
      </c>
      <c r="G3302" t="n">
        <v>0.5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64773-2023</t>
        </is>
      </c>
      <c r="B3303" s="1" t="n">
        <v>45282.32709490741</v>
      </c>
      <c r="C3303" s="1" t="n">
        <v>45957</v>
      </c>
      <c r="D3303" t="inlineStr">
        <is>
          <t>KRONOBERGS LÄN</t>
        </is>
      </c>
      <c r="E3303" t="inlineStr">
        <is>
          <t>ÄLMHULT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28907-2025</t>
        </is>
      </c>
      <c r="B3304" s="1" t="n">
        <v>45820.65064814815</v>
      </c>
      <c r="C3304" s="1" t="n">
        <v>45957</v>
      </c>
      <c r="D3304" t="inlineStr">
        <is>
          <t>KRONOBERGS LÄN</t>
        </is>
      </c>
      <c r="E3304" t="inlineStr">
        <is>
          <t>VÄXJÖ</t>
        </is>
      </c>
      <c r="G3304" t="n">
        <v>14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18440-2022</t>
        </is>
      </c>
      <c r="B3305" s="1" t="n">
        <v>44686.47582175926</v>
      </c>
      <c r="C3305" s="1" t="n">
        <v>45957</v>
      </c>
      <c r="D3305" t="inlineStr">
        <is>
          <t>KRONOBERGS LÄN</t>
        </is>
      </c>
      <c r="E3305" t="inlineStr">
        <is>
          <t>ÄLMHULT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49782-2024</t>
        </is>
      </c>
      <c r="B3306" s="1" t="n">
        <v>45597.35365740741</v>
      </c>
      <c r="C3306" s="1" t="n">
        <v>45957</v>
      </c>
      <c r="D3306" t="inlineStr">
        <is>
          <t>KRONOBERGS LÄN</t>
        </is>
      </c>
      <c r="E3306" t="inlineStr">
        <is>
          <t>UPPVIDINGE</t>
        </is>
      </c>
      <c r="F3306" t="inlineStr">
        <is>
          <t>Sveaskog</t>
        </is>
      </c>
      <c r="G3306" t="n">
        <v>2.3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28081-2025</t>
        </is>
      </c>
      <c r="B3307" s="1" t="n">
        <v>45817.70034722222</v>
      </c>
      <c r="C3307" s="1" t="n">
        <v>45957</v>
      </c>
      <c r="D3307" t="inlineStr">
        <is>
          <t>KRONOBERGS LÄN</t>
        </is>
      </c>
      <c r="E3307" t="inlineStr">
        <is>
          <t>VÄXJÖ</t>
        </is>
      </c>
      <c r="G3307" t="n">
        <v>0.5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38961-2024</t>
        </is>
      </c>
      <c r="B3308" s="1" t="n">
        <v>45548.36065972222</v>
      </c>
      <c r="C3308" s="1" t="n">
        <v>45957</v>
      </c>
      <c r="D3308" t="inlineStr">
        <is>
          <t>KRONOBERGS LÄN</t>
        </is>
      </c>
      <c r="E3308" t="inlineStr">
        <is>
          <t>TINGSRYD</t>
        </is>
      </c>
      <c r="G3308" t="n">
        <v>1.8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37899-2024</t>
        </is>
      </c>
      <c r="B3309" s="1" t="n">
        <v>45544</v>
      </c>
      <c r="C3309" s="1" t="n">
        <v>45957</v>
      </c>
      <c r="D3309" t="inlineStr">
        <is>
          <t>KRONOBERGS LÄN</t>
        </is>
      </c>
      <c r="E3309" t="inlineStr">
        <is>
          <t>VÄXJÖ</t>
        </is>
      </c>
      <c r="G3309" t="n">
        <v>6.7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28174-2025</t>
        </is>
      </c>
      <c r="B3310" s="1" t="n">
        <v>45818</v>
      </c>
      <c r="C3310" s="1" t="n">
        <v>45957</v>
      </c>
      <c r="D3310" t="inlineStr">
        <is>
          <t>KRONOBERGS LÄN</t>
        </is>
      </c>
      <c r="E3310" t="inlineStr">
        <is>
          <t>VÄXJÖ</t>
        </is>
      </c>
      <c r="G3310" t="n">
        <v>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28165-2025</t>
        </is>
      </c>
      <c r="B3311" s="1" t="n">
        <v>45818</v>
      </c>
      <c r="C3311" s="1" t="n">
        <v>45957</v>
      </c>
      <c r="D3311" t="inlineStr">
        <is>
          <t>KRONOBERGS LÄN</t>
        </is>
      </c>
      <c r="E3311" t="inlineStr">
        <is>
          <t>VÄXJÖ</t>
        </is>
      </c>
      <c r="G3311" t="n">
        <v>3.5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9669-2023</t>
        </is>
      </c>
      <c r="B3312" s="1" t="n">
        <v>44984</v>
      </c>
      <c r="C3312" s="1" t="n">
        <v>45957</v>
      </c>
      <c r="D3312" t="inlineStr">
        <is>
          <t>KRONOBERGS LÄN</t>
        </is>
      </c>
      <c r="E3312" t="inlineStr">
        <is>
          <t>MARKARYD</t>
        </is>
      </c>
      <c r="G3312" t="n">
        <v>0.7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45624-2024</t>
        </is>
      </c>
      <c r="B3313" s="1" t="n">
        <v>45579.46674768518</v>
      </c>
      <c r="C3313" s="1" t="n">
        <v>45957</v>
      </c>
      <c r="D3313" t="inlineStr">
        <is>
          <t>KRONOBERGS LÄN</t>
        </is>
      </c>
      <c r="E3313" t="inlineStr">
        <is>
          <t>VÄXJÖ</t>
        </is>
      </c>
      <c r="G3313" t="n">
        <v>0.7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29313-2025</t>
        </is>
      </c>
      <c r="B3314" s="1" t="n">
        <v>45824.46503472222</v>
      </c>
      <c r="C3314" s="1" t="n">
        <v>45957</v>
      </c>
      <c r="D3314" t="inlineStr">
        <is>
          <t>KRONOBERGS LÄN</t>
        </is>
      </c>
      <c r="E3314" t="inlineStr">
        <is>
          <t>ALVESTA</t>
        </is>
      </c>
      <c r="G3314" t="n">
        <v>2.7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39750-2025</t>
        </is>
      </c>
      <c r="B3315" s="1" t="n">
        <v>45891.404375</v>
      </c>
      <c r="C3315" s="1" t="n">
        <v>45957</v>
      </c>
      <c r="D3315" t="inlineStr">
        <is>
          <t>KRONOBERGS LÄN</t>
        </is>
      </c>
      <c r="E3315" t="inlineStr">
        <is>
          <t>LESSEBO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39884-2025</t>
        </is>
      </c>
      <c r="B3316" s="1" t="n">
        <v>45891.62295138889</v>
      </c>
      <c r="C3316" s="1" t="n">
        <v>45957</v>
      </c>
      <c r="D3316" t="inlineStr">
        <is>
          <t>KRONOBERGS LÄN</t>
        </is>
      </c>
      <c r="E3316" t="inlineStr">
        <is>
          <t>LESSEBO</t>
        </is>
      </c>
      <c r="G3316" t="n">
        <v>0.4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7251-2023</t>
        </is>
      </c>
      <c r="B3317" s="1" t="n">
        <v>44970.630625</v>
      </c>
      <c r="C3317" s="1" t="n">
        <v>45957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68336-2020</t>
        </is>
      </c>
      <c r="B3318" s="1" t="n">
        <v>44186</v>
      </c>
      <c r="C3318" s="1" t="n">
        <v>45957</v>
      </c>
      <c r="D3318" t="inlineStr">
        <is>
          <t>KRONOBERGS LÄN</t>
        </is>
      </c>
      <c r="E3318" t="inlineStr">
        <is>
          <t>LJUNGBY</t>
        </is>
      </c>
      <c r="G3318" t="n">
        <v>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28965-2025</t>
        </is>
      </c>
      <c r="B3319" s="1" t="n">
        <v>45821.34012731481</v>
      </c>
      <c r="C3319" s="1" t="n">
        <v>45957</v>
      </c>
      <c r="D3319" t="inlineStr">
        <is>
          <t>KRONOBERGS LÄN</t>
        </is>
      </c>
      <c r="E3319" t="inlineStr">
        <is>
          <t>TINGSRYD</t>
        </is>
      </c>
      <c r="G3319" t="n">
        <v>8.9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39899-2025</t>
        </is>
      </c>
      <c r="B3320" s="1" t="n">
        <v>45891.63444444445</v>
      </c>
      <c r="C3320" s="1" t="n">
        <v>45957</v>
      </c>
      <c r="D3320" t="inlineStr">
        <is>
          <t>KRONOBERGS LÄN</t>
        </is>
      </c>
      <c r="E3320" t="inlineStr">
        <is>
          <t>ÄLMHULT</t>
        </is>
      </c>
      <c r="G3320" t="n">
        <v>3.3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8494-2023</t>
        </is>
      </c>
      <c r="B3321" s="1" t="n">
        <v>44977</v>
      </c>
      <c r="C3321" s="1" t="n">
        <v>45957</v>
      </c>
      <c r="D3321" t="inlineStr">
        <is>
          <t>KRONOBERGS LÄN</t>
        </is>
      </c>
      <c r="E3321" t="inlineStr">
        <is>
          <t>MARKARYD</t>
        </is>
      </c>
      <c r="G3321" t="n">
        <v>13.6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29399-2025</t>
        </is>
      </c>
      <c r="B3322" s="1" t="n">
        <v>45824.61335648148</v>
      </c>
      <c r="C3322" s="1" t="n">
        <v>45957</v>
      </c>
      <c r="D3322" t="inlineStr">
        <is>
          <t>KRONOBERGS LÄN</t>
        </is>
      </c>
      <c r="E3322" t="inlineStr">
        <is>
          <t>ALVESTA</t>
        </is>
      </c>
      <c r="G3322" t="n">
        <v>5.7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20851-2025</t>
        </is>
      </c>
      <c r="B3323" s="1" t="n">
        <v>45777.32086805555</v>
      </c>
      <c r="C3323" s="1" t="n">
        <v>45957</v>
      </c>
      <c r="D3323" t="inlineStr">
        <is>
          <t>KRONOBERGS LÄN</t>
        </is>
      </c>
      <c r="E3323" t="inlineStr">
        <is>
          <t>LESSEBO</t>
        </is>
      </c>
      <c r="F3323" t="inlineStr">
        <is>
          <t>Sveaskog</t>
        </is>
      </c>
      <c r="G3323" t="n">
        <v>2.9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7882-2024</t>
        </is>
      </c>
      <c r="B3324" s="1" t="n">
        <v>45350</v>
      </c>
      <c r="C3324" s="1" t="n">
        <v>45957</v>
      </c>
      <c r="D3324" t="inlineStr">
        <is>
          <t>KRONOBERGS LÄN</t>
        </is>
      </c>
      <c r="E3324" t="inlineStr">
        <is>
          <t>ÄLMHULT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3379-2021</t>
        </is>
      </c>
      <c r="B3325" s="1" t="n">
        <v>44218</v>
      </c>
      <c r="C3325" s="1" t="n">
        <v>45957</v>
      </c>
      <c r="D3325" t="inlineStr">
        <is>
          <t>KRONOBERGS LÄN</t>
        </is>
      </c>
      <c r="E3325" t="inlineStr">
        <is>
          <t>LESSEBO</t>
        </is>
      </c>
      <c r="G3325" t="n">
        <v>5.8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69652-2020</t>
        </is>
      </c>
      <c r="B3326" s="1" t="n">
        <v>44195</v>
      </c>
      <c r="C3326" s="1" t="n">
        <v>45957</v>
      </c>
      <c r="D3326" t="inlineStr">
        <is>
          <t>KRONOBERGS LÄN</t>
        </is>
      </c>
      <c r="E3326" t="inlineStr">
        <is>
          <t>VÄXJÖ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21484-2024</t>
        </is>
      </c>
      <c r="B3327" s="1" t="n">
        <v>45441</v>
      </c>
      <c r="C3327" s="1" t="n">
        <v>45957</v>
      </c>
      <c r="D3327" t="inlineStr">
        <is>
          <t>KRONOBERGS LÄN</t>
        </is>
      </c>
      <c r="E3327" t="inlineStr">
        <is>
          <t>LJUNGBY</t>
        </is>
      </c>
      <c r="G3327" t="n">
        <v>2.6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29356-2025</t>
        </is>
      </c>
      <c r="B3328" s="1" t="n">
        <v>45824.55555555555</v>
      </c>
      <c r="C3328" s="1" t="n">
        <v>45957</v>
      </c>
      <c r="D3328" t="inlineStr">
        <is>
          <t>KRONOBERGS LÄN</t>
        </is>
      </c>
      <c r="E3328" t="inlineStr">
        <is>
          <t>LJUNGBY</t>
        </is>
      </c>
      <c r="G3328" t="n">
        <v>1.5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48245-2025</t>
        </is>
      </c>
      <c r="B3329" s="1" t="n">
        <v>45932</v>
      </c>
      <c r="C3329" s="1" t="n">
        <v>45957</v>
      </c>
      <c r="D3329" t="inlineStr">
        <is>
          <t>KRONOBERGS LÄN</t>
        </is>
      </c>
      <c r="E3329" t="inlineStr">
        <is>
          <t>ÄLMHULT</t>
        </is>
      </c>
      <c r="G3329" t="n">
        <v>3.6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48143-2025</t>
        </is>
      </c>
      <c r="B3330" s="1" t="n">
        <v>45933.38685185185</v>
      </c>
      <c r="C3330" s="1" t="n">
        <v>45957</v>
      </c>
      <c r="D3330" t="inlineStr">
        <is>
          <t>KRONOBERGS LÄN</t>
        </is>
      </c>
      <c r="E3330" t="inlineStr">
        <is>
          <t>ALVESTA</t>
        </is>
      </c>
      <c r="G3330" t="n">
        <v>4.4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22415-2024</t>
        </is>
      </c>
      <c r="B3331" s="1" t="n">
        <v>45446</v>
      </c>
      <c r="C3331" s="1" t="n">
        <v>45957</v>
      </c>
      <c r="D3331" t="inlineStr">
        <is>
          <t>KRONOBERGS LÄN</t>
        </is>
      </c>
      <c r="E3331" t="inlineStr">
        <is>
          <t>ÄLMHULT</t>
        </is>
      </c>
      <c r="G3331" t="n">
        <v>0.8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54229-2021</t>
        </is>
      </c>
      <c r="B3332" s="1" t="n">
        <v>44470</v>
      </c>
      <c r="C3332" s="1" t="n">
        <v>45957</v>
      </c>
      <c r="D3332" t="inlineStr">
        <is>
          <t>KRONOBERGS LÄN</t>
        </is>
      </c>
      <c r="E3332" t="inlineStr">
        <is>
          <t>TINGSRYD</t>
        </is>
      </c>
      <c r="G3332" t="n">
        <v>2.5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3058-2024</t>
        </is>
      </c>
      <c r="B3333" s="1" t="n">
        <v>45316</v>
      </c>
      <c r="C3333" s="1" t="n">
        <v>45957</v>
      </c>
      <c r="D3333" t="inlineStr">
        <is>
          <t>KRONOBERGS LÄN</t>
        </is>
      </c>
      <c r="E3333" t="inlineStr">
        <is>
          <t>VÄXJÖ</t>
        </is>
      </c>
      <c r="G3333" t="n">
        <v>1.7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54105-2024</t>
        </is>
      </c>
      <c r="B3334" s="1" t="n">
        <v>45616.53173611111</v>
      </c>
      <c r="C3334" s="1" t="n">
        <v>45957</v>
      </c>
      <c r="D3334" t="inlineStr">
        <is>
          <t>KRONOBERGS LÄN</t>
        </is>
      </c>
      <c r="E3334" t="inlineStr">
        <is>
          <t>ÄLMHULT</t>
        </is>
      </c>
      <c r="G3334" t="n">
        <v>2.3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10675-2023</t>
        </is>
      </c>
      <c r="B3335" s="1" t="n">
        <v>44988</v>
      </c>
      <c r="C3335" s="1" t="n">
        <v>45957</v>
      </c>
      <c r="D3335" t="inlineStr">
        <is>
          <t>KRONOBERGS LÄN</t>
        </is>
      </c>
      <c r="E3335" t="inlineStr">
        <is>
          <t>LJUNGBY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3955-2022</t>
        </is>
      </c>
      <c r="B3336" s="1" t="n">
        <v>44587</v>
      </c>
      <c r="C3336" s="1" t="n">
        <v>45957</v>
      </c>
      <c r="D3336" t="inlineStr">
        <is>
          <t>KRONOBERGS LÄN</t>
        </is>
      </c>
      <c r="E3336" t="inlineStr">
        <is>
          <t>LESSEBO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17931-2022</t>
        </is>
      </c>
      <c r="B3337" s="1" t="n">
        <v>44683</v>
      </c>
      <c r="C3337" s="1" t="n">
        <v>45957</v>
      </c>
      <c r="D3337" t="inlineStr">
        <is>
          <t>KRONOBERGS LÄN</t>
        </is>
      </c>
      <c r="E3337" t="inlineStr">
        <is>
          <t>TINGSRYD</t>
        </is>
      </c>
      <c r="G3337" t="n">
        <v>3.1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48270-2025</t>
        </is>
      </c>
      <c r="B3338" s="1" t="n">
        <v>45933.57260416666</v>
      </c>
      <c r="C3338" s="1" t="n">
        <v>45957</v>
      </c>
      <c r="D3338" t="inlineStr">
        <is>
          <t>KRONOBERGS LÄN</t>
        </is>
      </c>
      <c r="E3338" t="inlineStr">
        <is>
          <t>VÄXJÖ</t>
        </is>
      </c>
      <c r="G3338" t="n">
        <v>4.8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29322-2025</t>
        </is>
      </c>
      <c r="B3339" s="1" t="n">
        <v>45824.47820601852</v>
      </c>
      <c r="C3339" s="1" t="n">
        <v>45957</v>
      </c>
      <c r="D3339" t="inlineStr">
        <is>
          <t>KRONOBERGS LÄN</t>
        </is>
      </c>
      <c r="E3339" t="inlineStr">
        <is>
          <t>MARKARYD</t>
        </is>
      </c>
      <c r="G3339" t="n">
        <v>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29331-2025</t>
        </is>
      </c>
      <c r="B3340" s="1" t="n">
        <v>45824.48737268519</v>
      </c>
      <c r="C3340" s="1" t="n">
        <v>45957</v>
      </c>
      <c r="D3340" t="inlineStr">
        <is>
          <t>KRONOBERGS LÄN</t>
        </is>
      </c>
      <c r="E3340" t="inlineStr">
        <is>
          <t>UPPVIDINGE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29326-2025</t>
        </is>
      </c>
      <c r="B3341" s="1" t="n">
        <v>45824.48297453704</v>
      </c>
      <c r="C3341" s="1" t="n">
        <v>45957</v>
      </c>
      <c r="D3341" t="inlineStr">
        <is>
          <t>KRONOBERGS LÄN</t>
        </is>
      </c>
      <c r="E3341" t="inlineStr">
        <is>
          <t>VÄXJÖ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40247-2025</t>
        </is>
      </c>
      <c r="B3342" s="1" t="n">
        <v>45895.24849537037</v>
      </c>
      <c r="C3342" s="1" t="n">
        <v>45957</v>
      </c>
      <c r="D3342" t="inlineStr">
        <is>
          <t>KRONOBERGS LÄN</t>
        </is>
      </c>
      <c r="E3342" t="inlineStr">
        <is>
          <t>VÄXJÖ</t>
        </is>
      </c>
      <c r="G3342" t="n">
        <v>8.800000000000001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41-2023</t>
        </is>
      </c>
      <c r="B3343" s="1" t="n">
        <v>44928.37655092592</v>
      </c>
      <c r="C3343" s="1" t="n">
        <v>45957</v>
      </c>
      <c r="D3343" t="inlineStr">
        <is>
          <t>KRONOBERGS LÄN</t>
        </is>
      </c>
      <c r="E3343" t="inlineStr">
        <is>
          <t>TINGSRYD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3067-2024</t>
        </is>
      </c>
      <c r="B3344" s="1" t="n">
        <v>45316.41688657407</v>
      </c>
      <c r="C3344" s="1" t="n">
        <v>45957</v>
      </c>
      <c r="D3344" t="inlineStr">
        <is>
          <t>KRONOBERGS LÄN</t>
        </is>
      </c>
      <c r="E3344" t="inlineStr">
        <is>
          <t>VÄXJÖ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60043-2024</t>
        </is>
      </c>
      <c r="B3345" s="1" t="n">
        <v>45642.47158564815</v>
      </c>
      <c r="C3345" s="1" t="n">
        <v>45957</v>
      </c>
      <c r="D3345" t="inlineStr">
        <is>
          <t>KRONOBERGS LÄN</t>
        </is>
      </c>
      <c r="E3345" t="inlineStr">
        <is>
          <t>UPPVIDINGE</t>
        </is>
      </c>
      <c r="F3345" t="inlineStr">
        <is>
          <t>Sveaskog</t>
        </is>
      </c>
      <c r="G3345" t="n">
        <v>0.8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30103-2025</t>
        </is>
      </c>
      <c r="B3346" s="1" t="n">
        <v>45826</v>
      </c>
      <c r="C3346" s="1" t="n">
        <v>45957</v>
      </c>
      <c r="D3346" t="inlineStr">
        <is>
          <t>KRONOBERGS LÄN</t>
        </is>
      </c>
      <c r="E3346" t="inlineStr">
        <is>
          <t>LJUNGBY</t>
        </is>
      </c>
      <c r="G3346" t="n">
        <v>0.9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42947-2023</t>
        </is>
      </c>
      <c r="B3347" s="1" t="n">
        <v>45182</v>
      </c>
      <c r="C3347" s="1" t="n">
        <v>45957</v>
      </c>
      <c r="D3347" t="inlineStr">
        <is>
          <t>KRONOBERGS LÄN</t>
        </is>
      </c>
      <c r="E3347" t="inlineStr">
        <is>
          <t>TINGSRYD</t>
        </is>
      </c>
      <c r="G3347" t="n">
        <v>3.1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40584-2025</t>
        </is>
      </c>
      <c r="B3348" s="1" t="n">
        <v>45896.5199537037</v>
      </c>
      <c r="C3348" s="1" t="n">
        <v>45957</v>
      </c>
      <c r="D3348" t="inlineStr">
        <is>
          <t>KRONOBERGS LÄN</t>
        </is>
      </c>
      <c r="E3348" t="inlineStr">
        <is>
          <t>TINGSRYD</t>
        </is>
      </c>
      <c r="G3348" t="n">
        <v>6.8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28947-2025</t>
        </is>
      </c>
      <c r="B3349" s="1" t="n">
        <v>45820.78407407407</v>
      </c>
      <c r="C3349" s="1" t="n">
        <v>45957</v>
      </c>
      <c r="D3349" t="inlineStr">
        <is>
          <t>KRONOBERGS LÄN</t>
        </is>
      </c>
      <c r="E3349" t="inlineStr">
        <is>
          <t>TINGSRYD</t>
        </is>
      </c>
      <c r="F3349" t="inlineStr">
        <is>
          <t>Sveaskog</t>
        </is>
      </c>
      <c r="G3349" t="n">
        <v>1.8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29163-2025</t>
        </is>
      </c>
      <c r="B3350" s="1" t="n">
        <v>45821.67606481481</v>
      </c>
      <c r="C3350" s="1" t="n">
        <v>45957</v>
      </c>
      <c r="D3350" t="inlineStr">
        <is>
          <t>KRONOBERGS LÄN</t>
        </is>
      </c>
      <c r="E3350" t="inlineStr">
        <is>
          <t>ALVESTA</t>
        </is>
      </c>
      <c r="G3350" t="n">
        <v>5.6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40415-2025</t>
        </is>
      </c>
      <c r="B3351" s="1" t="n">
        <v>45895.57550925926</v>
      </c>
      <c r="C3351" s="1" t="n">
        <v>45957</v>
      </c>
      <c r="D3351" t="inlineStr">
        <is>
          <t>KRONOBERGS LÄN</t>
        </is>
      </c>
      <c r="E3351" t="inlineStr">
        <is>
          <t>LJUNGBY</t>
        </is>
      </c>
      <c r="G3351" t="n">
        <v>4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7597-2025</t>
        </is>
      </c>
      <c r="B3352" s="1" t="n">
        <v>45705.65206018519</v>
      </c>
      <c r="C3352" s="1" t="n">
        <v>45957</v>
      </c>
      <c r="D3352" t="inlineStr">
        <is>
          <t>KRONOBERGS LÄN</t>
        </is>
      </c>
      <c r="E3352" t="inlineStr">
        <is>
          <t>LJUNGBY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35534-2025</t>
        </is>
      </c>
      <c r="B3353" s="1" t="n">
        <v>45856.43934027778</v>
      </c>
      <c r="C3353" s="1" t="n">
        <v>45957</v>
      </c>
      <c r="D3353" t="inlineStr">
        <is>
          <t>KRONOBERGS LÄN</t>
        </is>
      </c>
      <c r="E3353" t="inlineStr">
        <is>
          <t>VÄXJÖ</t>
        </is>
      </c>
      <c r="G3353" t="n">
        <v>1.8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18737-2025</t>
        </is>
      </c>
      <c r="B3354" s="1" t="n">
        <v>45763.68868055556</v>
      </c>
      <c r="C3354" s="1" t="n">
        <v>45957</v>
      </c>
      <c r="D3354" t="inlineStr">
        <is>
          <t>KRONOBERGS LÄN</t>
        </is>
      </c>
      <c r="E3354" t="inlineStr">
        <is>
          <t>UPPVIDINGE</t>
        </is>
      </c>
      <c r="F3354" t="inlineStr">
        <is>
          <t>Sveaskog</t>
        </is>
      </c>
      <c r="G3354" t="n">
        <v>13.4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18738-2025</t>
        </is>
      </c>
      <c r="B3355" s="1" t="n">
        <v>45763.69137731481</v>
      </c>
      <c r="C3355" s="1" t="n">
        <v>45957</v>
      </c>
      <c r="D3355" t="inlineStr">
        <is>
          <t>KRONOBERGS LÄN</t>
        </is>
      </c>
      <c r="E3355" t="inlineStr">
        <is>
          <t>UPPVIDINGE</t>
        </is>
      </c>
      <c r="F3355" t="inlineStr">
        <is>
          <t>Sveaskog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49339-2025</t>
        </is>
      </c>
      <c r="B3356" s="1" t="n">
        <v>45938.5928587963</v>
      </c>
      <c r="C3356" s="1" t="n">
        <v>45957</v>
      </c>
      <c r="D3356" t="inlineStr">
        <is>
          <t>KRONOBERGS LÄN</t>
        </is>
      </c>
      <c r="E3356" t="inlineStr">
        <is>
          <t>LJUNGBY</t>
        </is>
      </c>
      <c r="G3356" t="n">
        <v>3.4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20397-2023</t>
        </is>
      </c>
      <c r="B3357" s="1" t="n">
        <v>45056.60450231482</v>
      </c>
      <c r="C3357" s="1" t="n">
        <v>45957</v>
      </c>
      <c r="D3357" t="inlineStr">
        <is>
          <t>KRONOBERGS LÄN</t>
        </is>
      </c>
      <c r="E3357" t="inlineStr">
        <is>
          <t>VÄXJÖ</t>
        </is>
      </c>
      <c r="G3357" t="n">
        <v>1.3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49298-2025</t>
        </is>
      </c>
      <c r="B3358" s="1" t="n">
        <v>45938.54045138889</v>
      </c>
      <c r="C3358" s="1" t="n">
        <v>45957</v>
      </c>
      <c r="D3358" t="inlineStr">
        <is>
          <t>KRONOBERGS LÄN</t>
        </is>
      </c>
      <c r="E3358" t="inlineStr">
        <is>
          <t>LESSEBO</t>
        </is>
      </c>
      <c r="G3358" t="n">
        <v>4.1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27334-2025</t>
        </is>
      </c>
      <c r="B3359" s="1" t="n">
        <v>45812</v>
      </c>
      <c r="C3359" s="1" t="n">
        <v>45957</v>
      </c>
      <c r="D3359" t="inlineStr">
        <is>
          <t>KRONOBERGS LÄN</t>
        </is>
      </c>
      <c r="E3359" t="inlineStr">
        <is>
          <t>ÄLMHULT</t>
        </is>
      </c>
      <c r="G3359" t="n">
        <v>1.5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60487-2023</t>
        </is>
      </c>
      <c r="B3360" s="1" t="n">
        <v>45259</v>
      </c>
      <c r="C3360" s="1" t="n">
        <v>45957</v>
      </c>
      <c r="D3360" t="inlineStr">
        <is>
          <t>KRONOBERGS LÄN</t>
        </is>
      </c>
      <c r="E3360" t="inlineStr">
        <is>
          <t>ALVESTA</t>
        </is>
      </c>
      <c r="G3360" t="n">
        <v>0.5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38476-2023</t>
        </is>
      </c>
      <c r="B3361" s="1" t="n">
        <v>45162.46358796296</v>
      </c>
      <c r="C3361" s="1" t="n">
        <v>45957</v>
      </c>
      <c r="D3361" t="inlineStr">
        <is>
          <t>KRONOBERGS LÄN</t>
        </is>
      </c>
      <c r="E3361" t="inlineStr">
        <is>
          <t>TINGSRYD</t>
        </is>
      </c>
      <c r="G3361" t="n">
        <v>3.7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29439-2025</t>
        </is>
      </c>
      <c r="B3362" s="1" t="n">
        <v>45824.65828703704</v>
      </c>
      <c r="C3362" s="1" t="n">
        <v>45957</v>
      </c>
      <c r="D3362" t="inlineStr">
        <is>
          <t>KRONOBERGS LÄN</t>
        </is>
      </c>
      <c r="E3362" t="inlineStr">
        <is>
          <t>MARKARYD</t>
        </is>
      </c>
      <c r="G3362" t="n">
        <v>1.8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29479-2025</t>
        </is>
      </c>
      <c r="B3363" s="1" t="n">
        <v>45824</v>
      </c>
      <c r="C3363" s="1" t="n">
        <v>45957</v>
      </c>
      <c r="D3363" t="inlineStr">
        <is>
          <t>KRONOBERGS LÄN</t>
        </is>
      </c>
      <c r="E3363" t="inlineStr">
        <is>
          <t>ÄLMHULT</t>
        </is>
      </c>
      <c r="G3363" t="n">
        <v>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6762-2021</t>
        </is>
      </c>
      <c r="B3364" s="1" t="n">
        <v>44236</v>
      </c>
      <c r="C3364" s="1" t="n">
        <v>45957</v>
      </c>
      <c r="D3364" t="inlineStr">
        <is>
          <t>KRONOBERGS LÄN</t>
        </is>
      </c>
      <c r="E3364" t="inlineStr">
        <is>
          <t>VÄXJÖ</t>
        </is>
      </c>
      <c r="G3364" t="n">
        <v>0.7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54702-2024</t>
        </is>
      </c>
      <c r="B3365" s="1" t="n">
        <v>45618.40965277778</v>
      </c>
      <c r="C3365" s="1" t="n">
        <v>45957</v>
      </c>
      <c r="D3365" t="inlineStr">
        <is>
          <t>KRONOBERGS LÄN</t>
        </is>
      </c>
      <c r="E3365" t="inlineStr">
        <is>
          <t>TINGSRYD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29108-2025</t>
        </is>
      </c>
      <c r="B3366" s="1" t="n">
        <v>45821.58226851852</v>
      </c>
      <c r="C3366" s="1" t="n">
        <v>45957</v>
      </c>
      <c r="D3366" t="inlineStr">
        <is>
          <t>KRONOBERGS LÄN</t>
        </is>
      </c>
      <c r="E3366" t="inlineStr">
        <is>
          <t>ALVESTA</t>
        </is>
      </c>
      <c r="G3366" t="n">
        <v>3.8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52849-2024</t>
        </is>
      </c>
      <c r="B3367" s="1" t="n">
        <v>45610.60369212963</v>
      </c>
      <c r="C3367" s="1" t="n">
        <v>45957</v>
      </c>
      <c r="D3367" t="inlineStr">
        <is>
          <t>KRONOBERGS LÄN</t>
        </is>
      </c>
      <c r="E3367" t="inlineStr">
        <is>
          <t>LJUNGBY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60599-2024</t>
        </is>
      </c>
      <c r="B3368" s="1" t="n">
        <v>45644.36364583333</v>
      </c>
      <c r="C3368" s="1" t="n">
        <v>45957</v>
      </c>
      <c r="D3368" t="inlineStr">
        <is>
          <t>KRONOBERGS LÄN</t>
        </is>
      </c>
      <c r="E3368" t="inlineStr">
        <is>
          <t>UPPVIDINGE</t>
        </is>
      </c>
      <c r="G3368" t="n">
        <v>0.9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49083-2025</t>
        </is>
      </c>
      <c r="B3369" s="1" t="n">
        <v>45937.66490740741</v>
      </c>
      <c r="C3369" s="1" t="n">
        <v>45957</v>
      </c>
      <c r="D3369" t="inlineStr">
        <is>
          <t>KRONOBERGS LÄN</t>
        </is>
      </c>
      <c r="E3369" t="inlineStr">
        <is>
          <t>LJUNGBY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29461-2025</t>
        </is>
      </c>
      <c r="B3370" s="1" t="n">
        <v>45824.69634259259</v>
      </c>
      <c r="C3370" s="1" t="n">
        <v>45957</v>
      </c>
      <c r="D3370" t="inlineStr">
        <is>
          <t>KRONOBERGS LÄN</t>
        </is>
      </c>
      <c r="E3370" t="inlineStr">
        <is>
          <t>ALVESTA</t>
        </is>
      </c>
      <c r="G3370" t="n">
        <v>6.3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49234-2025</t>
        </is>
      </c>
      <c r="B3371" s="1" t="n">
        <v>45938.4771875</v>
      </c>
      <c r="C3371" s="1" t="n">
        <v>45957</v>
      </c>
      <c r="D3371" t="inlineStr">
        <is>
          <t>KRONOBERGS LÄN</t>
        </is>
      </c>
      <c r="E3371" t="inlineStr">
        <is>
          <t>VÄXJÖ</t>
        </is>
      </c>
      <c r="G3371" t="n">
        <v>2.1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56456-2024</t>
        </is>
      </c>
      <c r="B3372" s="1" t="n">
        <v>45625.4474537037</v>
      </c>
      <c r="C3372" s="1" t="n">
        <v>45957</v>
      </c>
      <c r="D3372" t="inlineStr">
        <is>
          <t>KRONOBERGS LÄN</t>
        </is>
      </c>
      <c r="E3372" t="inlineStr">
        <is>
          <t>LESSEBO</t>
        </is>
      </c>
      <c r="G3372" t="n">
        <v>1.2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56459-2024</t>
        </is>
      </c>
      <c r="B3373" s="1" t="n">
        <v>45625.45034722222</v>
      </c>
      <c r="C3373" s="1" t="n">
        <v>45957</v>
      </c>
      <c r="D3373" t="inlineStr">
        <is>
          <t>KRONOBERGS LÄN</t>
        </is>
      </c>
      <c r="E3373" t="inlineStr">
        <is>
          <t>LESSEBO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50871-2023</t>
        </is>
      </c>
      <c r="B3374" s="1" t="n">
        <v>45218.36541666667</v>
      </c>
      <c r="C3374" s="1" t="n">
        <v>45957</v>
      </c>
      <c r="D3374" t="inlineStr">
        <is>
          <t>KRONOBERGS LÄN</t>
        </is>
      </c>
      <c r="E3374" t="inlineStr">
        <is>
          <t>ALVESTA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50921-2023</t>
        </is>
      </c>
      <c r="B3375" s="1" t="n">
        <v>45218.43747685185</v>
      </c>
      <c r="C3375" s="1" t="n">
        <v>45957</v>
      </c>
      <c r="D3375" t="inlineStr">
        <is>
          <t>KRONOBERGS LÄN</t>
        </is>
      </c>
      <c r="E3375" t="inlineStr">
        <is>
          <t>MARKARYD</t>
        </is>
      </c>
      <c r="G3375" t="n">
        <v>2.1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5827-2023</t>
        </is>
      </c>
      <c r="B3376" s="1" t="n">
        <v>44963</v>
      </c>
      <c r="C3376" s="1" t="n">
        <v>45957</v>
      </c>
      <c r="D3376" t="inlineStr">
        <is>
          <t>KRONOBERGS LÄN</t>
        </is>
      </c>
      <c r="E3376" t="inlineStr">
        <is>
          <t>TINGSRYD</t>
        </is>
      </c>
      <c r="G3376" t="n">
        <v>1.1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49806-2024</t>
        </is>
      </c>
      <c r="B3377" s="1" t="n">
        <v>45597.38799768518</v>
      </c>
      <c r="C3377" s="1" t="n">
        <v>45957</v>
      </c>
      <c r="D3377" t="inlineStr">
        <is>
          <t>KRONOBERGS LÄN</t>
        </is>
      </c>
      <c r="E3377" t="inlineStr">
        <is>
          <t>UPPVIDINGE</t>
        </is>
      </c>
      <c r="F3377" t="inlineStr">
        <is>
          <t>Sveaskog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49812-2024</t>
        </is>
      </c>
      <c r="B3378" s="1" t="n">
        <v>45597.39101851852</v>
      </c>
      <c r="C3378" s="1" t="n">
        <v>45957</v>
      </c>
      <c r="D3378" t="inlineStr">
        <is>
          <t>KRONOBERGS LÄN</t>
        </is>
      </c>
      <c r="E3378" t="inlineStr">
        <is>
          <t>UPPVIDINGE</t>
        </is>
      </c>
      <c r="F3378" t="inlineStr">
        <is>
          <t>Sveaskog</t>
        </is>
      </c>
      <c r="G3378" t="n">
        <v>1.6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29324-2025</t>
        </is>
      </c>
      <c r="B3379" s="1" t="n">
        <v>45824.47944444444</v>
      </c>
      <c r="C3379" s="1" t="n">
        <v>45957</v>
      </c>
      <c r="D3379" t="inlineStr">
        <is>
          <t>KRONOBERGS LÄN</t>
        </is>
      </c>
      <c r="E3379" t="inlineStr">
        <is>
          <t>VÄXJÖ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37399-2024</t>
        </is>
      </c>
      <c r="B3380" s="1" t="n">
        <v>45540.60707175926</v>
      </c>
      <c r="C3380" s="1" t="n">
        <v>45957</v>
      </c>
      <c r="D3380" t="inlineStr">
        <is>
          <t>KRONOBERGS LÄN</t>
        </is>
      </c>
      <c r="E3380" t="inlineStr">
        <is>
          <t>LESSEBO</t>
        </is>
      </c>
      <c r="G3380" t="n">
        <v>0.9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29989-2025</t>
        </is>
      </c>
      <c r="B3381" s="1" t="n">
        <v>45826.50130787037</v>
      </c>
      <c r="C3381" s="1" t="n">
        <v>45957</v>
      </c>
      <c r="D3381" t="inlineStr">
        <is>
          <t>KRONOBERGS LÄN</t>
        </is>
      </c>
      <c r="E3381" t="inlineStr">
        <is>
          <t>UPPVIDINGE</t>
        </is>
      </c>
      <c r="G3381" t="n">
        <v>0.5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16478-2024</t>
        </is>
      </c>
      <c r="B3382" s="1" t="n">
        <v>45408.29181712963</v>
      </c>
      <c r="C3382" s="1" t="n">
        <v>45957</v>
      </c>
      <c r="D3382" t="inlineStr">
        <is>
          <t>KRONOBERGS LÄN</t>
        </is>
      </c>
      <c r="E3382" t="inlineStr">
        <is>
          <t>TINGSRYD</t>
        </is>
      </c>
      <c r="G3382" t="n">
        <v>0.8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42095-2023</t>
        </is>
      </c>
      <c r="B3383" s="1" t="n">
        <v>45175</v>
      </c>
      <c r="C3383" s="1" t="n">
        <v>45957</v>
      </c>
      <c r="D3383" t="inlineStr">
        <is>
          <t>KRONOBERGS LÄN</t>
        </is>
      </c>
      <c r="E3383" t="inlineStr">
        <is>
          <t>TINGSRYD</t>
        </is>
      </c>
      <c r="G3383" t="n">
        <v>4.1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49308-2025</t>
        </is>
      </c>
      <c r="B3384" s="1" t="n">
        <v>45938.56199074074</v>
      </c>
      <c r="C3384" s="1" t="n">
        <v>45957</v>
      </c>
      <c r="D3384" t="inlineStr">
        <is>
          <t>KRONOBERGS LÄN</t>
        </is>
      </c>
      <c r="E3384" t="inlineStr">
        <is>
          <t>TINGSRYD</t>
        </is>
      </c>
      <c r="G3384" t="n">
        <v>2.1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55958-2024</t>
        </is>
      </c>
      <c r="B3385" s="1" t="n">
        <v>45623.63510416666</v>
      </c>
      <c r="C3385" s="1" t="n">
        <v>45957</v>
      </c>
      <c r="D3385" t="inlineStr">
        <is>
          <t>KRONOBERGS LÄN</t>
        </is>
      </c>
      <c r="E3385" t="inlineStr">
        <is>
          <t>VÄXJÖ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12112-2022</t>
        </is>
      </c>
      <c r="B3386" s="1" t="n">
        <v>44636.55400462963</v>
      </c>
      <c r="C3386" s="1" t="n">
        <v>45957</v>
      </c>
      <c r="D3386" t="inlineStr">
        <is>
          <t>KRONOBERGS LÄN</t>
        </is>
      </c>
      <c r="E3386" t="inlineStr">
        <is>
          <t>ÄLMHULT</t>
        </is>
      </c>
      <c r="G3386" t="n">
        <v>1.6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18704-2024</t>
        </is>
      </c>
      <c r="B3387" s="1" t="n">
        <v>45426.43824074074</v>
      </c>
      <c r="C3387" s="1" t="n">
        <v>45957</v>
      </c>
      <c r="D3387" t="inlineStr">
        <is>
          <t>KRONOBERGS LÄN</t>
        </is>
      </c>
      <c r="E3387" t="inlineStr">
        <is>
          <t>TINGSRYD</t>
        </is>
      </c>
      <c r="G3387" t="n">
        <v>1.4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13722-2021</t>
        </is>
      </c>
      <c r="B3388" s="1" t="n">
        <v>44274</v>
      </c>
      <c r="C3388" s="1" t="n">
        <v>45957</v>
      </c>
      <c r="D3388" t="inlineStr">
        <is>
          <t>KRONOBERGS LÄN</t>
        </is>
      </c>
      <c r="E3388" t="inlineStr">
        <is>
          <t>VÄXJÖ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45388-2022</t>
        </is>
      </c>
      <c r="B3389" s="1" t="n">
        <v>44844</v>
      </c>
      <c r="C3389" s="1" t="n">
        <v>45957</v>
      </c>
      <c r="D3389" t="inlineStr">
        <is>
          <t>KRONOBERGS LÄN</t>
        </is>
      </c>
      <c r="E3389" t="inlineStr">
        <is>
          <t>UPPVIDINGE</t>
        </is>
      </c>
      <c r="G3389" t="n">
        <v>0.4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18911-2024</t>
        </is>
      </c>
      <c r="B3390" s="1" t="n">
        <v>45427</v>
      </c>
      <c r="C3390" s="1" t="n">
        <v>45957</v>
      </c>
      <c r="D3390" t="inlineStr">
        <is>
          <t>KRONOBERGS LÄN</t>
        </is>
      </c>
      <c r="E3390" t="inlineStr">
        <is>
          <t>LJUNGBY</t>
        </is>
      </c>
      <c r="G3390" t="n">
        <v>9.6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42592-2023</t>
        </is>
      </c>
      <c r="B3391" s="1" t="n">
        <v>45176</v>
      </c>
      <c r="C3391" s="1" t="n">
        <v>45957</v>
      </c>
      <c r="D3391" t="inlineStr">
        <is>
          <t>KRONOBERGS LÄN</t>
        </is>
      </c>
      <c r="E3391" t="inlineStr">
        <is>
          <t>LJUNGBY</t>
        </is>
      </c>
      <c r="F3391" t="inlineStr">
        <is>
          <t>Kyrkan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30129-2025</t>
        </is>
      </c>
      <c r="B3392" s="1" t="n">
        <v>45826</v>
      </c>
      <c r="C3392" s="1" t="n">
        <v>45957</v>
      </c>
      <c r="D3392" t="inlineStr">
        <is>
          <t>KRONOBERGS LÄN</t>
        </is>
      </c>
      <c r="E3392" t="inlineStr">
        <is>
          <t>VÄXJÖ</t>
        </is>
      </c>
      <c r="F3392" t="inlineStr">
        <is>
          <t>Kyrkan</t>
        </is>
      </c>
      <c r="G3392" t="n">
        <v>5.9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30130-2025</t>
        </is>
      </c>
      <c r="B3393" s="1" t="n">
        <v>45826</v>
      </c>
      <c r="C3393" s="1" t="n">
        <v>45957</v>
      </c>
      <c r="D3393" t="inlineStr">
        <is>
          <t>KRONOBERGS LÄN</t>
        </is>
      </c>
      <c r="E3393" t="inlineStr">
        <is>
          <t>VÄXJÖ</t>
        </is>
      </c>
      <c r="F3393" t="inlineStr">
        <is>
          <t>Kyrkan</t>
        </is>
      </c>
      <c r="G3393" t="n">
        <v>4.4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30132-2025</t>
        </is>
      </c>
      <c r="B3394" s="1" t="n">
        <v>45826</v>
      </c>
      <c r="C3394" s="1" t="n">
        <v>45957</v>
      </c>
      <c r="D3394" t="inlineStr">
        <is>
          <t>KRONOBERGS LÄN</t>
        </is>
      </c>
      <c r="E3394" t="inlineStr">
        <is>
          <t>VÄXJÖ</t>
        </is>
      </c>
      <c r="F3394" t="inlineStr">
        <is>
          <t>Kyrkan</t>
        </is>
      </c>
      <c r="G3394" t="n">
        <v>3.1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5308-2021</t>
        </is>
      </c>
      <c r="B3395" s="1" t="n">
        <v>44229</v>
      </c>
      <c r="C3395" s="1" t="n">
        <v>45957</v>
      </c>
      <c r="D3395" t="inlineStr">
        <is>
          <t>KRONOBERGS LÄN</t>
        </is>
      </c>
      <c r="E3395" t="inlineStr">
        <is>
          <t>TINGSRYD</t>
        </is>
      </c>
      <c r="G3395" t="n">
        <v>4.1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29915-2025</t>
        </is>
      </c>
      <c r="B3396" s="1" t="n">
        <v>45826.41267361111</v>
      </c>
      <c r="C3396" s="1" t="n">
        <v>45957</v>
      </c>
      <c r="D3396" t="inlineStr">
        <is>
          <t>KRONOBERGS LÄN</t>
        </is>
      </c>
      <c r="E3396" t="inlineStr">
        <is>
          <t>LJUNGBY</t>
        </is>
      </c>
      <c r="G3396" t="n">
        <v>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29758-2025</t>
        </is>
      </c>
      <c r="B3397" s="1" t="n">
        <v>45825.61603009259</v>
      </c>
      <c r="C3397" s="1" t="n">
        <v>45957</v>
      </c>
      <c r="D3397" t="inlineStr">
        <is>
          <t>KRONOBERGS LÄN</t>
        </is>
      </c>
      <c r="E3397" t="inlineStr">
        <is>
          <t>ALVESTA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30126-2025</t>
        </is>
      </c>
      <c r="B3398" s="1" t="n">
        <v>45826</v>
      </c>
      <c r="C3398" s="1" t="n">
        <v>45957</v>
      </c>
      <c r="D3398" t="inlineStr">
        <is>
          <t>KRONOBERGS LÄN</t>
        </is>
      </c>
      <c r="E3398" t="inlineStr">
        <is>
          <t>MARKARYD</t>
        </is>
      </c>
      <c r="F3398" t="inlineStr">
        <is>
          <t>Kyrkan</t>
        </is>
      </c>
      <c r="G3398" t="n">
        <v>3.4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47550-2023</t>
        </is>
      </c>
      <c r="B3399" s="1" t="n">
        <v>45203.38741898148</v>
      </c>
      <c r="C3399" s="1" t="n">
        <v>45957</v>
      </c>
      <c r="D3399" t="inlineStr">
        <is>
          <t>KRONOBERGS LÄN</t>
        </is>
      </c>
      <c r="E3399" t="inlineStr">
        <is>
          <t>TINGSRYD</t>
        </is>
      </c>
      <c r="G3399" t="n">
        <v>0.9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48175-2022</t>
        </is>
      </c>
      <c r="B3400" s="1" t="n">
        <v>44858</v>
      </c>
      <c r="C3400" s="1" t="n">
        <v>45957</v>
      </c>
      <c r="D3400" t="inlineStr">
        <is>
          <t>KRONOBERGS LÄN</t>
        </is>
      </c>
      <c r="E3400" t="inlineStr">
        <is>
          <t>UPPVIDINGE</t>
        </is>
      </c>
      <c r="G3400" t="n">
        <v>0.6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48264-2022</t>
        </is>
      </c>
      <c r="B3401" s="1" t="n">
        <v>44858.48517361111</v>
      </c>
      <c r="C3401" s="1" t="n">
        <v>45957</v>
      </c>
      <c r="D3401" t="inlineStr">
        <is>
          <t>KRONOBERGS LÄN</t>
        </is>
      </c>
      <c r="E3401" t="inlineStr">
        <is>
          <t>VÄXJÖ</t>
        </is>
      </c>
      <c r="G3401" t="n">
        <v>2.7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30127-2025</t>
        </is>
      </c>
      <c r="B3402" s="1" t="n">
        <v>45826</v>
      </c>
      <c r="C3402" s="1" t="n">
        <v>45957</v>
      </c>
      <c r="D3402" t="inlineStr">
        <is>
          <t>KRONOBERGS LÄN</t>
        </is>
      </c>
      <c r="E3402" t="inlineStr">
        <is>
          <t>VÄXJÖ</t>
        </is>
      </c>
      <c r="F3402" t="inlineStr">
        <is>
          <t>Kyrkan</t>
        </is>
      </c>
      <c r="G3402" t="n">
        <v>6.5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30128-2025</t>
        </is>
      </c>
      <c r="B3403" s="1" t="n">
        <v>45826</v>
      </c>
      <c r="C3403" s="1" t="n">
        <v>45957</v>
      </c>
      <c r="D3403" t="inlineStr">
        <is>
          <t>KRONOBERGS LÄN</t>
        </is>
      </c>
      <c r="E3403" t="inlineStr">
        <is>
          <t>VÄXJÖ</t>
        </is>
      </c>
      <c r="F3403" t="inlineStr">
        <is>
          <t>Kyrkan</t>
        </is>
      </c>
      <c r="G3403" t="n">
        <v>3.5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29893-2025</t>
        </is>
      </c>
      <c r="B3404" s="1" t="n">
        <v>45826.37920138889</v>
      </c>
      <c r="C3404" s="1" t="n">
        <v>45957</v>
      </c>
      <c r="D3404" t="inlineStr">
        <is>
          <t>KRONOBERGS LÄN</t>
        </is>
      </c>
      <c r="E3404" t="inlineStr">
        <is>
          <t>UPPVIDINGE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29992-2025</t>
        </is>
      </c>
      <c r="B3405" s="1" t="n">
        <v>45826.50511574074</v>
      </c>
      <c r="C3405" s="1" t="n">
        <v>45957</v>
      </c>
      <c r="D3405" t="inlineStr">
        <is>
          <t>KRONOBERGS LÄN</t>
        </is>
      </c>
      <c r="E3405" t="inlineStr">
        <is>
          <t>UPPVIDINGE</t>
        </is>
      </c>
      <c r="G3405" t="n">
        <v>5.5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29659-2025</t>
        </is>
      </c>
      <c r="B3406" s="1" t="n">
        <v>45825.48642361111</v>
      </c>
      <c r="C3406" s="1" t="n">
        <v>45957</v>
      </c>
      <c r="D3406" t="inlineStr">
        <is>
          <t>KRONOBERGS LÄN</t>
        </is>
      </c>
      <c r="E3406" t="inlineStr">
        <is>
          <t>LESSEBO</t>
        </is>
      </c>
      <c r="G3406" t="n">
        <v>3.3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29582-2025</t>
        </is>
      </c>
      <c r="B3407" s="1" t="n">
        <v>45825.38452546296</v>
      </c>
      <c r="C3407" s="1" t="n">
        <v>45957</v>
      </c>
      <c r="D3407" t="inlineStr">
        <is>
          <t>KRONOBERGS LÄN</t>
        </is>
      </c>
      <c r="E3407" t="inlineStr">
        <is>
          <t>VÄXJÖ</t>
        </is>
      </c>
      <c r="G3407" t="n">
        <v>0.6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29592-2025</t>
        </is>
      </c>
      <c r="B3408" s="1" t="n">
        <v>45825.40163194444</v>
      </c>
      <c r="C3408" s="1" t="n">
        <v>45957</v>
      </c>
      <c r="D3408" t="inlineStr">
        <is>
          <t>KRONOBERGS LÄN</t>
        </is>
      </c>
      <c r="E3408" t="inlineStr">
        <is>
          <t>UPPVIDINGE</t>
        </is>
      </c>
      <c r="G3408" t="n">
        <v>1.7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29785-2025</t>
        </is>
      </c>
      <c r="B3409" s="1" t="n">
        <v>45825.65555555555</v>
      </c>
      <c r="C3409" s="1" t="n">
        <v>45957</v>
      </c>
      <c r="D3409" t="inlineStr">
        <is>
          <t>KRONOBERGS LÄN</t>
        </is>
      </c>
      <c r="E3409" t="inlineStr">
        <is>
          <t>LJUNGBY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40673-2025</t>
        </is>
      </c>
      <c r="B3410" s="1" t="n">
        <v>45896.68458333334</v>
      </c>
      <c r="C3410" s="1" t="n">
        <v>45957</v>
      </c>
      <c r="D3410" t="inlineStr">
        <is>
          <t>KRONOBERGS LÄN</t>
        </is>
      </c>
      <c r="E3410" t="inlineStr">
        <is>
          <t>ÄLMHULT</t>
        </is>
      </c>
      <c r="G3410" t="n">
        <v>6.7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3819-2021</t>
        </is>
      </c>
      <c r="B3411" s="1" t="n">
        <v>44222</v>
      </c>
      <c r="C3411" s="1" t="n">
        <v>45957</v>
      </c>
      <c r="D3411" t="inlineStr">
        <is>
          <t>KRONOBERGS LÄN</t>
        </is>
      </c>
      <c r="E3411" t="inlineStr">
        <is>
          <t>ALVESTA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26183-2023</t>
        </is>
      </c>
      <c r="B3412" s="1" t="n">
        <v>45091</v>
      </c>
      <c r="C3412" s="1" t="n">
        <v>45957</v>
      </c>
      <c r="D3412" t="inlineStr">
        <is>
          <t>KRONOBERGS LÄN</t>
        </is>
      </c>
      <c r="E3412" t="inlineStr">
        <is>
          <t>TINGSRYD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52010-2023</t>
        </is>
      </c>
      <c r="B3413" s="1" t="n">
        <v>45223.60331018519</v>
      </c>
      <c r="C3413" s="1" t="n">
        <v>45957</v>
      </c>
      <c r="D3413" t="inlineStr">
        <is>
          <t>KRONOBERGS LÄN</t>
        </is>
      </c>
      <c r="E3413" t="inlineStr">
        <is>
          <t>UPPVIDINGE</t>
        </is>
      </c>
      <c r="G3413" t="n">
        <v>1.5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30131-2025</t>
        </is>
      </c>
      <c r="B3414" s="1" t="n">
        <v>45826</v>
      </c>
      <c r="C3414" s="1" t="n">
        <v>45957</v>
      </c>
      <c r="D3414" t="inlineStr">
        <is>
          <t>KRONOBERGS LÄN</t>
        </is>
      </c>
      <c r="E3414" t="inlineStr">
        <is>
          <t>ALVESTA</t>
        </is>
      </c>
      <c r="F3414" t="inlineStr">
        <is>
          <t>Kyrkan</t>
        </is>
      </c>
      <c r="G3414" t="n">
        <v>7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29799-2025</t>
        </is>
      </c>
      <c r="B3415" s="1" t="n">
        <v>45825.69231481481</v>
      </c>
      <c r="C3415" s="1" t="n">
        <v>45957</v>
      </c>
      <c r="D3415" t="inlineStr">
        <is>
          <t>KRONOBERGS LÄN</t>
        </is>
      </c>
      <c r="E3415" t="inlineStr">
        <is>
          <t>VÄXJÖ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32759-2022</t>
        </is>
      </c>
      <c r="B3416" s="1" t="n">
        <v>44783.91359953704</v>
      </c>
      <c r="C3416" s="1" t="n">
        <v>45957</v>
      </c>
      <c r="D3416" t="inlineStr">
        <is>
          <t>KRONOBERGS LÄN</t>
        </is>
      </c>
      <c r="E3416" t="inlineStr">
        <is>
          <t>ALVESTA</t>
        </is>
      </c>
      <c r="G3416" t="n">
        <v>0.4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11376-2025</t>
        </is>
      </c>
      <c r="B3417" s="1" t="n">
        <v>45726.55761574074</v>
      </c>
      <c r="C3417" s="1" t="n">
        <v>45957</v>
      </c>
      <c r="D3417" t="inlineStr">
        <is>
          <t>KRONOBERGS LÄN</t>
        </is>
      </c>
      <c r="E3417" t="inlineStr">
        <is>
          <t>ÄLMHULT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10577-2024</t>
        </is>
      </c>
      <c r="B3418" s="1" t="n">
        <v>45366.65571759259</v>
      </c>
      <c r="C3418" s="1" t="n">
        <v>45957</v>
      </c>
      <c r="D3418" t="inlineStr">
        <is>
          <t>KRONOBERGS LÄN</t>
        </is>
      </c>
      <c r="E3418" t="inlineStr">
        <is>
          <t>ALVESTA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1894-2025</t>
        </is>
      </c>
      <c r="B3419" s="1" t="n">
        <v>45671.63806712963</v>
      </c>
      <c r="C3419" s="1" t="n">
        <v>45957</v>
      </c>
      <c r="D3419" t="inlineStr">
        <is>
          <t>KRONOBERGS LÄN</t>
        </is>
      </c>
      <c r="E3419" t="inlineStr">
        <is>
          <t>LESSEBO</t>
        </is>
      </c>
      <c r="G3419" t="n">
        <v>1.6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1897-2025</t>
        </is>
      </c>
      <c r="B3420" s="1" t="n">
        <v>45671.64002314815</v>
      </c>
      <c r="C3420" s="1" t="n">
        <v>45957</v>
      </c>
      <c r="D3420" t="inlineStr">
        <is>
          <t>KRONOBERGS LÄN</t>
        </is>
      </c>
      <c r="E3420" t="inlineStr">
        <is>
          <t>LESSEBO</t>
        </is>
      </c>
      <c r="G3420" t="n">
        <v>1.6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29734-2025</t>
        </is>
      </c>
      <c r="B3421" s="1" t="n">
        <v>45825.58365740741</v>
      </c>
      <c r="C3421" s="1" t="n">
        <v>45957</v>
      </c>
      <c r="D3421" t="inlineStr">
        <is>
          <t>KRONOBERGS LÄN</t>
        </is>
      </c>
      <c r="E3421" t="inlineStr">
        <is>
          <t>UPPVIDINGE</t>
        </is>
      </c>
      <c r="G3421" t="n">
        <v>0.8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29749-2025</t>
        </is>
      </c>
      <c r="B3422" s="1" t="n">
        <v>45825.60664351852</v>
      </c>
      <c r="C3422" s="1" t="n">
        <v>45957</v>
      </c>
      <c r="D3422" t="inlineStr">
        <is>
          <t>KRONOBERGS LÄN</t>
        </is>
      </c>
      <c r="E3422" t="inlineStr">
        <is>
          <t>ALVESTA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48959-2024</t>
        </is>
      </c>
      <c r="B3423" s="1" t="n">
        <v>45594.44408564815</v>
      </c>
      <c r="C3423" s="1" t="n">
        <v>45957</v>
      </c>
      <c r="D3423" t="inlineStr">
        <is>
          <t>KRONOBERGS LÄN</t>
        </is>
      </c>
      <c r="E3423" t="inlineStr">
        <is>
          <t>ÄLMHULT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48147-2023</t>
        </is>
      </c>
      <c r="B3424" s="1" t="n">
        <v>45205.39787037037</v>
      </c>
      <c r="C3424" s="1" t="n">
        <v>45957</v>
      </c>
      <c r="D3424" t="inlineStr">
        <is>
          <t>KRONOBERGS LÄN</t>
        </is>
      </c>
      <c r="E3424" t="inlineStr">
        <is>
          <t>LJUNGBY</t>
        </is>
      </c>
      <c r="G3424" t="n">
        <v>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29643-2025</t>
        </is>
      </c>
      <c r="B3425" s="1" t="n">
        <v>45825.46516203704</v>
      </c>
      <c r="C3425" s="1" t="n">
        <v>45957</v>
      </c>
      <c r="D3425" t="inlineStr">
        <is>
          <t>KRONOBERGS LÄN</t>
        </is>
      </c>
      <c r="E3425" t="inlineStr">
        <is>
          <t>UPPVIDINGE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48175-2023</t>
        </is>
      </c>
      <c r="B3426" s="1" t="n">
        <v>45205</v>
      </c>
      <c r="C3426" s="1" t="n">
        <v>45957</v>
      </c>
      <c r="D3426" t="inlineStr">
        <is>
          <t>KRONOBERGS LÄN</t>
        </is>
      </c>
      <c r="E3426" t="inlineStr">
        <is>
          <t>LJUNGBY</t>
        </is>
      </c>
      <c r="G3426" t="n">
        <v>1.5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  <c r="U3426">
        <f>HYPERLINK("https://klasma.github.io/Logging_0781/knärot/A 48175-2023 karta knärot.png", "A 48175-2023")</f>
        <v/>
      </c>
      <c r="V3426">
        <f>HYPERLINK("https://klasma.github.io/Logging_0781/klagomål/A 48175-2023 FSC-klagomål.docx", "A 48175-2023")</f>
        <v/>
      </c>
      <c r="W3426">
        <f>HYPERLINK("https://klasma.github.io/Logging_0781/klagomålsmail/A 48175-2023 FSC-klagomål mail.docx", "A 48175-2023")</f>
        <v/>
      </c>
      <c r="X3426">
        <f>HYPERLINK("https://klasma.github.io/Logging_0781/tillsyn/A 48175-2023 tillsynsbegäran.docx", "A 48175-2023")</f>
        <v/>
      </c>
      <c r="Y3426">
        <f>HYPERLINK("https://klasma.github.io/Logging_0781/tillsynsmail/A 48175-2023 tillsynsbegäran mail.docx", "A 48175-2023")</f>
        <v/>
      </c>
    </row>
    <row r="3427" ht="15" customHeight="1">
      <c r="A3427" t="inlineStr">
        <is>
          <t>A 20854-2025</t>
        </is>
      </c>
      <c r="B3427" s="1" t="n">
        <v>45777.32327546296</v>
      </c>
      <c r="C3427" s="1" t="n">
        <v>45957</v>
      </c>
      <c r="D3427" t="inlineStr">
        <is>
          <t>KRONOBERGS LÄN</t>
        </is>
      </c>
      <c r="E3427" t="inlineStr">
        <is>
          <t>LESSEBO</t>
        </is>
      </c>
      <c r="F3427" t="inlineStr">
        <is>
          <t>Sveaskog</t>
        </is>
      </c>
      <c r="G3427" t="n">
        <v>0.5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29959-2025</t>
        </is>
      </c>
      <c r="B3428" s="1" t="n">
        <v>45826.47586805555</v>
      </c>
      <c r="C3428" s="1" t="n">
        <v>45957</v>
      </c>
      <c r="D3428" t="inlineStr">
        <is>
          <t>KRONOBERGS LÄN</t>
        </is>
      </c>
      <c r="E3428" t="inlineStr">
        <is>
          <t>LJUNGBY</t>
        </is>
      </c>
      <c r="G3428" t="n">
        <v>3.8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29980-2025</t>
        </is>
      </c>
      <c r="B3429" s="1" t="n">
        <v>45826.49353009259</v>
      </c>
      <c r="C3429" s="1" t="n">
        <v>45957</v>
      </c>
      <c r="D3429" t="inlineStr">
        <is>
          <t>KRONOBERGS LÄN</t>
        </is>
      </c>
      <c r="E3429" t="inlineStr">
        <is>
          <t>UPPVIDINGE</t>
        </is>
      </c>
      <c r="G3429" t="n">
        <v>4.1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40578-2025</t>
        </is>
      </c>
      <c r="B3430" s="1" t="n">
        <v>45896.51149305556</v>
      </c>
      <c r="C3430" s="1" t="n">
        <v>45957</v>
      </c>
      <c r="D3430" t="inlineStr">
        <is>
          <t>KRONOBERGS LÄN</t>
        </is>
      </c>
      <c r="E3430" t="inlineStr">
        <is>
          <t>TINGSRYD</t>
        </is>
      </c>
      <c r="G3430" t="n">
        <v>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48243-2023</t>
        </is>
      </c>
      <c r="B3431" s="1" t="n">
        <v>45205</v>
      </c>
      <c r="C3431" s="1" t="n">
        <v>45957</v>
      </c>
      <c r="D3431" t="inlineStr">
        <is>
          <t>KRONOBERGS LÄN</t>
        </is>
      </c>
      <c r="E3431" t="inlineStr">
        <is>
          <t>LJUNGBY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2845-2023</t>
        </is>
      </c>
      <c r="B3432" s="1" t="n">
        <v>44945.35765046296</v>
      </c>
      <c r="C3432" s="1" t="n">
        <v>45957</v>
      </c>
      <c r="D3432" t="inlineStr">
        <is>
          <t>KRONOBERGS LÄN</t>
        </is>
      </c>
      <c r="E3432" t="inlineStr">
        <is>
          <t>LJUNGBY</t>
        </is>
      </c>
      <c r="G3432" t="n">
        <v>0.3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2853-2023</t>
        </is>
      </c>
      <c r="B3433" s="1" t="n">
        <v>44945.39559027777</v>
      </c>
      <c r="C3433" s="1" t="n">
        <v>45957</v>
      </c>
      <c r="D3433" t="inlineStr">
        <is>
          <t>KRONOBERGS LÄN</t>
        </is>
      </c>
      <c r="E3433" t="inlineStr">
        <is>
          <t>UPPVIDINGE</t>
        </is>
      </c>
      <c r="G3433" t="n">
        <v>0.4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24429-2023</t>
        </is>
      </c>
      <c r="B3434" s="1" t="n">
        <v>45082</v>
      </c>
      <c r="C3434" s="1" t="n">
        <v>45957</v>
      </c>
      <c r="D3434" t="inlineStr">
        <is>
          <t>KRONOBERGS LÄN</t>
        </is>
      </c>
      <c r="E3434" t="inlineStr">
        <is>
          <t>TINGSRYD</t>
        </is>
      </c>
      <c r="G3434" t="n">
        <v>2.4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49127-2025</t>
        </is>
      </c>
      <c r="B3435" s="1" t="n">
        <v>45937.87738425926</v>
      </c>
      <c r="C3435" s="1" t="n">
        <v>45957</v>
      </c>
      <c r="D3435" t="inlineStr">
        <is>
          <t>KRONOBERGS LÄN</t>
        </is>
      </c>
      <c r="E3435" t="inlineStr">
        <is>
          <t>LJUNGBY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30110-2025</t>
        </is>
      </c>
      <c r="B3436" s="1" t="n">
        <v>45826</v>
      </c>
      <c r="C3436" s="1" t="n">
        <v>45957</v>
      </c>
      <c r="D3436" t="inlineStr">
        <is>
          <t>KRONOBERGS LÄN</t>
        </is>
      </c>
      <c r="E3436" t="inlineStr">
        <is>
          <t>LJUNGBY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56471-2024</t>
        </is>
      </c>
      <c r="B3437" s="1" t="n">
        <v>45625.45663194444</v>
      </c>
      <c r="C3437" s="1" t="n">
        <v>45957</v>
      </c>
      <c r="D3437" t="inlineStr">
        <is>
          <t>KRONOBERGS LÄN</t>
        </is>
      </c>
      <c r="E3437" t="inlineStr">
        <is>
          <t>LESSEBO</t>
        </is>
      </c>
      <c r="G3437" t="n">
        <v>3.5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29602-2025</t>
        </is>
      </c>
      <c r="B3438" s="1" t="n">
        <v>45825.41503472222</v>
      </c>
      <c r="C3438" s="1" t="n">
        <v>45957</v>
      </c>
      <c r="D3438" t="inlineStr">
        <is>
          <t>KRONOBERGS LÄN</t>
        </is>
      </c>
      <c r="E3438" t="inlineStr">
        <is>
          <t>TINGSRYD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33005-2024</t>
        </is>
      </c>
      <c r="B3439" s="1" t="n">
        <v>45517.49451388889</v>
      </c>
      <c r="C3439" s="1" t="n">
        <v>45957</v>
      </c>
      <c r="D3439" t="inlineStr">
        <is>
          <t>KRONOBERGS LÄN</t>
        </is>
      </c>
      <c r="E3439" t="inlineStr">
        <is>
          <t>VÄXJÖ</t>
        </is>
      </c>
      <c r="G3439" t="n">
        <v>1.2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48880-2025</t>
        </is>
      </c>
      <c r="B3440" s="1" t="n">
        <v>45937.45954861111</v>
      </c>
      <c r="C3440" s="1" t="n">
        <v>45957</v>
      </c>
      <c r="D3440" t="inlineStr">
        <is>
          <t>KRONOBERGS LÄN</t>
        </is>
      </c>
      <c r="E3440" t="inlineStr">
        <is>
          <t>TINGSRYD</t>
        </is>
      </c>
      <c r="G3440" t="n">
        <v>1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11424-2024</t>
        </is>
      </c>
      <c r="B3441" s="1" t="n">
        <v>45372.49736111111</v>
      </c>
      <c r="C3441" s="1" t="n">
        <v>45957</v>
      </c>
      <c r="D3441" t="inlineStr">
        <is>
          <t>KRONOBERGS LÄN</t>
        </is>
      </c>
      <c r="E3441" t="inlineStr">
        <is>
          <t>UPPVIDINGE</t>
        </is>
      </c>
      <c r="G3441" t="n">
        <v>1.3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48898-2025</t>
        </is>
      </c>
      <c r="B3442" s="1" t="n">
        <v>45937.47538194444</v>
      </c>
      <c r="C3442" s="1" t="n">
        <v>45957</v>
      </c>
      <c r="D3442" t="inlineStr">
        <is>
          <t>KRONOBERGS LÄN</t>
        </is>
      </c>
      <c r="E3442" t="inlineStr">
        <is>
          <t>VÄXJÖ</t>
        </is>
      </c>
      <c r="G3442" t="n">
        <v>1.5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40309-2025</t>
        </is>
      </c>
      <c r="B3443" s="1" t="n">
        <v>45895</v>
      </c>
      <c r="C3443" s="1" t="n">
        <v>45957</v>
      </c>
      <c r="D3443" t="inlineStr">
        <is>
          <t>KRONOBERGS LÄN</t>
        </is>
      </c>
      <c r="E3443" t="inlineStr">
        <is>
          <t>LJUNGBY</t>
        </is>
      </c>
      <c r="F3443" t="inlineStr">
        <is>
          <t>Sveaskog</t>
        </is>
      </c>
      <c r="G3443" t="n">
        <v>1.4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40312-2025</t>
        </is>
      </c>
      <c r="B3444" s="1" t="n">
        <v>45895.41686342593</v>
      </c>
      <c r="C3444" s="1" t="n">
        <v>45957</v>
      </c>
      <c r="D3444" t="inlineStr">
        <is>
          <t>KRONOBERGS LÄN</t>
        </is>
      </c>
      <c r="E3444" t="inlineStr">
        <is>
          <t>LJUNGBY</t>
        </is>
      </c>
      <c r="F3444" t="inlineStr">
        <is>
          <t>Sveaskog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40317-2025</t>
        </is>
      </c>
      <c r="B3445" s="1" t="n">
        <v>45895.43204861111</v>
      </c>
      <c r="C3445" s="1" t="n">
        <v>45957</v>
      </c>
      <c r="D3445" t="inlineStr">
        <is>
          <t>KRONOBERGS LÄN</t>
        </is>
      </c>
      <c r="E3445" t="inlineStr">
        <is>
          <t>VÄXJÖ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11431-2024</t>
        </is>
      </c>
      <c r="B3446" s="1" t="n">
        <v>45372.51082175926</v>
      </c>
      <c r="C3446" s="1" t="n">
        <v>45957</v>
      </c>
      <c r="D3446" t="inlineStr">
        <is>
          <t>KRONOBERGS LÄN</t>
        </is>
      </c>
      <c r="E3446" t="inlineStr">
        <is>
          <t>TINGSRYD</t>
        </is>
      </c>
      <c r="G3446" t="n">
        <v>2.8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3580-2025</t>
        </is>
      </c>
      <c r="B3447" s="1" t="n">
        <v>45680.73219907407</v>
      </c>
      <c r="C3447" s="1" t="n">
        <v>45957</v>
      </c>
      <c r="D3447" t="inlineStr">
        <is>
          <t>KRONOBERGS LÄN</t>
        </is>
      </c>
      <c r="E3447" t="inlineStr">
        <is>
          <t>ALVESTA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47679-2025</t>
        </is>
      </c>
      <c r="B3448" s="1" t="n">
        <v>45930</v>
      </c>
      <c r="C3448" s="1" t="n">
        <v>45957</v>
      </c>
      <c r="D3448" t="inlineStr">
        <is>
          <t>KRONOBERGS LÄN</t>
        </is>
      </c>
      <c r="E3448" t="inlineStr">
        <is>
          <t>UPPVIDINGE</t>
        </is>
      </c>
      <c r="F3448" t="inlineStr">
        <is>
          <t>Kyrkan</t>
        </is>
      </c>
      <c r="G3448" t="n">
        <v>1.8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47682-2025</t>
        </is>
      </c>
      <c r="B3449" s="1" t="n">
        <v>45930</v>
      </c>
      <c r="C3449" s="1" t="n">
        <v>45957</v>
      </c>
      <c r="D3449" t="inlineStr">
        <is>
          <t>KRONOBERGS LÄN</t>
        </is>
      </c>
      <c r="E3449" t="inlineStr">
        <is>
          <t>UPPVIDINGE</t>
        </is>
      </c>
      <c r="F3449" t="inlineStr">
        <is>
          <t>Kyrkan</t>
        </is>
      </c>
      <c r="G3449" t="n">
        <v>7.1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11519-2024</t>
        </is>
      </c>
      <c r="B3450" s="1" t="n">
        <v>45372.83673611111</v>
      </c>
      <c r="C3450" s="1" t="n">
        <v>45957</v>
      </c>
      <c r="D3450" t="inlineStr">
        <is>
          <t>KRONOBERGS LÄN</t>
        </is>
      </c>
      <c r="E3450" t="inlineStr">
        <is>
          <t>VÄXJÖ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45040-2023</t>
        </is>
      </c>
      <c r="B3451" s="1" t="n">
        <v>45191.32893518519</v>
      </c>
      <c r="C3451" s="1" t="n">
        <v>45957</v>
      </c>
      <c r="D3451" t="inlineStr">
        <is>
          <t>KRONOBERGS LÄN</t>
        </is>
      </c>
      <c r="E3451" t="inlineStr">
        <is>
          <t>TINGSRYD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4469-2025</t>
        </is>
      </c>
      <c r="B3452" s="1" t="n">
        <v>45686.61557870371</v>
      </c>
      <c r="C3452" s="1" t="n">
        <v>45957</v>
      </c>
      <c r="D3452" t="inlineStr">
        <is>
          <t>KRONOBERGS LÄN</t>
        </is>
      </c>
      <c r="E3452" t="inlineStr">
        <is>
          <t>VÄXJÖ</t>
        </is>
      </c>
      <c r="G3452" t="n">
        <v>1.9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40581-2025</t>
        </is>
      </c>
      <c r="B3453" s="1" t="n">
        <v>45896.51361111111</v>
      </c>
      <c r="C3453" s="1" t="n">
        <v>45957</v>
      </c>
      <c r="D3453" t="inlineStr">
        <is>
          <t>KRONOBERGS LÄN</t>
        </is>
      </c>
      <c r="E3453" t="inlineStr">
        <is>
          <t>TINGSRYD</t>
        </is>
      </c>
      <c r="G3453" t="n">
        <v>0.5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20825-2023</t>
        </is>
      </c>
      <c r="B3454" s="1" t="n">
        <v>45058</v>
      </c>
      <c r="C3454" s="1" t="n">
        <v>45957</v>
      </c>
      <c r="D3454" t="inlineStr">
        <is>
          <t>KRONOBERGS LÄN</t>
        </is>
      </c>
      <c r="E3454" t="inlineStr">
        <is>
          <t>LESSEBO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40394-2025</t>
        </is>
      </c>
      <c r="B3455" s="1" t="n">
        <v>45895.55729166666</v>
      </c>
      <c r="C3455" s="1" t="n">
        <v>45957</v>
      </c>
      <c r="D3455" t="inlineStr">
        <is>
          <t>KRONOBERGS LÄN</t>
        </is>
      </c>
      <c r="E3455" t="inlineStr">
        <is>
          <t>LJUNGBY</t>
        </is>
      </c>
      <c r="G3455" t="n">
        <v>2.5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49087-2025</t>
        </is>
      </c>
      <c r="B3456" s="1" t="n">
        <v>45937.66888888889</v>
      </c>
      <c r="C3456" s="1" t="n">
        <v>45957</v>
      </c>
      <c r="D3456" t="inlineStr">
        <is>
          <t>KRONOBERGS LÄN</t>
        </is>
      </c>
      <c r="E3456" t="inlineStr">
        <is>
          <t>LJUNGBY</t>
        </is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5777-2024</t>
        </is>
      </c>
      <c r="B3457" s="1" t="n">
        <v>45335.41604166666</v>
      </c>
      <c r="C3457" s="1" t="n">
        <v>45957</v>
      </c>
      <c r="D3457" t="inlineStr">
        <is>
          <t>KRONOBERGS LÄN</t>
        </is>
      </c>
      <c r="E3457" t="inlineStr">
        <is>
          <t>ÄLMHULT</t>
        </is>
      </c>
      <c r="G3457" t="n">
        <v>8.300000000000001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20853-2025</t>
        </is>
      </c>
      <c r="B3458" s="1" t="n">
        <v>45777.32241898148</v>
      </c>
      <c r="C3458" s="1" t="n">
        <v>45957</v>
      </c>
      <c r="D3458" t="inlineStr">
        <is>
          <t>KRONOBERGS LÄN</t>
        </is>
      </c>
      <c r="E3458" t="inlineStr">
        <is>
          <t>LESSEBO</t>
        </is>
      </c>
      <c r="F3458" t="inlineStr">
        <is>
          <t>Sveaskog</t>
        </is>
      </c>
      <c r="G3458" t="n">
        <v>2.4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43021-2024</t>
        </is>
      </c>
      <c r="B3459" s="1" t="n">
        <v>45567</v>
      </c>
      <c r="C3459" s="1" t="n">
        <v>45957</v>
      </c>
      <c r="D3459" t="inlineStr">
        <is>
          <t>KRONOBERGS LÄN</t>
        </is>
      </c>
      <c r="E3459" t="inlineStr">
        <is>
          <t>LJUNGBY</t>
        </is>
      </c>
      <c r="G3459" t="n">
        <v>0.9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25621-2023</t>
        </is>
      </c>
      <c r="B3460" s="1" t="n">
        <v>45089</v>
      </c>
      <c r="C3460" s="1" t="n">
        <v>45957</v>
      </c>
      <c r="D3460" t="inlineStr">
        <is>
          <t>KRONOBERGS LÄN</t>
        </is>
      </c>
      <c r="E3460" t="inlineStr">
        <is>
          <t>MARKARYD</t>
        </is>
      </c>
      <c r="G3460" t="n">
        <v>1.2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48884-2025</t>
        </is>
      </c>
      <c r="B3461" s="1" t="n">
        <v>45937.46489583333</v>
      </c>
      <c r="C3461" s="1" t="n">
        <v>45957</v>
      </c>
      <c r="D3461" t="inlineStr">
        <is>
          <t>KRONOBERGS LÄN</t>
        </is>
      </c>
      <c r="E3461" t="inlineStr">
        <is>
          <t>VÄXJÖ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10365-2021</t>
        </is>
      </c>
      <c r="B3462" s="1" t="n">
        <v>44257.49313657408</v>
      </c>
      <c r="C3462" s="1" t="n">
        <v>45957</v>
      </c>
      <c r="D3462" t="inlineStr">
        <is>
          <t>KRONOBERGS LÄN</t>
        </is>
      </c>
      <c r="E3462" t="inlineStr">
        <is>
          <t>MARKARYD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43343-2023</t>
        </is>
      </c>
      <c r="B3463" s="1" t="n">
        <v>45183.65034722222</v>
      </c>
      <c r="C3463" s="1" t="n">
        <v>45957</v>
      </c>
      <c r="D3463" t="inlineStr">
        <is>
          <t>KRONOBERGS LÄN</t>
        </is>
      </c>
      <c r="E3463" t="inlineStr">
        <is>
          <t>LJUNGBY</t>
        </is>
      </c>
      <c r="G3463" t="n">
        <v>0.7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21366-2023</t>
        </is>
      </c>
      <c r="B3464" s="1" t="n">
        <v>45063.27048611111</v>
      </c>
      <c r="C3464" s="1" t="n">
        <v>45957</v>
      </c>
      <c r="D3464" t="inlineStr">
        <is>
          <t>KRONOBERGS LÄN</t>
        </is>
      </c>
      <c r="E3464" t="inlineStr">
        <is>
          <t>UPPVIDINGE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30367-2025</t>
        </is>
      </c>
      <c r="B3465" s="1" t="n">
        <v>45827.5565162037</v>
      </c>
      <c r="C3465" s="1" t="n">
        <v>45957</v>
      </c>
      <c r="D3465" t="inlineStr">
        <is>
          <t>KRONOBERGS LÄN</t>
        </is>
      </c>
      <c r="E3465" t="inlineStr">
        <is>
          <t>VÄXJÖ</t>
        </is>
      </c>
      <c r="G3465" t="n">
        <v>0.9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67346-2020</t>
        </is>
      </c>
      <c r="B3466" s="1" t="n">
        <v>44181</v>
      </c>
      <c r="C3466" s="1" t="n">
        <v>45957</v>
      </c>
      <c r="D3466" t="inlineStr">
        <is>
          <t>KRONOBERGS LÄN</t>
        </is>
      </c>
      <c r="E3466" t="inlineStr">
        <is>
          <t>LJUNGBY</t>
        </is>
      </c>
      <c r="G3466" t="n">
        <v>2.5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56387-2023</t>
        </is>
      </c>
      <c r="B3467" s="1" t="n">
        <v>45243</v>
      </c>
      <c r="C3467" s="1" t="n">
        <v>45957</v>
      </c>
      <c r="D3467" t="inlineStr">
        <is>
          <t>KRONOBERGS LÄN</t>
        </is>
      </c>
      <c r="E3467" t="inlineStr">
        <is>
          <t>LJUNGBY</t>
        </is>
      </c>
      <c r="G3467" t="n">
        <v>0.8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30755-2022</t>
        </is>
      </c>
      <c r="B3468" s="1" t="n">
        <v>44764</v>
      </c>
      <c r="C3468" s="1" t="n">
        <v>45957</v>
      </c>
      <c r="D3468" t="inlineStr">
        <is>
          <t>KRONOBERGS LÄN</t>
        </is>
      </c>
      <c r="E3468" t="inlineStr">
        <is>
          <t>VÄXJÖ</t>
        </is>
      </c>
      <c r="G3468" t="n">
        <v>1.2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40323-2025</t>
        </is>
      </c>
      <c r="B3469" s="1" t="n">
        <v>45895</v>
      </c>
      <c r="C3469" s="1" t="n">
        <v>45957</v>
      </c>
      <c r="D3469" t="inlineStr">
        <is>
          <t>KRONOBERGS LÄN</t>
        </is>
      </c>
      <c r="E3469" t="inlineStr">
        <is>
          <t>LJUNGBY</t>
        </is>
      </c>
      <c r="G3469" t="n">
        <v>1.1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24399-2023</t>
        </is>
      </c>
      <c r="B3470" s="1" t="n">
        <v>45082</v>
      </c>
      <c r="C3470" s="1" t="n">
        <v>45957</v>
      </c>
      <c r="D3470" t="inlineStr">
        <is>
          <t>KRONOBERGS LÄN</t>
        </is>
      </c>
      <c r="E3470" t="inlineStr">
        <is>
          <t>LJUNGBY</t>
        </is>
      </c>
      <c r="G3470" t="n">
        <v>1.7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18996-2025</t>
        </is>
      </c>
      <c r="B3471" s="1" t="n">
        <v>45764.57550925926</v>
      </c>
      <c r="C3471" s="1" t="n">
        <v>45957</v>
      </c>
      <c r="D3471" t="inlineStr">
        <is>
          <t>KRONOBERGS LÄN</t>
        </is>
      </c>
      <c r="E3471" t="inlineStr">
        <is>
          <t>VÄXJÖ</t>
        </is>
      </c>
      <c r="G3471" t="n">
        <v>1.7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19006-2025</t>
        </is>
      </c>
      <c r="B3472" s="1" t="n">
        <v>45764</v>
      </c>
      <c r="C3472" s="1" t="n">
        <v>45957</v>
      </c>
      <c r="D3472" t="inlineStr">
        <is>
          <t>KRONOBERGS LÄN</t>
        </is>
      </c>
      <c r="E3472" t="inlineStr">
        <is>
          <t>VÄXJÖ</t>
        </is>
      </c>
      <c r="G3472" t="n">
        <v>7.8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18432-2022</t>
        </is>
      </c>
      <c r="B3473" s="1" t="n">
        <v>44685</v>
      </c>
      <c r="C3473" s="1" t="n">
        <v>45957</v>
      </c>
      <c r="D3473" t="inlineStr">
        <is>
          <t>KRONOBERGS LÄN</t>
        </is>
      </c>
      <c r="E3473" t="inlineStr">
        <is>
          <t>TINGSRYD</t>
        </is>
      </c>
      <c r="G3473" t="n">
        <v>4.7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18435-2022</t>
        </is>
      </c>
      <c r="B3474" s="1" t="n">
        <v>44685</v>
      </c>
      <c r="C3474" s="1" t="n">
        <v>45957</v>
      </c>
      <c r="D3474" t="inlineStr">
        <is>
          <t>KRONOBERGS LÄN</t>
        </is>
      </c>
      <c r="E3474" t="inlineStr">
        <is>
          <t>TINGSRYD</t>
        </is>
      </c>
      <c r="G3474" t="n">
        <v>4.2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21262-2024</t>
        </is>
      </c>
      <c r="B3475" s="1" t="n">
        <v>45440.63173611111</v>
      </c>
      <c r="C3475" s="1" t="n">
        <v>45957</v>
      </c>
      <c r="D3475" t="inlineStr">
        <is>
          <t>KRONOBERGS LÄN</t>
        </is>
      </c>
      <c r="E3475" t="inlineStr">
        <is>
          <t>UPPVIDINGE</t>
        </is>
      </c>
      <c r="G3475" t="n">
        <v>1.2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29584-2023</t>
        </is>
      </c>
      <c r="B3476" s="1" t="n">
        <v>45106.82878472222</v>
      </c>
      <c r="C3476" s="1" t="n">
        <v>45957</v>
      </c>
      <c r="D3476" t="inlineStr">
        <is>
          <t>KRONOBERGS LÄN</t>
        </is>
      </c>
      <c r="E3476" t="inlineStr">
        <is>
          <t>TINGSRYD</t>
        </is>
      </c>
      <c r="G3476" t="n">
        <v>0.8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40274-2025</t>
        </is>
      </c>
      <c r="B3477" s="1" t="n">
        <v>45895.35368055556</v>
      </c>
      <c r="C3477" s="1" t="n">
        <v>45957</v>
      </c>
      <c r="D3477" t="inlineStr">
        <is>
          <t>KRONOBERGS LÄN</t>
        </is>
      </c>
      <c r="E3477" t="inlineStr">
        <is>
          <t>LJUNGBY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46472-2023</t>
        </is>
      </c>
      <c r="B3478" s="1" t="n">
        <v>45191</v>
      </c>
      <c r="C3478" s="1" t="n">
        <v>45957</v>
      </c>
      <c r="D3478" t="inlineStr">
        <is>
          <t>KRONOBERGS LÄN</t>
        </is>
      </c>
      <c r="E3478" t="inlineStr">
        <is>
          <t>ÄLMHULT</t>
        </is>
      </c>
      <c r="G3478" t="n">
        <v>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40612-2025</t>
        </is>
      </c>
      <c r="B3479" s="1" t="n">
        <v>45896</v>
      </c>
      <c r="C3479" s="1" t="n">
        <v>45957</v>
      </c>
      <c r="D3479" t="inlineStr">
        <is>
          <t>KRONOBERGS LÄN</t>
        </is>
      </c>
      <c r="E3479" t="inlineStr">
        <is>
          <t>ALVESTA</t>
        </is>
      </c>
      <c r="G3479" t="n">
        <v>2.5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12065-2025</t>
        </is>
      </c>
      <c r="B3480" s="1" t="n">
        <v>45728.70190972222</v>
      </c>
      <c r="C3480" s="1" t="n">
        <v>45957</v>
      </c>
      <c r="D3480" t="inlineStr">
        <is>
          <t>KRONOBERGS LÄN</t>
        </is>
      </c>
      <c r="E3480" t="inlineStr">
        <is>
          <t>ALVESTA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26980-2023</t>
        </is>
      </c>
      <c r="B3481" s="1" t="n">
        <v>45091</v>
      </c>
      <c r="C3481" s="1" t="n">
        <v>45957</v>
      </c>
      <c r="D3481" t="inlineStr">
        <is>
          <t>KRONOBERGS LÄN</t>
        </is>
      </c>
      <c r="E3481" t="inlineStr">
        <is>
          <t>VÄXJÖ</t>
        </is>
      </c>
      <c r="F3481" t="inlineStr">
        <is>
          <t>Kyrkan</t>
        </is>
      </c>
      <c r="G3481" t="n">
        <v>4.4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12127-2025</t>
        </is>
      </c>
      <c r="B3482" s="1" t="n">
        <v>45729.38393518519</v>
      </c>
      <c r="C3482" s="1" t="n">
        <v>45957</v>
      </c>
      <c r="D3482" t="inlineStr">
        <is>
          <t>KRONOBERGS LÄN</t>
        </is>
      </c>
      <c r="E3482" t="inlineStr">
        <is>
          <t>LESSEBO</t>
        </is>
      </c>
      <c r="G3482" t="n">
        <v>2.1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30423-2025</t>
        </is>
      </c>
      <c r="B3483" s="1" t="n">
        <v>45827.61452546297</v>
      </c>
      <c r="C3483" s="1" t="n">
        <v>45957</v>
      </c>
      <c r="D3483" t="inlineStr">
        <is>
          <t>KRONOBERGS LÄN</t>
        </is>
      </c>
      <c r="E3483" t="inlineStr">
        <is>
          <t>MARKARYD</t>
        </is>
      </c>
      <c r="G3483" t="n">
        <v>1.4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27034-2023</t>
        </is>
      </c>
      <c r="B3484" s="1" t="n">
        <v>45095.52581018519</v>
      </c>
      <c r="C3484" s="1" t="n">
        <v>45957</v>
      </c>
      <c r="D3484" t="inlineStr">
        <is>
          <t>KRONOBERGS LÄN</t>
        </is>
      </c>
      <c r="E3484" t="inlineStr">
        <is>
          <t>ALVESTA</t>
        </is>
      </c>
      <c r="G3484" t="n">
        <v>3.8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48905-2025</t>
        </is>
      </c>
      <c r="B3485" s="1" t="n">
        <v>45937.48282407408</v>
      </c>
      <c r="C3485" s="1" t="n">
        <v>45957</v>
      </c>
      <c r="D3485" t="inlineStr">
        <is>
          <t>KRONOBERGS LÄN</t>
        </is>
      </c>
      <c r="E3485" t="inlineStr">
        <is>
          <t>VÄXJÖ</t>
        </is>
      </c>
      <c r="G3485" t="n">
        <v>8.1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21470-2024</t>
        </is>
      </c>
      <c r="B3486" s="1" t="n">
        <v>45441</v>
      </c>
      <c r="C3486" s="1" t="n">
        <v>45957</v>
      </c>
      <c r="D3486" t="inlineStr">
        <is>
          <t>KRONOBERGS LÄN</t>
        </is>
      </c>
      <c r="E3486" t="inlineStr">
        <is>
          <t>ÄLMHULT</t>
        </is>
      </c>
      <c r="G3486" t="n">
        <v>2.5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30230-2025</t>
        </is>
      </c>
      <c r="B3487" s="1" t="n">
        <v>45827.38292824074</v>
      </c>
      <c r="C3487" s="1" t="n">
        <v>45957</v>
      </c>
      <c r="D3487" t="inlineStr">
        <is>
          <t>KRONOBERGS LÄN</t>
        </is>
      </c>
      <c r="E3487" t="inlineStr">
        <is>
          <t>TINGSRYD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45623-2024</t>
        </is>
      </c>
      <c r="B3488" s="1" t="n">
        <v>45579</v>
      </c>
      <c r="C3488" s="1" t="n">
        <v>45957</v>
      </c>
      <c r="D3488" t="inlineStr">
        <is>
          <t>KRONOBERGS LÄN</t>
        </is>
      </c>
      <c r="E3488" t="inlineStr">
        <is>
          <t>VÄXJÖ</t>
        </is>
      </c>
      <c r="G3488" t="n">
        <v>0.6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5710-2024</t>
        </is>
      </c>
      <c r="B3489" s="1" t="n">
        <v>45334.8496875</v>
      </c>
      <c r="C3489" s="1" t="n">
        <v>45957</v>
      </c>
      <c r="D3489" t="inlineStr">
        <is>
          <t>KRONOBERGS LÄN</t>
        </is>
      </c>
      <c r="E3489" t="inlineStr">
        <is>
          <t>ÄLMHULT</t>
        </is>
      </c>
      <c r="G3489" t="n">
        <v>4.8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9844-2025</t>
        </is>
      </c>
      <c r="B3490" s="1" t="n">
        <v>45716.60950231482</v>
      </c>
      <c r="C3490" s="1" t="n">
        <v>45957</v>
      </c>
      <c r="D3490" t="inlineStr">
        <is>
          <t>KRONOBERGS LÄN</t>
        </is>
      </c>
      <c r="E3490" t="inlineStr">
        <is>
          <t>ÄLMHULT</t>
        </is>
      </c>
      <c r="F3490" t="inlineStr">
        <is>
          <t>Sveaskog</t>
        </is>
      </c>
      <c r="G3490" t="n">
        <v>6.7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13480-2023</t>
        </is>
      </c>
      <c r="B3491" s="1" t="n">
        <v>45005</v>
      </c>
      <c r="C3491" s="1" t="n">
        <v>45957</v>
      </c>
      <c r="D3491" t="inlineStr">
        <is>
          <t>KRONOBERGS LÄN</t>
        </is>
      </c>
      <c r="E3491" t="inlineStr">
        <is>
          <t>LJUNGBY</t>
        </is>
      </c>
      <c r="G3491" t="n">
        <v>10.3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30222-2025</t>
        </is>
      </c>
      <c r="B3492" s="1" t="n">
        <v>45827.37509259259</v>
      </c>
      <c r="C3492" s="1" t="n">
        <v>45957</v>
      </c>
      <c r="D3492" t="inlineStr">
        <is>
          <t>KRONOBERGS LÄN</t>
        </is>
      </c>
      <c r="E3492" t="inlineStr">
        <is>
          <t>ALVESTA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40353-2025</t>
        </is>
      </c>
      <c r="B3493" s="1" t="n">
        <v>45895.48666666666</v>
      </c>
      <c r="C3493" s="1" t="n">
        <v>45957</v>
      </c>
      <c r="D3493" t="inlineStr">
        <is>
          <t>KRONOBERGS LÄN</t>
        </is>
      </c>
      <c r="E3493" t="inlineStr">
        <is>
          <t>TINGSRYD</t>
        </is>
      </c>
      <c r="G3493" t="n">
        <v>2.2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30419-2025</t>
        </is>
      </c>
      <c r="B3494" s="1" t="n">
        <v>45827.60854166667</v>
      </c>
      <c r="C3494" s="1" t="n">
        <v>45957</v>
      </c>
      <c r="D3494" t="inlineStr">
        <is>
          <t>KRONOBERGS LÄN</t>
        </is>
      </c>
      <c r="E3494" t="inlineStr">
        <is>
          <t>MARKARYD</t>
        </is>
      </c>
      <c r="G3494" t="n">
        <v>1.6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48716-2025</t>
        </is>
      </c>
      <c r="B3495" s="1" t="n">
        <v>45936</v>
      </c>
      <c r="C3495" s="1" t="n">
        <v>45957</v>
      </c>
      <c r="D3495" t="inlineStr">
        <is>
          <t>KRONOBERGS LÄN</t>
        </is>
      </c>
      <c r="E3495" t="inlineStr">
        <is>
          <t>ALVESTA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30191-2025</t>
        </is>
      </c>
      <c r="B3496" s="1" t="n">
        <v>45827.35050925926</v>
      </c>
      <c r="C3496" s="1" t="n">
        <v>45957</v>
      </c>
      <c r="D3496" t="inlineStr">
        <is>
          <t>KRONOBERGS LÄN</t>
        </is>
      </c>
      <c r="E3496" t="inlineStr">
        <is>
          <t>ALVESTA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30223-2025</t>
        </is>
      </c>
      <c r="B3497" s="1" t="n">
        <v>45827.37668981482</v>
      </c>
      <c r="C3497" s="1" t="n">
        <v>45957</v>
      </c>
      <c r="D3497" t="inlineStr">
        <is>
          <t>KRONOBERGS LÄN</t>
        </is>
      </c>
      <c r="E3497" t="inlineStr">
        <is>
          <t>ALVESTA</t>
        </is>
      </c>
      <c r="G3497" t="n">
        <v>2.5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30374-2025</t>
        </is>
      </c>
      <c r="B3498" s="1" t="n">
        <v>45827.56438657407</v>
      </c>
      <c r="C3498" s="1" t="n">
        <v>45957</v>
      </c>
      <c r="D3498" t="inlineStr">
        <is>
          <t>KRONOBERGS LÄN</t>
        </is>
      </c>
      <c r="E3498" t="inlineStr">
        <is>
          <t>VÄXJÖ</t>
        </is>
      </c>
      <c r="G3498" t="n">
        <v>1.3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23857-2025</t>
        </is>
      </c>
      <c r="B3499" s="1" t="n">
        <v>45793.65984953703</v>
      </c>
      <c r="C3499" s="1" t="n">
        <v>45957</v>
      </c>
      <c r="D3499" t="inlineStr">
        <is>
          <t>KRONOBERGS LÄN</t>
        </is>
      </c>
      <c r="E3499" t="inlineStr">
        <is>
          <t>LJUNGBY</t>
        </is>
      </c>
      <c r="G3499" t="n">
        <v>1.8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30410-2025</t>
        </is>
      </c>
      <c r="B3500" s="1" t="n">
        <v>45827.60109953704</v>
      </c>
      <c r="C3500" s="1" t="n">
        <v>45957</v>
      </c>
      <c r="D3500" t="inlineStr">
        <is>
          <t>KRONOBERGS LÄN</t>
        </is>
      </c>
      <c r="E3500" t="inlineStr">
        <is>
          <t>ÄLMHULT</t>
        </is>
      </c>
      <c r="G3500" t="n">
        <v>1.2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48196-2025</t>
        </is>
      </c>
      <c r="B3501" s="1" t="n">
        <v>45932</v>
      </c>
      <c r="C3501" s="1" t="n">
        <v>45957</v>
      </c>
      <c r="D3501" t="inlineStr">
        <is>
          <t>KRONOBERGS LÄN</t>
        </is>
      </c>
      <c r="E3501" t="inlineStr">
        <is>
          <t>ÄLMHULT</t>
        </is>
      </c>
      <c r="G3501" t="n">
        <v>20.1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30144-2025</t>
        </is>
      </c>
      <c r="B3502" s="1" t="n">
        <v>45826.95120370371</v>
      </c>
      <c r="C3502" s="1" t="n">
        <v>45957</v>
      </c>
      <c r="D3502" t="inlineStr">
        <is>
          <t>KRONOBERGS LÄN</t>
        </is>
      </c>
      <c r="E3502" t="inlineStr">
        <is>
          <t>MARKARYD</t>
        </is>
      </c>
      <c r="G3502" t="n">
        <v>1.7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40432-2025</t>
        </is>
      </c>
      <c r="B3503" s="1" t="n">
        <v>45895.61116898148</v>
      </c>
      <c r="C3503" s="1" t="n">
        <v>45957</v>
      </c>
      <c r="D3503" t="inlineStr">
        <is>
          <t>KRONOBERGS LÄN</t>
        </is>
      </c>
      <c r="E3503" t="inlineStr">
        <is>
          <t>ÄLMHULT</t>
        </is>
      </c>
      <c r="G3503" t="n">
        <v>4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30321-2025</t>
        </is>
      </c>
      <c r="B3504" s="1" t="n">
        <v>45827</v>
      </c>
      <c r="C3504" s="1" t="n">
        <v>45957</v>
      </c>
      <c r="D3504" t="inlineStr">
        <is>
          <t>KRONOBERGS LÄN</t>
        </is>
      </c>
      <c r="E3504" t="inlineStr">
        <is>
          <t>VÄXJÖ</t>
        </is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49327-2025</t>
        </is>
      </c>
      <c r="B3505" s="1" t="n">
        <v>45938.57505787037</v>
      </c>
      <c r="C3505" s="1" t="n">
        <v>45957</v>
      </c>
      <c r="D3505" t="inlineStr">
        <is>
          <t>KRONOBERGS LÄN</t>
        </is>
      </c>
      <c r="E3505" t="inlineStr">
        <is>
          <t>ÄLMHULT</t>
        </is>
      </c>
      <c r="G3505" t="n">
        <v>3.9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30861-2025</t>
        </is>
      </c>
      <c r="B3506" s="1" t="n">
        <v>45832.00253472223</v>
      </c>
      <c r="C3506" s="1" t="n">
        <v>45957</v>
      </c>
      <c r="D3506" t="inlineStr">
        <is>
          <t>KRONOBERGS LÄN</t>
        </is>
      </c>
      <c r="E3506" t="inlineStr">
        <is>
          <t>VÄXJÖ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12999-2024</t>
        </is>
      </c>
      <c r="B3507" s="1" t="n">
        <v>45385</v>
      </c>
      <c r="C3507" s="1" t="n">
        <v>45957</v>
      </c>
      <c r="D3507" t="inlineStr">
        <is>
          <t>KRONOBERGS LÄN</t>
        </is>
      </c>
      <c r="E3507" t="inlineStr">
        <is>
          <t>VÄXJÖ</t>
        </is>
      </c>
      <c r="F3507" t="inlineStr">
        <is>
          <t>Sveaskog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30643-2025</t>
        </is>
      </c>
      <c r="B3508" s="1" t="n">
        <v>45831.4883912037</v>
      </c>
      <c r="C3508" s="1" t="n">
        <v>45957</v>
      </c>
      <c r="D3508" t="inlineStr">
        <is>
          <t>KRONOBERGS LÄN</t>
        </is>
      </c>
      <c r="E3508" t="inlineStr">
        <is>
          <t>VÄXJÖ</t>
        </is>
      </c>
      <c r="G3508" t="n">
        <v>0.6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13015-2024</t>
        </is>
      </c>
      <c r="B3509" s="1" t="n">
        <v>45385</v>
      </c>
      <c r="C3509" s="1" t="n">
        <v>45957</v>
      </c>
      <c r="D3509" t="inlineStr">
        <is>
          <t>KRONOBERGS LÄN</t>
        </is>
      </c>
      <c r="E3509" t="inlineStr">
        <is>
          <t>VÄXJÖ</t>
        </is>
      </c>
      <c r="F3509" t="inlineStr">
        <is>
          <t>Sveaskog</t>
        </is>
      </c>
      <c r="G3509" t="n">
        <v>3.6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30549-2025</t>
        </is>
      </c>
      <c r="B3510" s="1" t="n">
        <v>45831.3783912037</v>
      </c>
      <c r="C3510" s="1" t="n">
        <v>45957</v>
      </c>
      <c r="D3510" t="inlineStr">
        <is>
          <t>KRONOBERGS LÄN</t>
        </is>
      </c>
      <c r="E3510" t="inlineStr">
        <is>
          <t>LJUNGBY</t>
        </is>
      </c>
      <c r="G3510" t="n">
        <v>2.9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49138-2025</t>
        </is>
      </c>
      <c r="B3511" s="1" t="n">
        <v>45938.27462962963</v>
      </c>
      <c r="C3511" s="1" t="n">
        <v>45957</v>
      </c>
      <c r="D3511" t="inlineStr">
        <is>
          <t>KRONOBERGS LÄN</t>
        </is>
      </c>
      <c r="E3511" t="inlineStr">
        <is>
          <t>VÄXJÖ</t>
        </is>
      </c>
      <c r="G3511" t="n">
        <v>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27006-2022</t>
        </is>
      </c>
      <c r="B3512" s="1" t="n">
        <v>44740.92936342592</v>
      </c>
      <c r="C3512" s="1" t="n">
        <v>45957</v>
      </c>
      <c r="D3512" t="inlineStr">
        <is>
          <t>KRONOBERGS LÄN</t>
        </is>
      </c>
      <c r="E3512" t="inlineStr">
        <is>
          <t>LJUNGBY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30741-2025</t>
        </is>
      </c>
      <c r="B3513" s="1" t="n">
        <v>45831.57793981482</v>
      </c>
      <c r="C3513" s="1" t="n">
        <v>45957</v>
      </c>
      <c r="D3513" t="inlineStr">
        <is>
          <t>KRONOBERGS LÄN</t>
        </is>
      </c>
      <c r="E3513" t="inlineStr">
        <is>
          <t>LJUNGBY</t>
        </is>
      </c>
      <c r="G3513" t="n">
        <v>0.7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30745-2025</t>
        </is>
      </c>
      <c r="B3514" s="1" t="n">
        <v>45831.5818287037</v>
      </c>
      <c r="C3514" s="1" t="n">
        <v>45957</v>
      </c>
      <c r="D3514" t="inlineStr">
        <is>
          <t>KRONOBERGS LÄN</t>
        </is>
      </c>
      <c r="E3514" t="inlineStr">
        <is>
          <t>UPPVIDINGE</t>
        </is>
      </c>
      <c r="G3514" t="n">
        <v>3.1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49082-2025</t>
        </is>
      </c>
      <c r="B3515" s="1" t="n">
        <v>45937.66390046296</v>
      </c>
      <c r="C3515" s="1" t="n">
        <v>45957</v>
      </c>
      <c r="D3515" t="inlineStr">
        <is>
          <t>KRONOBERGS LÄN</t>
        </is>
      </c>
      <c r="E3515" t="inlineStr">
        <is>
          <t>LJUNGBY</t>
        </is>
      </c>
      <c r="G3515" t="n">
        <v>2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40526-2025</t>
        </is>
      </c>
      <c r="B3516" s="1" t="n">
        <v>45896.37341435185</v>
      </c>
      <c r="C3516" s="1" t="n">
        <v>45957</v>
      </c>
      <c r="D3516" t="inlineStr">
        <is>
          <t>KRONOBERGS LÄN</t>
        </is>
      </c>
      <c r="E3516" t="inlineStr">
        <is>
          <t>VÄXJÖ</t>
        </is>
      </c>
      <c r="G3516" t="n">
        <v>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30840-2025</t>
        </is>
      </c>
      <c r="B3517" s="1" t="n">
        <v>45831.74694444444</v>
      </c>
      <c r="C3517" s="1" t="n">
        <v>45957</v>
      </c>
      <c r="D3517" t="inlineStr">
        <is>
          <t>KRONOBERGS LÄN</t>
        </is>
      </c>
      <c r="E3517" t="inlineStr">
        <is>
          <t>TINGSRYD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40548-2025</t>
        </is>
      </c>
      <c r="B3518" s="1" t="n">
        <v>45896</v>
      </c>
      <c r="C3518" s="1" t="n">
        <v>45957</v>
      </c>
      <c r="D3518" t="inlineStr">
        <is>
          <t>KRONOBERGS LÄN</t>
        </is>
      </c>
      <c r="E3518" t="inlineStr">
        <is>
          <t>VÄXJÖ</t>
        </is>
      </c>
      <c r="G3518" t="n">
        <v>4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51202-2023</t>
        </is>
      </c>
      <c r="B3519" s="1" t="n">
        <v>45219.42969907408</v>
      </c>
      <c r="C3519" s="1" t="n">
        <v>45957</v>
      </c>
      <c r="D3519" t="inlineStr">
        <is>
          <t>KRONOBERGS LÄN</t>
        </is>
      </c>
      <c r="E3519" t="inlineStr">
        <is>
          <t>MARKARYD</t>
        </is>
      </c>
      <c r="G3519" t="n">
        <v>0.5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19601-2025</t>
        </is>
      </c>
      <c r="B3520" s="1" t="n">
        <v>45770</v>
      </c>
      <c r="C3520" s="1" t="n">
        <v>45957</v>
      </c>
      <c r="D3520" t="inlineStr">
        <is>
          <t>KRONOBERGS LÄN</t>
        </is>
      </c>
      <c r="E3520" t="inlineStr">
        <is>
          <t>UPPVIDINGE</t>
        </is>
      </c>
      <c r="G3520" t="n">
        <v>10.7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15281-2025</t>
        </is>
      </c>
      <c r="B3521" s="1" t="n">
        <v>45744.72803240741</v>
      </c>
      <c r="C3521" s="1" t="n">
        <v>45957</v>
      </c>
      <c r="D3521" t="inlineStr">
        <is>
          <t>KRONOBERGS LÄN</t>
        </is>
      </c>
      <c r="E3521" t="inlineStr">
        <is>
          <t>ALVESTA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30815-2025</t>
        </is>
      </c>
      <c r="B3522" s="1" t="n">
        <v>45831</v>
      </c>
      <c r="C3522" s="1" t="n">
        <v>45957</v>
      </c>
      <c r="D3522" t="inlineStr">
        <is>
          <t>KRONOBERGS LÄN</t>
        </is>
      </c>
      <c r="E3522" t="inlineStr">
        <is>
          <t>UPPVIDINGE</t>
        </is>
      </c>
      <c r="G3522" t="n">
        <v>2.2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15361-2025</t>
        </is>
      </c>
      <c r="B3523" s="1" t="n">
        <v>45747.39516203704</v>
      </c>
      <c r="C3523" s="1" t="n">
        <v>45957</v>
      </c>
      <c r="D3523" t="inlineStr">
        <is>
          <t>KRONOBERGS LÄN</t>
        </is>
      </c>
      <c r="E3523" t="inlineStr">
        <is>
          <t>LJUNGBY</t>
        </is>
      </c>
      <c r="F3523" t="inlineStr">
        <is>
          <t>Sveaskog</t>
        </is>
      </c>
      <c r="G3523" t="n">
        <v>6.5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49295-2025</t>
        </is>
      </c>
      <c r="B3524" s="1" t="n">
        <v>45938.53597222222</v>
      </c>
      <c r="C3524" s="1" t="n">
        <v>45957</v>
      </c>
      <c r="D3524" t="inlineStr">
        <is>
          <t>KRONOBERGS LÄN</t>
        </is>
      </c>
      <c r="E3524" t="inlineStr">
        <is>
          <t>LESSEBO</t>
        </is>
      </c>
      <c r="G3524" t="n">
        <v>7.4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40310-2025</t>
        </is>
      </c>
      <c r="B3525" s="1" t="n">
        <v>45895</v>
      </c>
      <c r="C3525" s="1" t="n">
        <v>45957</v>
      </c>
      <c r="D3525" t="inlineStr">
        <is>
          <t>KRONOBERGS LÄN</t>
        </is>
      </c>
      <c r="E3525" t="inlineStr">
        <is>
          <t>LJUNGBY</t>
        </is>
      </c>
      <c r="F3525" t="inlineStr">
        <is>
          <t>Sveaskog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40311-2025</t>
        </is>
      </c>
      <c r="B3526" s="1" t="n">
        <v>45895.41521990741</v>
      </c>
      <c r="C3526" s="1" t="n">
        <v>45957</v>
      </c>
      <c r="D3526" t="inlineStr">
        <is>
          <t>KRONOBERGS LÄN</t>
        </is>
      </c>
      <c r="E3526" t="inlineStr">
        <is>
          <t>LJUNGBY</t>
        </is>
      </c>
      <c r="F3526" t="inlineStr">
        <is>
          <t>Sveaskog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40320-2025</t>
        </is>
      </c>
      <c r="B3527" s="1" t="n">
        <v>45895</v>
      </c>
      <c r="C3527" s="1" t="n">
        <v>45957</v>
      </c>
      <c r="D3527" t="inlineStr">
        <is>
          <t>KRONOBERGS LÄN</t>
        </is>
      </c>
      <c r="E3527" t="inlineStr">
        <is>
          <t>LJUNGBY</t>
        </is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40307-2025</t>
        </is>
      </c>
      <c r="B3528" s="1" t="n">
        <v>45895.41074074074</v>
      </c>
      <c r="C3528" s="1" t="n">
        <v>45957</v>
      </c>
      <c r="D3528" t="inlineStr">
        <is>
          <t>KRONOBERGS LÄN</t>
        </is>
      </c>
      <c r="E3528" t="inlineStr">
        <is>
          <t>LJUNGBY</t>
        </is>
      </c>
      <c r="F3528" t="inlineStr">
        <is>
          <t>Sveaskog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40329-2025</t>
        </is>
      </c>
      <c r="B3529" s="1" t="n">
        <v>45895</v>
      </c>
      <c r="C3529" s="1" t="n">
        <v>45957</v>
      </c>
      <c r="D3529" t="inlineStr">
        <is>
          <t>KRONOBERGS LÄN</t>
        </is>
      </c>
      <c r="E3529" t="inlineStr">
        <is>
          <t>LJUNGBY</t>
        </is>
      </c>
      <c r="G3529" t="n">
        <v>0.4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11352-2023</t>
        </is>
      </c>
      <c r="B3530" s="1" t="n">
        <v>44993.38681712963</v>
      </c>
      <c r="C3530" s="1" t="n">
        <v>45957</v>
      </c>
      <c r="D3530" t="inlineStr">
        <is>
          <t>KRONOBERGS LÄN</t>
        </is>
      </c>
      <c r="E3530" t="inlineStr">
        <is>
          <t>TINGSRYD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62978-2023</t>
        </is>
      </c>
      <c r="B3531" s="1" t="n">
        <v>45272</v>
      </c>
      <c r="C3531" s="1" t="n">
        <v>45957</v>
      </c>
      <c r="D3531" t="inlineStr">
        <is>
          <t>KRONOBERGS LÄN</t>
        </is>
      </c>
      <c r="E3531" t="inlineStr">
        <is>
          <t>LJUNGBY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40164-2023</t>
        </is>
      </c>
      <c r="B3532" s="1" t="n">
        <v>45169.38462962963</v>
      </c>
      <c r="C3532" s="1" t="n">
        <v>45957</v>
      </c>
      <c r="D3532" t="inlineStr">
        <is>
          <t>KRONOBERGS LÄN</t>
        </is>
      </c>
      <c r="E3532" t="inlineStr">
        <is>
          <t>UPPVIDINGE</t>
        </is>
      </c>
      <c r="G3532" t="n">
        <v>2.2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44661-2023</t>
        </is>
      </c>
      <c r="B3533" s="1" t="n">
        <v>45189.70568287037</v>
      </c>
      <c r="C3533" s="1" t="n">
        <v>45957</v>
      </c>
      <c r="D3533" t="inlineStr">
        <is>
          <t>KRONOBERGS LÄN</t>
        </is>
      </c>
      <c r="E3533" t="inlineStr">
        <is>
          <t>VÄXJÖ</t>
        </is>
      </c>
      <c r="G3533" t="n">
        <v>3.8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44663-2023</t>
        </is>
      </c>
      <c r="B3534" s="1" t="n">
        <v>45189.71008101852</v>
      </c>
      <c r="C3534" s="1" t="n">
        <v>45957</v>
      </c>
      <c r="D3534" t="inlineStr">
        <is>
          <t>KRONOBERGS LÄN</t>
        </is>
      </c>
      <c r="E3534" t="inlineStr">
        <is>
          <t>VÄXJÖ</t>
        </is>
      </c>
      <c r="G3534" t="n">
        <v>0.6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19599-2025</t>
        </is>
      </c>
      <c r="B3535" s="1" t="n">
        <v>45770</v>
      </c>
      <c r="C3535" s="1" t="n">
        <v>45957</v>
      </c>
      <c r="D3535" t="inlineStr">
        <is>
          <t>KRONOBERGS LÄN</t>
        </is>
      </c>
      <c r="E3535" t="inlineStr">
        <is>
          <t>UPPVIDINGE</t>
        </is>
      </c>
      <c r="G3535" t="n">
        <v>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52843-2023</t>
        </is>
      </c>
      <c r="B3536" s="1" t="n">
        <v>45226.43175925926</v>
      </c>
      <c r="C3536" s="1" t="n">
        <v>45957</v>
      </c>
      <c r="D3536" t="inlineStr">
        <is>
          <t>KRONOBERGS LÄN</t>
        </is>
      </c>
      <c r="E3536" t="inlineStr">
        <is>
          <t>LJUNGBY</t>
        </is>
      </c>
      <c r="G3536" t="n">
        <v>3.6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40558-2025</t>
        </is>
      </c>
      <c r="B3537" s="1" t="n">
        <v>45896.45018518518</v>
      </c>
      <c r="C3537" s="1" t="n">
        <v>45957</v>
      </c>
      <c r="D3537" t="inlineStr">
        <is>
          <t>KRONOBERGS LÄN</t>
        </is>
      </c>
      <c r="E3537" t="inlineStr">
        <is>
          <t>VÄXJÖ</t>
        </is>
      </c>
      <c r="G3537" t="n">
        <v>3.6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51047-2023</t>
        </is>
      </c>
      <c r="B3538" s="1" t="n">
        <v>45218</v>
      </c>
      <c r="C3538" s="1" t="n">
        <v>45957</v>
      </c>
      <c r="D3538" t="inlineStr">
        <is>
          <t>KRONOBERGS LÄN</t>
        </is>
      </c>
      <c r="E3538" t="inlineStr">
        <is>
          <t>UPPVIDINGE</t>
        </is>
      </c>
      <c r="G3538" t="n">
        <v>1.5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48874-2025</t>
        </is>
      </c>
      <c r="B3539" s="1" t="n">
        <v>45937.45518518519</v>
      </c>
      <c r="C3539" s="1" t="n">
        <v>45957</v>
      </c>
      <c r="D3539" t="inlineStr">
        <is>
          <t>KRONOBERGS LÄN</t>
        </is>
      </c>
      <c r="E3539" t="inlineStr">
        <is>
          <t>TINGSRYD</t>
        </is>
      </c>
      <c r="G3539" t="n">
        <v>8.300000000000001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42994-2023</t>
        </is>
      </c>
      <c r="B3540" s="1" t="n">
        <v>45182</v>
      </c>
      <c r="C3540" s="1" t="n">
        <v>45957</v>
      </c>
      <c r="D3540" t="inlineStr">
        <is>
          <t>KRONOBERGS LÄN</t>
        </is>
      </c>
      <c r="E3540" t="inlineStr">
        <is>
          <t>TINGSRYD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9881-2025</t>
        </is>
      </c>
      <c r="B3541" s="1" t="n">
        <v>45716.65662037037</v>
      </c>
      <c r="C3541" s="1" t="n">
        <v>45957</v>
      </c>
      <c r="D3541" t="inlineStr">
        <is>
          <t>KRONOBERGS LÄN</t>
        </is>
      </c>
      <c r="E3541" t="inlineStr">
        <is>
          <t>ÄLMHULT</t>
        </is>
      </c>
      <c r="F3541" t="inlineStr">
        <is>
          <t>Sveaskog</t>
        </is>
      </c>
      <c r="G3541" t="n">
        <v>8.4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9883-2025</t>
        </is>
      </c>
      <c r="B3542" s="1" t="n">
        <v>45716.65777777778</v>
      </c>
      <c r="C3542" s="1" t="n">
        <v>45957</v>
      </c>
      <c r="D3542" t="inlineStr">
        <is>
          <t>KRONOBERGS LÄN</t>
        </is>
      </c>
      <c r="E3542" t="inlineStr">
        <is>
          <t>ÄLMHULT</t>
        </is>
      </c>
      <c r="F3542" t="inlineStr">
        <is>
          <t>Sveaskog</t>
        </is>
      </c>
      <c r="G3542" t="n">
        <v>0.3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13971-2025</t>
        </is>
      </c>
      <c r="B3543" s="1" t="n">
        <v>45738.63730324074</v>
      </c>
      <c r="C3543" s="1" t="n">
        <v>45957</v>
      </c>
      <c r="D3543" t="inlineStr">
        <is>
          <t>KRONOBERGS LÄN</t>
        </is>
      </c>
      <c r="E3543" t="inlineStr">
        <is>
          <t>ÄLMHULT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30835-2025</t>
        </is>
      </c>
      <c r="B3544" s="1" t="n">
        <v>45831.70327546296</v>
      </c>
      <c r="C3544" s="1" t="n">
        <v>45957</v>
      </c>
      <c r="D3544" t="inlineStr">
        <is>
          <t>KRONOBERGS LÄN</t>
        </is>
      </c>
      <c r="E3544" t="inlineStr">
        <is>
          <t>ÄLMHULT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12290-2025</t>
        </is>
      </c>
      <c r="B3545" s="1" t="n">
        <v>45729.67947916667</v>
      </c>
      <c r="C3545" s="1" t="n">
        <v>45957</v>
      </c>
      <c r="D3545" t="inlineStr">
        <is>
          <t>KRONOBERGS LÄN</t>
        </is>
      </c>
      <c r="E3545" t="inlineStr">
        <is>
          <t>UPPVIDINGE</t>
        </is>
      </c>
      <c r="G3545" t="n">
        <v>5.6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19143-2025</t>
        </is>
      </c>
      <c r="B3546" s="1" t="n">
        <v>45769.33756944445</v>
      </c>
      <c r="C3546" s="1" t="n">
        <v>45957</v>
      </c>
      <c r="D3546" t="inlineStr">
        <is>
          <t>KRONOBERGS LÄN</t>
        </is>
      </c>
      <c r="E3546" t="inlineStr">
        <is>
          <t>LJUNGBY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30857-2025</t>
        </is>
      </c>
      <c r="B3547" s="1" t="n">
        <v>45831</v>
      </c>
      <c r="C3547" s="1" t="n">
        <v>45957</v>
      </c>
      <c r="D3547" t="inlineStr">
        <is>
          <t>KRONOBERGS LÄN</t>
        </is>
      </c>
      <c r="E3547" t="inlineStr">
        <is>
          <t>LJUNGBY</t>
        </is>
      </c>
      <c r="G3547" t="n">
        <v>2.3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30862-2025</t>
        </is>
      </c>
      <c r="B3548" s="1" t="n">
        <v>45832.28081018518</v>
      </c>
      <c r="C3548" s="1" t="n">
        <v>45957</v>
      </c>
      <c r="D3548" t="inlineStr">
        <is>
          <t>KRONOBERGS LÄN</t>
        </is>
      </c>
      <c r="E3548" t="inlineStr">
        <is>
          <t>LJUNGBY</t>
        </is>
      </c>
      <c r="G3548" t="n">
        <v>13.7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12939-2022</t>
        </is>
      </c>
      <c r="B3549" s="1" t="n">
        <v>44642.83407407408</v>
      </c>
      <c r="C3549" s="1" t="n">
        <v>45957</v>
      </c>
      <c r="D3549" t="inlineStr">
        <is>
          <t>KRONOBERGS LÄN</t>
        </is>
      </c>
      <c r="E3549" t="inlineStr">
        <is>
          <t>LJUNGBY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41043-2025</t>
        </is>
      </c>
      <c r="B3550" s="1" t="n">
        <v>45898.39543981481</v>
      </c>
      <c r="C3550" s="1" t="n">
        <v>45957</v>
      </c>
      <c r="D3550" t="inlineStr">
        <is>
          <t>KRONOBERGS LÄN</t>
        </is>
      </c>
      <c r="E3550" t="inlineStr">
        <is>
          <t>UPPVIDINGE</t>
        </is>
      </c>
      <c r="G3550" t="n">
        <v>7.3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7935-2025</t>
        </is>
      </c>
      <c r="B3551" s="1" t="n">
        <v>45707</v>
      </c>
      <c r="C3551" s="1" t="n">
        <v>45957</v>
      </c>
      <c r="D3551" t="inlineStr">
        <is>
          <t>KRONOBERGS LÄN</t>
        </is>
      </c>
      <c r="E3551" t="inlineStr">
        <is>
          <t>MARKARYD</t>
        </is>
      </c>
      <c r="G3551" t="n">
        <v>5.6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30538-2025</t>
        </is>
      </c>
      <c r="B3552" s="1" t="n">
        <v>45831.36892361111</v>
      </c>
      <c r="C3552" s="1" t="n">
        <v>45957</v>
      </c>
      <c r="D3552" t="inlineStr">
        <is>
          <t>KRONOBERGS LÄN</t>
        </is>
      </c>
      <c r="E3552" t="inlineStr">
        <is>
          <t>LJUNGBY</t>
        </is>
      </c>
      <c r="G3552" t="n">
        <v>0.7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40984-2025</t>
        </is>
      </c>
      <c r="B3553" s="1" t="n">
        <v>45898.30145833334</v>
      </c>
      <c r="C3553" s="1" t="n">
        <v>45957</v>
      </c>
      <c r="D3553" t="inlineStr">
        <is>
          <t>KRONOBERGS LÄN</t>
        </is>
      </c>
      <c r="E3553" t="inlineStr">
        <is>
          <t>TINGSRYD</t>
        </is>
      </c>
      <c r="G3553" t="n">
        <v>1.6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40660-2023</t>
        </is>
      </c>
      <c r="B3554" s="1" t="n">
        <v>45170.58003472222</v>
      </c>
      <c r="C3554" s="1" t="n">
        <v>45957</v>
      </c>
      <c r="D3554" t="inlineStr">
        <is>
          <t>KRONOBERGS LÄN</t>
        </is>
      </c>
      <c r="E3554" t="inlineStr">
        <is>
          <t>ÄLMHULT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30983-2025</t>
        </is>
      </c>
      <c r="B3555" s="1" t="n">
        <v>45832.47321759259</v>
      </c>
      <c r="C3555" s="1" t="n">
        <v>45957</v>
      </c>
      <c r="D3555" t="inlineStr">
        <is>
          <t>KRONOBERGS LÄN</t>
        </is>
      </c>
      <c r="E3555" t="inlineStr">
        <is>
          <t>UPPVIDINGE</t>
        </is>
      </c>
      <c r="F3555" t="inlineStr">
        <is>
          <t>Sveaskog</t>
        </is>
      </c>
      <c r="G3555" t="n">
        <v>0.8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30547-2025</t>
        </is>
      </c>
      <c r="B3556" s="1" t="n">
        <v>45831.37613425926</v>
      </c>
      <c r="C3556" s="1" t="n">
        <v>45957</v>
      </c>
      <c r="D3556" t="inlineStr">
        <is>
          <t>KRONOBERGS LÄN</t>
        </is>
      </c>
      <c r="E3556" t="inlineStr">
        <is>
          <t>UPPVIDINGE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7989-2022</t>
        </is>
      </c>
      <c r="B3557" s="1" t="n">
        <v>44609</v>
      </c>
      <c r="C3557" s="1" t="n">
        <v>45957</v>
      </c>
      <c r="D3557" t="inlineStr">
        <is>
          <t>KRONOBERGS LÄN</t>
        </is>
      </c>
      <c r="E3557" t="inlineStr">
        <is>
          <t>TINGSRYD</t>
        </is>
      </c>
      <c r="F3557" t="inlineStr">
        <is>
          <t>Kommuner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51175-2023</t>
        </is>
      </c>
      <c r="B3558" s="1" t="n">
        <v>45219.38962962963</v>
      </c>
      <c r="C3558" s="1" t="n">
        <v>45957</v>
      </c>
      <c r="D3558" t="inlineStr">
        <is>
          <t>KRONOBERGS LÄN</t>
        </is>
      </c>
      <c r="E3558" t="inlineStr">
        <is>
          <t>LESSEBO</t>
        </is>
      </c>
      <c r="G3558" t="n">
        <v>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30523-2025</t>
        </is>
      </c>
      <c r="B3559" s="1" t="n">
        <v>45831.35077546296</v>
      </c>
      <c r="C3559" s="1" t="n">
        <v>45957</v>
      </c>
      <c r="D3559" t="inlineStr">
        <is>
          <t>KRONOBERGS LÄN</t>
        </is>
      </c>
      <c r="E3559" t="inlineStr">
        <is>
          <t>LJUNGBY</t>
        </is>
      </c>
      <c r="G3559" t="n">
        <v>0.5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30521-2025</t>
        </is>
      </c>
      <c r="B3560" s="1" t="n">
        <v>45831.34712962963</v>
      </c>
      <c r="C3560" s="1" t="n">
        <v>45957</v>
      </c>
      <c r="D3560" t="inlineStr">
        <is>
          <t>KRONOBERGS LÄN</t>
        </is>
      </c>
      <c r="E3560" t="inlineStr">
        <is>
          <t>LJUNGBY</t>
        </is>
      </c>
      <c r="G3560" t="n">
        <v>1.5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10929-2025</t>
        </is>
      </c>
      <c r="B3561" s="1" t="n">
        <v>45722.95646990741</v>
      </c>
      <c r="C3561" s="1" t="n">
        <v>45957</v>
      </c>
      <c r="D3561" t="inlineStr">
        <is>
          <t>KRONOBERGS LÄN</t>
        </is>
      </c>
      <c r="E3561" t="inlineStr">
        <is>
          <t>VÄXJÖ</t>
        </is>
      </c>
      <c r="G3561" t="n">
        <v>1.4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40875-2025</t>
        </is>
      </c>
      <c r="B3562" s="1" t="n">
        <v>45897.57736111111</v>
      </c>
      <c r="C3562" s="1" t="n">
        <v>45957</v>
      </c>
      <c r="D3562" t="inlineStr">
        <is>
          <t>KRONOBERGS LÄN</t>
        </is>
      </c>
      <c r="E3562" t="inlineStr">
        <is>
          <t>VÄXJÖ</t>
        </is>
      </c>
      <c r="F3562" t="inlineStr">
        <is>
          <t>Sveaskog</t>
        </is>
      </c>
      <c r="G3562" t="n">
        <v>1.7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49852-2025</t>
        </is>
      </c>
      <c r="B3563" s="1" t="n">
        <v>45940.49800925926</v>
      </c>
      <c r="C3563" s="1" t="n">
        <v>45957</v>
      </c>
      <c r="D3563" t="inlineStr">
        <is>
          <t>KRONOBERGS LÄN</t>
        </is>
      </c>
      <c r="E3563" t="inlineStr">
        <is>
          <t>UPPVIDINGE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30771-2025</t>
        </is>
      </c>
      <c r="B3564" s="1" t="n">
        <v>45831.61278935185</v>
      </c>
      <c r="C3564" s="1" t="n">
        <v>45957</v>
      </c>
      <c r="D3564" t="inlineStr">
        <is>
          <t>KRONOBERGS LÄN</t>
        </is>
      </c>
      <c r="E3564" t="inlineStr">
        <is>
          <t>LESSEBO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30842-2025</t>
        </is>
      </c>
      <c r="B3565" s="1" t="n">
        <v>45831.75487268518</v>
      </c>
      <c r="C3565" s="1" t="n">
        <v>45957</v>
      </c>
      <c r="D3565" t="inlineStr">
        <is>
          <t>KRONOBERGS LÄN</t>
        </is>
      </c>
      <c r="E3565" t="inlineStr">
        <is>
          <t>TINGSRYD</t>
        </is>
      </c>
      <c r="G3565" t="n">
        <v>1.4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23632-2023</t>
        </is>
      </c>
      <c r="B3566" s="1" t="n">
        <v>45077.50006944445</v>
      </c>
      <c r="C3566" s="1" t="n">
        <v>45957</v>
      </c>
      <c r="D3566" t="inlineStr">
        <is>
          <t>KRONOBERGS LÄN</t>
        </is>
      </c>
      <c r="E3566" t="inlineStr">
        <is>
          <t>TINGSRYD</t>
        </is>
      </c>
      <c r="G3566" t="n">
        <v>5.8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69454-2021</t>
        </is>
      </c>
      <c r="B3567" s="1" t="n">
        <v>44531.66638888889</v>
      </c>
      <c r="C3567" s="1" t="n">
        <v>45957</v>
      </c>
      <c r="D3567" t="inlineStr">
        <is>
          <t>KRONOBERGS LÄN</t>
        </is>
      </c>
      <c r="E3567" t="inlineStr">
        <is>
          <t>ÄLMHULT</t>
        </is>
      </c>
      <c r="G3567" t="n">
        <v>3.4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30533-2025</t>
        </is>
      </c>
      <c r="B3568" s="1" t="n">
        <v>45831.36230324074</v>
      </c>
      <c r="C3568" s="1" t="n">
        <v>45957</v>
      </c>
      <c r="D3568" t="inlineStr">
        <is>
          <t>KRONOBERGS LÄN</t>
        </is>
      </c>
      <c r="E3568" t="inlineStr">
        <is>
          <t>UPPVIDINGE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31047-2025</t>
        </is>
      </c>
      <c r="B3569" s="1" t="n">
        <v>45832.55674768519</v>
      </c>
      <c r="C3569" s="1" t="n">
        <v>45957</v>
      </c>
      <c r="D3569" t="inlineStr">
        <is>
          <t>KRONOBERGS LÄN</t>
        </is>
      </c>
      <c r="E3569" t="inlineStr">
        <is>
          <t>TINGSRYD</t>
        </is>
      </c>
      <c r="G3569" t="n">
        <v>0.7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11997-2021</t>
        </is>
      </c>
      <c r="B3570" s="1" t="n">
        <v>44266.43513888889</v>
      </c>
      <c r="C3570" s="1" t="n">
        <v>45957</v>
      </c>
      <c r="D3570" t="inlineStr">
        <is>
          <t>KRONOBERGS LÄN</t>
        </is>
      </c>
      <c r="E3570" t="inlineStr">
        <is>
          <t>TINGSRYD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31002-2025</t>
        </is>
      </c>
      <c r="B3571" s="1" t="n">
        <v>45832.49506944444</v>
      </c>
      <c r="C3571" s="1" t="n">
        <v>45957</v>
      </c>
      <c r="D3571" t="inlineStr">
        <is>
          <t>KRONOBERGS LÄN</t>
        </is>
      </c>
      <c r="E3571" t="inlineStr">
        <is>
          <t>TINGSRYD</t>
        </is>
      </c>
      <c r="G3571" t="n">
        <v>5.8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5762-2023</t>
        </is>
      </c>
      <c r="B3572" s="1" t="n">
        <v>44963</v>
      </c>
      <c r="C3572" s="1" t="n">
        <v>45957</v>
      </c>
      <c r="D3572" t="inlineStr">
        <is>
          <t>KRONOBERGS LÄN</t>
        </is>
      </c>
      <c r="E3572" t="inlineStr">
        <is>
          <t>VÄXJÖ</t>
        </is>
      </c>
      <c r="G3572" t="n">
        <v>2.1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49917-2025</t>
        </is>
      </c>
      <c r="B3573" s="1" t="n">
        <v>45940.62878472222</v>
      </c>
      <c r="C3573" s="1" t="n">
        <v>45957</v>
      </c>
      <c r="D3573" t="inlineStr">
        <is>
          <t>KRONOBERGS LÄN</t>
        </is>
      </c>
      <c r="E3573" t="inlineStr">
        <is>
          <t>ALVESTA</t>
        </is>
      </c>
      <c r="G3573" t="n">
        <v>1.4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10804-2021</t>
        </is>
      </c>
      <c r="B3574" s="1" t="n">
        <v>44259.48413194445</v>
      </c>
      <c r="C3574" s="1" t="n">
        <v>45957</v>
      </c>
      <c r="D3574" t="inlineStr">
        <is>
          <t>KRONOBERGS LÄN</t>
        </is>
      </c>
      <c r="E3574" t="inlineStr">
        <is>
          <t>VÄXJÖ</t>
        </is>
      </c>
      <c r="G3574" t="n">
        <v>2.7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25626-2024</t>
        </is>
      </c>
      <c r="B3575" s="1" t="n">
        <v>45463.64552083334</v>
      </c>
      <c r="C3575" s="1" t="n">
        <v>45957</v>
      </c>
      <c r="D3575" t="inlineStr">
        <is>
          <t>KRONOBERGS LÄN</t>
        </is>
      </c>
      <c r="E3575" t="inlineStr">
        <is>
          <t>VÄXJÖ</t>
        </is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31069-2025</t>
        </is>
      </c>
      <c r="B3576" s="1" t="n">
        <v>45832.57881944445</v>
      </c>
      <c r="C3576" s="1" t="n">
        <v>45957</v>
      </c>
      <c r="D3576" t="inlineStr">
        <is>
          <t>KRONOBERGS LÄN</t>
        </is>
      </c>
      <c r="E3576" t="inlineStr">
        <is>
          <t>ÄLMHULT</t>
        </is>
      </c>
      <c r="G3576" t="n">
        <v>3.1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11422-2024</t>
        </is>
      </c>
      <c r="B3577" s="1" t="n">
        <v>45372.49458333333</v>
      </c>
      <c r="C3577" s="1" t="n">
        <v>45957</v>
      </c>
      <c r="D3577" t="inlineStr">
        <is>
          <t>KRONOBERGS LÄN</t>
        </is>
      </c>
      <c r="E3577" t="inlineStr">
        <is>
          <t>UPPVIDINGE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6188-2021</t>
        </is>
      </c>
      <c r="B3578" s="1" t="n">
        <v>44234</v>
      </c>
      <c r="C3578" s="1" t="n">
        <v>45957</v>
      </c>
      <c r="D3578" t="inlineStr">
        <is>
          <t>KRONOBERGS LÄN</t>
        </is>
      </c>
      <c r="E3578" t="inlineStr">
        <is>
          <t>ÄLMHULT</t>
        </is>
      </c>
      <c r="G3578" t="n">
        <v>8.5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40950-2025</t>
        </is>
      </c>
      <c r="B3579" s="1" t="n">
        <v>45897</v>
      </c>
      <c r="C3579" s="1" t="n">
        <v>45957</v>
      </c>
      <c r="D3579" t="inlineStr">
        <is>
          <t>KRONOBERGS LÄN</t>
        </is>
      </c>
      <c r="E3579" t="inlineStr">
        <is>
          <t>UPPVIDINGE</t>
        </is>
      </c>
      <c r="G3579" t="n">
        <v>3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49832-2025</t>
        </is>
      </c>
      <c r="B3580" s="1" t="n">
        <v>45940.45752314815</v>
      </c>
      <c r="C3580" s="1" t="n">
        <v>45957</v>
      </c>
      <c r="D3580" t="inlineStr">
        <is>
          <t>KRONOBERGS LÄN</t>
        </is>
      </c>
      <c r="E3580" t="inlineStr">
        <is>
          <t>LJUNGBY</t>
        </is>
      </c>
      <c r="G3580" t="n">
        <v>3.1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30545-2025</t>
        </is>
      </c>
      <c r="B3581" s="1" t="n">
        <v>45831.37420138889</v>
      </c>
      <c r="C3581" s="1" t="n">
        <v>45957</v>
      </c>
      <c r="D3581" t="inlineStr">
        <is>
          <t>KRONOBERGS LÄN</t>
        </is>
      </c>
      <c r="E3581" t="inlineStr">
        <is>
          <t>UPPVIDINGE</t>
        </is>
      </c>
      <c r="G3581" t="n">
        <v>3.7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49734-2025</t>
        </is>
      </c>
      <c r="B3582" s="1" t="n">
        <v>45940.00979166666</v>
      </c>
      <c r="C3582" s="1" t="n">
        <v>45957</v>
      </c>
      <c r="D3582" t="inlineStr">
        <is>
          <t>KRONOBERGS LÄN</t>
        </is>
      </c>
      <c r="E3582" t="inlineStr">
        <is>
          <t>TINGSRYD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3810-2022</t>
        </is>
      </c>
      <c r="B3583" s="1" t="n">
        <v>44587</v>
      </c>
      <c r="C3583" s="1" t="n">
        <v>45957</v>
      </c>
      <c r="D3583" t="inlineStr">
        <is>
          <t>KRONOBERGS LÄN</t>
        </is>
      </c>
      <c r="E3583" t="inlineStr">
        <is>
          <t>ÄLMHULT</t>
        </is>
      </c>
      <c r="G3583" t="n">
        <v>5.5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30801-2025</t>
        </is>
      </c>
      <c r="B3584" s="1" t="n">
        <v>45831</v>
      </c>
      <c r="C3584" s="1" t="n">
        <v>45957</v>
      </c>
      <c r="D3584" t="inlineStr">
        <is>
          <t>KRONOBERGS LÄN</t>
        </is>
      </c>
      <c r="E3584" t="inlineStr">
        <is>
          <t>ÄLMHULT</t>
        </is>
      </c>
      <c r="G3584" t="n">
        <v>2.6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49833-2025</t>
        </is>
      </c>
      <c r="B3585" s="1" t="n">
        <v>45940.45927083334</v>
      </c>
      <c r="C3585" s="1" t="n">
        <v>45957</v>
      </c>
      <c r="D3585" t="inlineStr">
        <is>
          <t>KRONOBERGS LÄN</t>
        </is>
      </c>
      <c r="E3585" t="inlineStr">
        <is>
          <t>LJUNGBY</t>
        </is>
      </c>
      <c r="G3585" t="n">
        <v>0.9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30529-2025</t>
        </is>
      </c>
      <c r="B3586" s="1" t="n">
        <v>45831.36045138889</v>
      </c>
      <c r="C3586" s="1" t="n">
        <v>45957</v>
      </c>
      <c r="D3586" t="inlineStr">
        <is>
          <t>KRONOBERGS LÄN</t>
        </is>
      </c>
      <c r="E3586" t="inlineStr">
        <is>
          <t>LJUNGBY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56818-2024</t>
        </is>
      </c>
      <c r="B3587" s="1" t="n">
        <v>45628.48590277778</v>
      </c>
      <c r="C3587" s="1" t="n">
        <v>45957</v>
      </c>
      <c r="D3587" t="inlineStr">
        <is>
          <t>KRONOBERGS LÄN</t>
        </is>
      </c>
      <c r="E3587" t="inlineStr">
        <is>
          <t>LJUNGBY</t>
        </is>
      </c>
      <c r="G3587" t="n">
        <v>0.6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4442-2025</t>
        </is>
      </c>
      <c r="B3588" s="1" t="n">
        <v>45686.54246527778</v>
      </c>
      <c r="C3588" s="1" t="n">
        <v>45957</v>
      </c>
      <c r="D3588" t="inlineStr">
        <is>
          <t>KRONOBERGS LÄN</t>
        </is>
      </c>
      <c r="E3588" t="inlineStr">
        <is>
          <t>LJUNGBY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49250-2021</t>
        </is>
      </c>
      <c r="B3589" s="1" t="n">
        <v>44454</v>
      </c>
      <c r="C3589" s="1" t="n">
        <v>45957</v>
      </c>
      <c r="D3589" t="inlineStr">
        <is>
          <t>KRONOBERGS LÄN</t>
        </is>
      </c>
      <c r="E3589" t="inlineStr">
        <is>
          <t>TINGSRYD</t>
        </is>
      </c>
      <c r="G3589" t="n">
        <v>2.3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30527-2025</t>
        </is>
      </c>
      <c r="B3590" s="1" t="n">
        <v>45831.35900462963</v>
      </c>
      <c r="C3590" s="1" t="n">
        <v>45957</v>
      </c>
      <c r="D3590" t="inlineStr">
        <is>
          <t>KRONOBERGS LÄN</t>
        </is>
      </c>
      <c r="E3590" t="inlineStr">
        <is>
          <t>LESSEBO</t>
        </is>
      </c>
      <c r="G3590" t="n">
        <v>1.1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30818-2025</t>
        </is>
      </c>
      <c r="B3591" s="1" t="n">
        <v>45831.66119212963</v>
      </c>
      <c r="C3591" s="1" t="n">
        <v>45957</v>
      </c>
      <c r="D3591" t="inlineStr">
        <is>
          <t>KRONOBERGS LÄN</t>
        </is>
      </c>
      <c r="E3591" t="inlineStr">
        <is>
          <t>ÄLMHULT</t>
        </is>
      </c>
      <c r="G3591" t="n">
        <v>3.3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17684-2024</t>
        </is>
      </c>
      <c r="B3592" s="1" t="n">
        <v>45418.43135416666</v>
      </c>
      <c r="C3592" s="1" t="n">
        <v>45957</v>
      </c>
      <c r="D3592" t="inlineStr">
        <is>
          <t>KRONOBERGS LÄN</t>
        </is>
      </c>
      <c r="E3592" t="inlineStr">
        <is>
          <t>MARKARYD</t>
        </is>
      </c>
      <c r="G3592" t="n">
        <v>1.3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41129-2025</t>
        </is>
      </c>
      <c r="B3593" s="1" t="n">
        <v>45898.47987268519</v>
      </c>
      <c r="C3593" s="1" t="n">
        <v>45957</v>
      </c>
      <c r="D3593" t="inlineStr">
        <is>
          <t>KRONOBERGS LÄN</t>
        </is>
      </c>
      <c r="E3593" t="inlineStr">
        <is>
          <t>ÄLMHULT</t>
        </is>
      </c>
      <c r="G3593" t="n">
        <v>1.3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41146-2025</t>
        </is>
      </c>
      <c r="B3594" s="1" t="n">
        <v>45898.49733796297</v>
      </c>
      <c r="C3594" s="1" t="n">
        <v>45957</v>
      </c>
      <c r="D3594" t="inlineStr">
        <is>
          <t>KRONOBERGS LÄN</t>
        </is>
      </c>
      <c r="E3594" t="inlineStr">
        <is>
          <t>LJUNGBY</t>
        </is>
      </c>
      <c r="G3594" t="n">
        <v>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16810-2022</t>
        </is>
      </c>
      <c r="B3595" s="1" t="n">
        <v>44673.64371527778</v>
      </c>
      <c r="C3595" s="1" t="n">
        <v>45957</v>
      </c>
      <c r="D3595" t="inlineStr">
        <is>
          <t>KRONOBERGS LÄN</t>
        </is>
      </c>
      <c r="E3595" t="inlineStr">
        <is>
          <t>TINGSRYD</t>
        </is>
      </c>
      <c r="G3595" t="n">
        <v>2.6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5036-2022</t>
        </is>
      </c>
      <c r="B3596" s="1" t="n">
        <v>44593</v>
      </c>
      <c r="C3596" s="1" t="n">
        <v>45957</v>
      </c>
      <c r="D3596" t="inlineStr">
        <is>
          <t>KRONOBERGS LÄN</t>
        </is>
      </c>
      <c r="E3596" t="inlineStr">
        <is>
          <t>UPPVIDINGE</t>
        </is>
      </c>
      <c r="G3596" t="n">
        <v>9.6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46076-2023</t>
        </is>
      </c>
      <c r="B3597" s="1" t="n">
        <v>45196.47457175926</v>
      </c>
      <c r="C3597" s="1" t="n">
        <v>45957</v>
      </c>
      <c r="D3597" t="inlineStr">
        <is>
          <t>KRONOBERGS LÄN</t>
        </is>
      </c>
      <c r="E3597" t="inlineStr">
        <is>
          <t>UPPVIDINGE</t>
        </is>
      </c>
      <c r="G3597" t="n">
        <v>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30627-2025</t>
        </is>
      </c>
      <c r="B3598" s="1" t="n">
        <v>45831.47402777777</v>
      </c>
      <c r="C3598" s="1" t="n">
        <v>45957</v>
      </c>
      <c r="D3598" t="inlineStr">
        <is>
          <t>KRONOBERGS LÄN</t>
        </is>
      </c>
      <c r="E3598" t="inlineStr">
        <is>
          <t>VÄXJÖ</t>
        </is>
      </c>
      <c r="G3598" t="n">
        <v>1.8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5346-2021</t>
        </is>
      </c>
      <c r="B3599" s="1" t="n">
        <v>44229</v>
      </c>
      <c r="C3599" s="1" t="n">
        <v>45957</v>
      </c>
      <c r="D3599" t="inlineStr">
        <is>
          <t>KRONOBERGS LÄN</t>
        </is>
      </c>
      <c r="E3599" t="inlineStr">
        <is>
          <t>MARKARYD</t>
        </is>
      </c>
      <c r="G3599" t="n">
        <v>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25010-2023</t>
        </is>
      </c>
      <c r="B3600" s="1" t="n">
        <v>45085.68162037037</v>
      </c>
      <c r="C3600" s="1" t="n">
        <v>45957</v>
      </c>
      <c r="D3600" t="inlineStr">
        <is>
          <t>KRONOBERGS LÄN</t>
        </is>
      </c>
      <c r="E3600" t="inlineStr">
        <is>
          <t>TINGSRYD</t>
        </is>
      </c>
      <c r="G3600" t="n">
        <v>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30683-2025</t>
        </is>
      </c>
      <c r="B3601" s="1" t="n">
        <v>45831.53054398148</v>
      </c>
      <c r="C3601" s="1" t="n">
        <v>45957</v>
      </c>
      <c r="D3601" t="inlineStr">
        <is>
          <t>KRONOBERGS LÄN</t>
        </is>
      </c>
      <c r="E3601" t="inlineStr">
        <is>
          <t>VÄXJÖ</t>
        </is>
      </c>
      <c r="G3601" t="n">
        <v>3.2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30720-2025</t>
        </is>
      </c>
      <c r="B3602" s="1" t="n">
        <v>45831.56630787037</v>
      </c>
      <c r="C3602" s="1" t="n">
        <v>45957</v>
      </c>
      <c r="D3602" t="inlineStr">
        <is>
          <t>KRONOBERGS LÄN</t>
        </is>
      </c>
      <c r="E3602" t="inlineStr">
        <is>
          <t>LJUNGBY</t>
        </is>
      </c>
      <c r="G3602" t="n">
        <v>1.6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5629-2023</t>
        </is>
      </c>
      <c r="B3603" s="1" t="n">
        <v>44960.58287037037</v>
      </c>
      <c r="C3603" s="1" t="n">
        <v>45957</v>
      </c>
      <c r="D3603" t="inlineStr">
        <is>
          <t>KRONOBERGS LÄN</t>
        </is>
      </c>
      <c r="E3603" t="inlineStr">
        <is>
          <t>VÄXJÖ</t>
        </is>
      </c>
      <c r="G3603" t="n">
        <v>0.8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3203-2023</t>
        </is>
      </c>
      <c r="B3604" s="1" t="n">
        <v>44946.62486111111</v>
      </c>
      <c r="C3604" s="1" t="n">
        <v>45957</v>
      </c>
      <c r="D3604" t="inlineStr">
        <is>
          <t>KRONOBERGS LÄN</t>
        </is>
      </c>
      <c r="E3604" t="inlineStr">
        <is>
          <t>LJUNGBY</t>
        </is>
      </c>
      <c r="F3604" t="inlineStr">
        <is>
          <t>Kommuner</t>
        </is>
      </c>
      <c r="G3604" t="n">
        <v>2.3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16259-2021</t>
        </is>
      </c>
      <c r="B3605" s="1" t="n">
        <v>44292.58516203704</v>
      </c>
      <c r="C3605" s="1" t="n">
        <v>45957</v>
      </c>
      <c r="D3605" t="inlineStr">
        <is>
          <t>KRONOBERGS LÄN</t>
        </is>
      </c>
      <c r="E3605" t="inlineStr">
        <is>
          <t>ÄLMHULT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21201-2023</t>
        </is>
      </c>
      <c r="B3606" s="1" t="n">
        <v>45062.49423611111</v>
      </c>
      <c r="C3606" s="1" t="n">
        <v>45957</v>
      </c>
      <c r="D3606" t="inlineStr">
        <is>
          <t>KRONOBERGS LÄN</t>
        </is>
      </c>
      <c r="E3606" t="inlineStr">
        <is>
          <t>ÄLMHULT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49921-2025</t>
        </is>
      </c>
      <c r="B3607" s="1" t="n">
        <v>45940.63652777778</v>
      </c>
      <c r="C3607" s="1" t="n">
        <v>45957</v>
      </c>
      <c r="D3607" t="inlineStr">
        <is>
          <t>KRONOBERGS LÄN</t>
        </is>
      </c>
      <c r="E3607" t="inlineStr">
        <is>
          <t>ALVESTA</t>
        </is>
      </c>
      <c r="G3607" t="n">
        <v>2.1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30522-2025</t>
        </is>
      </c>
      <c r="B3608" s="1" t="n">
        <v>45831.34858796297</v>
      </c>
      <c r="C3608" s="1" t="n">
        <v>45957</v>
      </c>
      <c r="D3608" t="inlineStr">
        <is>
          <t>KRONOBERGS LÄN</t>
        </is>
      </c>
      <c r="E3608" t="inlineStr">
        <is>
          <t>LESSEBO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48996-2024</t>
        </is>
      </c>
      <c r="B3609" s="1" t="n">
        <v>45594.49064814814</v>
      </c>
      <c r="C3609" s="1" t="n">
        <v>45957</v>
      </c>
      <c r="D3609" t="inlineStr">
        <is>
          <t>KRONOBERGS LÄN</t>
        </is>
      </c>
      <c r="E3609" t="inlineStr">
        <is>
          <t>VÄXJÖ</t>
        </is>
      </c>
      <c r="F3609" t="inlineStr">
        <is>
          <t>Sveaskog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49002-2024</t>
        </is>
      </c>
      <c r="B3610" s="1" t="n">
        <v>45594.49494212963</v>
      </c>
      <c r="C3610" s="1" t="n">
        <v>45957</v>
      </c>
      <c r="D3610" t="inlineStr">
        <is>
          <t>KRONOBERGS LÄN</t>
        </is>
      </c>
      <c r="E3610" t="inlineStr">
        <is>
          <t>VÄXJÖ</t>
        </is>
      </c>
      <c r="F3610" t="inlineStr">
        <is>
          <t>Sveaskog</t>
        </is>
      </c>
      <c r="G3610" t="n">
        <v>0.9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49004-2024</t>
        </is>
      </c>
      <c r="B3611" s="1" t="n">
        <v>45594.49597222222</v>
      </c>
      <c r="C3611" s="1" t="n">
        <v>45957</v>
      </c>
      <c r="D3611" t="inlineStr">
        <is>
          <t>KRONOBERGS LÄN</t>
        </is>
      </c>
      <c r="E3611" t="inlineStr">
        <is>
          <t>VÄXJÖ</t>
        </is>
      </c>
      <c r="F3611" t="inlineStr">
        <is>
          <t>Sveaskog</t>
        </is>
      </c>
      <c r="G3611" t="n">
        <v>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49007-2024</t>
        </is>
      </c>
      <c r="B3612" s="1" t="n">
        <v>45594.49865740741</v>
      </c>
      <c r="C3612" s="1" t="n">
        <v>45957</v>
      </c>
      <c r="D3612" t="inlineStr">
        <is>
          <t>KRONOBERGS LÄN</t>
        </is>
      </c>
      <c r="E3612" t="inlineStr">
        <is>
          <t>VÄXJÖ</t>
        </is>
      </c>
      <c r="F3612" t="inlineStr">
        <is>
          <t>Sveaskog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49017-2024</t>
        </is>
      </c>
      <c r="B3613" s="1" t="n">
        <v>45594.50804398148</v>
      </c>
      <c r="C3613" s="1" t="n">
        <v>45957</v>
      </c>
      <c r="D3613" t="inlineStr">
        <is>
          <t>KRONOBERGS LÄN</t>
        </is>
      </c>
      <c r="E3613" t="inlineStr">
        <is>
          <t>VÄXJÖ</t>
        </is>
      </c>
      <c r="F3613" t="inlineStr">
        <is>
          <t>Sveaskog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49021-2024</t>
        </is>
      </c>
      <c r="B3614" s="1" t="n">
        <v>45594.5128587963</v>
      </c>
      <c r="C3614" s="1" t="n">
        <v>45957</v>
      </c>
      <c r="D3614" t="inlineStr">
        <is>
          <t>KRONOBERGS LÄN</t>
        </is>
      </c>
      <c r="E3614" t="inlineStr">
        <is>
          <t>VÄXJÖ</t>
        </is>
      </c>
      <c r="F3614" t="inlineStr">
        <is>
          <t>Sveaskog</t>
        </is>
      </c>
      <c r="G3614" t="n">
        <v>3.6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49022-2024</t>
        </is>
      </c>
      <c r="B3615" s="1" t="n">
        <v>45594.51395833334</v>
      </c>
      <c r="C3615" s="1" t="n">
        <v>45957</v>
      </c>
      <c r="D3615" t="inlineStr">
        <is>
          <t>KRONOBERGS LÄN</t>
        </is>
      </c>
      <c r="E3615" t="inlineStr">
        <is>
          <t>VÄXJÖ</t>
        </is>
      </c>
      <c r="F3615" t="inlineStr">
        <is>
          <t>Sveaskog</t>
        </is>
      </c>
      <c r="G3615" t="n">
        <v>0.8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31094-2025</t>
        </is>
      </c>
      <c r="B3616" s="1" t="n">
        <v>45831</v>
      </c>
      <c r="C3616" s="1" t="n">
        <v>45957</v>
      </c>
      <c r="D3616" t="inlineStr">
        <is>
          <t>KRONOBERGS LÄN</t>
        </is>
      </c>
      <c r="E3616" t="inlineStr">
        <is>
          <t>ALVESTA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49522-2025</t>
        </is>
      </c>
      <c r="B3617" s="1" t="n">
        <v>45939</v>
      </c>
      <c r="C3617" s="1" t="n">
        <v>45957</v>
      </c>
      <c r="D3617" t="inlineStr">
        <is>
          <t>KRONOBERGS LÄN</t>
        </is>
      </c>
      <c r="E3617" t="inlineStr">
        <is>
          <t>VÄXJÖ</t>
        </is>
      </c>
      <c r="G3617" t="n">
        <v>2.8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49025-2024</t>
        </is>
      </c>
      <c r="B3618" s="1" t="n">
        <v>45594.51512731481</v>
      </c>
      <c r="C3618" s="1" t="n">
        <v>45957</v>
      </c>
      <c r="D3618" t="inlineStr">
        <is>
          <t>KRONOBERGS LÄN</t>
        </is>
      </c>
      <c r="E3618" t="inlineStr">
        <is>
          <t>VÄXJÖ</t>
        </is>
      </c>
      <c r="F3618" t="inlineStr">
        <is>
          <t>Sveaskog</t>
        </is>
      </c>
      <c r="G3618" t="n">
        <v>0.8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49041-2024</t>
        </is>
      </c>
      <c r="B3619" s="1" t="n">
        <v>45594.56443287037</v>
      </c>
      <c r="C3619" s="1" t="n">
        <v>45957</v>
      </c>
      <c r="D3619" t="inlineStr">
        <is>
          <t>KRONOBERGS LÄN</t>
        </is>
      </c>
      <c r="E3619" t="inlineStr">
        <is>
          <t>ÄLMHULT</t>
        </is>
      </c>
      <c r="G3619" t="n">
        <v>1.2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19286-2025</t>
        </is>
      </c>
      <c r="B3620" s="1" t="n">
        <v>45769</v>
      </c>
      <c r="C3620" s="1" t="n">
        <v>45957</v>
      </c>
      <c r="D3620" t="inlineStr">
        <is>
          <t>KRONOBERGS LÄN</t>
        </is>
      </c>
      <c r="E3620" t="inlineStr">
        <is>
          <t>ALVESTA</t>
        </is>
      </c>
      <c r="G3620" t="n">
        <v>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11784-2022</t>
        </is>
      </c>
      <c r="B3621" s="1" t="n">
        <v>44634.60929398148</v>
      </c>
      <c r="C3621" s="1" t="n">
        <v>45957</v>
      </c>
      <c r="D3621" t="inlineStr">
        <is>
          <t>KRONOBERGS LÄN</t>
        </is>
      </c>
      <c r="E3621" t="inlineStr">
        <is>
          <t>LJUNGBY</t>
        </is>
      </c>
      <c r="G3621" t="n">
        <v>1.7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49578-2025</t>
        </is>
      </c>
      <c r="B3622" s="1" t="n">
        <v>45939.49226851852</v>
      </c>
      <c r="C3622" s="1" t="n">
        <v>45957</v>
      </c>
      <c r="D3622" t="inlineStr">
        <is>
          <t>KRONOBERGS LÄN</t>
        </is>
      </c>
      <c r="E3622" t="inlineStr">
        <is>
          <t>VÄXJÖ</t>
        </is>
      </c>
      <c r="G3622" t="n">
        <v>0.9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40856-2025</t>
        </is>
      </c>
      <c r="B3623" s="1" t="n">
        <v>45897.55859953703</v>
      </c>
      <c r="C3623" s="1" t="n">
        <v>45957</v>
      </c>
      <c r="D3623" t="inlineStr">
        <is>
          <t>KRONOBERGS LÄN</t>
        </is>
      </c>
      <c r="E3623" t="inlineStr">
        <is>
          <t>TINGSRYD</t>
        </is>
      </c>
      <c r="G3623" t="n">
        <v>1.3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31604-2025</t>
        </is>
      </c>
      <c r="B3624" s="1" t="n">
        <v>45833.74201388889</v>
      </c>
      <c r="C3624" s="1" t="n">
        <v>45957</v>
      </c>
      <c r="D3624" t="inlineStr">
        <is>
          <t>KRONOBERGS LÄN</t>
        </is>
      </c>
      <c r="E3624" t="inlineStr">
        <is>
          <t>LJUNGBY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31781-2025</t>
        </is>
      </c>
      <c r="B3625" s="1" t="n">
        <v>45834</v>
      </c>
      <c r="C3625" s="1" t="n">
        <v>45957</v>
      </c>
      <c r="D3625" t="inlineStr">
        <is>
          <t>KRONOBERGS LÄN</t>
        </is>
      </c>
      <c r="E3625" t="inlineStr">
        <is>
          <t>ALVESTA</t>
        </is>
      </c>
      <c r="G3625" t="n">
        <v>1.8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31793-2025</t>
        </is>
      </c>
      <c r="B3626" s="1" t="n">
        <v>45834</v>
      </c>
      <c r="C3626" s="1" t="n">
        <v>45957</v>
      </c>
      <c r="D3626" t="inlineStr">
        <is>
          <t>KRONOBERGS LÄN</t>
        </is>
      </c>
      <c r="E3626" t="inlineStr">
        <is>
          <t>ALVESTA</t>
        </is>
      </c>
      <c r="G3626" t="n">
        <v>3.2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13330-2021</t>
        </is>
      </c>
      <c r="B3627" s="1" t="n">
        <v>44273.30824074074</v>
      </c>
      <c r="C3627" s="1" t="n">
        <v>45957</v>
      </c>
      <c r="D3627" t="inlineStr">
        <is>
          <t>KRONOBERGS LÄN</t>
        </is>
      </c>
      <c r="E3627" t="inlineStr">
        <is>
          <t>ÄLMHULT</t>
        </is>
      </c>
      <c r="G3627" t="n">
        <v>0.9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52082-2024</t>
        </is>
      </c>
      <c r="B3628" s="1" t="n">
        <v>45608.38702546297</v>
      </c>
      <c r="C3628" s="1" t="n">
        <v>45957</v>
      </c>
      <c r="D3628" t="inlineStr">
        <is>
          <t>KRONOBERGS LÄN</t>
        </is>
      </c>
      <c r="E3628" t="inlineStr">
        <is>
          <t>ALVESTA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31560-2025</t>
        </is>
      </c>
      <c r="B3629" s="1" t="n">
        <v>45833.65425925926</v>
      </c>
      <c r="C3629" s="1" t="n">
        <v>45957</v>
      </c>
      <c r="D3629" t="inlineStr">
        <is>
          <t>KRONOBERGS LÄN</t>
        </is>
      </c>
      <c r="E3629" t="inlineStr">
        <is>
          <t>ÄLMHULT</t>
        </is>
      </c>
      <c r="G3629" t="n">
        <v>3.5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40961-2025</t>
        </is>
      </c>
      <c r="B3630" s="1" t="n">
        <v>45897.68016203704</v>
      </c>
      <c r="C3630" s="1" t="n">
        <v>45957</v>
      </c>
      <c r="D3630" t="inlineStr">
        <is>
          <t>KRONOBERGS LÄN</t>
        </is>
      </c>
      <c r="E3630" t="inlineStr">
        <is>
          <t>ÄLMHULT</t>
        </is>
      </c>
      <c r="G3630" t="n">
        <v>3.9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47275-2024</t>
        </is>
      </c>
      <c r="B3631" s="1" t="n">
        <v>45586.89740740741</v>
      </c>
      <c r="C3631" s="1" t="n">
        <v>45957</v>
      </c>
      <c r="D3631" t="inlineStr">
        <is>
          <t>KRONOBERGS LÄN</t>
        </is>
      </c>
      <c r="E3631" t="inlineStr">
        <is>
          <t>VÄXJÖ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31602-2025</t>
        </is>
      </c>
      <c r="B3632" s="1" t="n">
        <v>45833.73708333333</v>
      </c>
      <c r="C3632" s="1" t="n">
        <v>45957</v>
      </c>
      <c r="D3632" t="inlineStr">
        <is>
          <t>KRONOBERGS LÄN</t>
        </is>
      </c>
      <c r="E3632" t="inlineStr">
        <is>
          <t>LJUNGBY</t>
        </is>
      </c>
      <c r="G3632" t="n">
        <v>1.5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53278-2024</t>
        </is>
      </c>
      <c r="B3633" s="1" t="n">
        <v>45614.3747337963</v>
      </c>
      <c r="C3633" s="1" t="n">
        <v>45957</v>
      </c>
      <c r="D3633" t="inlineStr">
        <is>
          <t>KRONOBERGS LÄN</t>
        </is>
      </c>
      <c r="E3633" t="inlineStr">
        <is>
          <t>TINGSRYD</t>
        </is>
      </c>
      <c r="G3633" t="n">
        <v>0.6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20141-2024</t>
        </is>
      </c>
      <c r="B3634" s="1" t="n">
        <v>45434.56768518518</v>
      </c>
      <c r="C3634" s="1" t="n">
        <v>45957</v>
      </c>
      <c r="D3634" t="inlineStr">
        <is>
          <t>KRONOBERGS LÄN</t>
        </is>
      </c>
      <c r="E3634" t="inlineStr">
        <is>
          <t>MARKARYD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21987-2023</t>
        </is>
      </c>
      <c r="B3635" s="1" t="n">
        <v>45068.70543981482</v>
      </c>
      <c r="C3635" s="1" t="n">
        <v>45957</v>
      </c>
      <c r="D3635" t="inlineStr">
        <is>
          <t>KRONOBERGS LÄN</t>
        </is>
      </c>
      <c r="E3635" t="inlineStr">
        <is>
          <t>ALVESTA</t>
        </is>
      </c>
      <c r="G3635" t="n">
        <v>2.1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29661-2023</t>
        </is>
      </c>
      <c r="B3636" s="1" t="n">
        <v>45107.30564814815</v>
      </c>
      <c r="C3636" s="1" t="n">
        <v>45957</v>
      </c>
      <c r="D3636" t="inlineStr">
        <is>
          <t>KRONOBERGS LÄN</t>
        </is>
      </c>
      <c r="E3636" t="inlineStr">
        <is>
          <t>TINGSRYD</t>
        </is>
      </c>
      <c r="G3636" t="n">
        <v>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21186-2024</t>
        </is>
      </c>
      <c r="B3637" s="1" t="n">
        <v>45440.48216435185</v>
      </c>
      <c r="C3637" s="1" t="n">
        <v>45957</v>
      </c>
      <c r="D3637" t="inlineStr">
        <is>
          <t>KRONOBERGS LÄN</t>
        </is>
      </c>
      <c r="E3637" t="inlineStr">
        <is>
          <t>VÄXJÖ</t>
        </is>
      </c>
      <c r="G3637" t="n">
        <v>4.3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9791-2022</t>
        </is>
      </c>
      <c r="B3638" s="1" t="n">
        <v>44620.35722222222</v>
      </c>
      <c r="C3638" s="1" t="n">
        <v>45957</v>
      </c>
      <c r="D3638" t="inlineStr">
        <is>
          <t>KRONOBERGS LÄN</t>
        </is>
      </c>
      <c r="E3638" t="inlineStr">
        <is>
          <t>TINGSRYD</t>
        </is>
      </c>
      <c r="G3638" t="n">
        <v>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31785-2025</t>
        </is>
      </c>
      <c r="B3639" s="1" t="n">
        <v>45834</v>
      </c>
      <c r="C3639" s="1" t="n">
        <v>45957</v>
      </c>
      <c r="D3639" t="inlineStr">
        <is>
          <t>KRONOBERGS LÄN</t>
        </is>
      </c>
      <c r="E3639" t="inlineStr">
        <is>
          <t>ALVESTA</t>
        </is>
      </c>
      <c r="G3639" t="n">
        <v>2.5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53789-2024</t>
        </is>
      </c>
      <c r="B3640" s="1" t="n">
        <v>45615.57407407407</v>
      </c>
      <c r="C3640" s="1" t="n">
        <v>45957</v>
      </c>
      <c r="D3640" t="inlineStr">
        <is>
          <t>KRONOBERGS LÄN</t>
        </is>
      </c>
      <c r="E3640" t="inlineStr">
        <is>
          <t>LJUNGBY</t>
        </is>
      </c>
      <c r="G3640" t="n">
        <v>0.6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15756-2024</t>
        </is>
      </c>
      <c r="B3641" s="1" t="n">
        <v>45404.56375</v>
      </c>
      <c r="C3641" s="1" t="n">
        <v>45957</v>
      </c>
      <c r="D3641" t="inlineStr">
        <is>
          <t>KRONOBERGS LÄN</t>
        </is>
      </c>
      <c r="E3641" t="inlineStr">
        <is>
          <t>UPPVIDINGE</t>
        </is>
      </c>
      <c r="G3641" t="n">
        <v>0.2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37882-2025</t>
        </is>
      </c>
      <c r="B3642" s="1" t="n">
        <v>45881.4999537037</v>
      </c>
      <c r="C3642" s="1" t="n">
        <v>45957</v>
      </c>
      <c r="D3642" t="inlineStr">
        <is>
          <t>KRONOBERGS LÄN</t>
        </is>
      </c>
      <c r="E3642" t="inlineStr">
        <is>
          <t>TINGSRYD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31754-2025</t>
        </is>
      </c>
      <c r="B3643" s="1" t="n">
        <v>45834</v>
      </c>
      <c r="C3643" s="1" t="n">
        <v>45957</v>
      </c>
      <c r="D3643" t="inlineStr">
        <is>
          <t>KRONOBERGS LÄN</t>
        </is>
      </c>
      <c r="E3643" t="inlineStr">
        <is>
          <t>ALVESTA</t>
        </is>
      </c>
      <c r="G3643" t="n">
        <v>3.2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54436-2024</t>
        </is>
      </c>
      <c r="B3644" s="1" t="n">
        <v>45617.49510416666</v>
      </c>
      <c r="C3644" s="1" t="n">
        <v>45957</v>
      </c>
      <c r="D3644" t="inlineStr">
        <is>
          <t>KRONOBERGS LÄN</t>
        </is>
      </c>
      <c r="E3644" t="inlineStr">
        <is>
          <t>LJUNGBY</t>
        </is>
      </c>
      <c r="G3644" t="n">
        <v>3.9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31318-2025</t>
        </is>
      </c>
      <c r="B3645" s="1" t="n">
        <v>45833.40297453704</v>
      </c>
      <c r="C3645" s="1" t="n">
        <v>45957</v>
      </c>
      <c r="D3645" t="inlineStr">
        <is>
          <t>KRONOBERGS LÄN</t>
        </is>
      </c>
      <c r="E3645" t="inlineStr">
        <is>
          <t>VÄXJÖ</t>
        </is>
      </c>
      <c r="G3645" t="n">
        <v>1.1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47897-2024</t>
        </is>
      </c>
      <c r="B3646" s="1" t="n">
        <v>45588.89078703704</v>
      </c>
      <c r="C3646" s="1" t="n">
        <v>45957</v>
      </c>
      <c r="D3646" t="inlineStr">
        <is>
          <t>KRONOBERGS LÄN</t>
        </is>
      </c>
      <c r="E3646" t="inlineStr">
        <is>
          <t>ÄLMHULT</t>
        </is>
      </c>
      <c r="G3646" t="n">
        <v>0.6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25319-2024</t>
        </is>
      </c>
      <c r="B3647" s="1" t="n">
        <v>45462.72221064815</v>
      </c>
      <c r="C3647" s="1" t="n">
        <v>45957</v>
      </c>
      <c r="D3647" t="inlineStr">
        <is>
          <t>KRONOBERGS LÄN</t>
        </is>
      </c>
      <c r="E3647" t="inlineStr">
        <is>
          <t>ÄLMHULT</t>
        </is>
      </c>
      <c r="G3647" t="n">
        <v>3.4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5740-2021</t>
        </is>
      </c>
      <c r="B3648" s="1" t="n">
        <v>44230.64799768518</v>
      </c>
      <c r="C3648" s="1" t="n">
        <v>45957</v>
      </c>
      <c r="D3648" t="inlineStr">
        <is>
          <t>KRONOBERGS LÄN</t>
        </is>
      </c>
      <c r="E3648" t="inlineStr">
        <is>
          <t>TINGSRYD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43051-2023</t>
        </is>
      </c>
      <c r="B3649" s="1" t="n">
        <v>45182.69945601852</v>
      </c>
      <c r="C3649" s="1" t="n">
        <v>45957</v>
      </c>
      <c r="D3649" t="inlineStr">
        <is>
          <t>KRONOBERGS LÄN</t>
        </is>
      </c>
      <c r="E3649" t="inlineStr">
        <is>
          <t>ALVESTA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8671-2025</t>
        </is>
      </c>
      <c r="B3650" s="1" t="n">
        <v>45712.42423611111</v>
      </c>
      <c r="C3650" s="1" t="n">
        <v>45957</v>
      </c>
      <c r="D3650" t="inlineStr">
        <is>
          <t>KRONOBERGS LÄN</t>
        </is>
      </c>
      <c r="E3650" t="inlineStr">
        <is>
          <t>ALVESTA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56774-2024</t>
        </is>
      </c>
      <c r="B3651" s="1" t="n">
        <v>45628.43445601852</v>
      </c>
      <c r="C3651" s="1" t="n">
        <v>45957</v>
      </c>
      <c r="D3651" t="inlineStr">
        <is>
          <t>KRONOBERGS LÄN</t>
        </is>
      </c>
      <c r="E3651" t="inlineStr">
        <is>
          <t>LJUNGBY</t>
        </is>
      </c>
      <c r="G3651" t="n">
        <v>2.4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31790-2025</t>
        </is>
      </c>
      <c r="B3652" s="1" t="n">
        <v>45834</v>
      </c>
      <c r="C3652" s="1" t="n">
        <v>45957</v>
      </c>
      <c r="D3652" t="inlineStr">
        <is>
          <t>KRONOBERGS LÄN</t>
        </is>
      </c>
      <c r="E3652" t="inlineStr">
        <is>
          <t>ALVESTA</t>
        </is>
      </c>
      <c r="G3652" t="n">
        <v>4.1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29706-2023</t>
        </is>
      </c>
      <c r="B3653" s="1" t="n">
        <v>45107.41297453704</v>
      </c>
      <c r="C3653" s="1" t="n">
        <v>45957</v>
      </c>
      <c r="D3653" t="inlineStr">
        <is>
          <t>KRONOBERGS LÄN</t>
        </is>
      </c>
      <c r="E3653" t="inlineStr">
        <is>
          <t>TINGSRYD</t>
        </is>
      </c>
      <c r="G3653" t="n">
        <v>1.8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40865-2025</t>
        </is>
      </c>
      <c r="B3654" s="1" t="n">
        <v>45897.56900462963</v>
      </c>
      <c r="C3654" s="1" t="n">
        <v>45957</v>
      </c>
      <c r="D3654" t="inlineStr">
        <is>
          <t>KRONOBERGS LÄN</t>
        </is>
      </c>
      <c r="E3654" t="inlineStr">
        <is>
          <t>TINGSRYD</t>
        </is>
      </c>
      <c r="G3654" t="n">
        <v>1.5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15262-2024</t>
        </is>
      </c>
      <c r="B3655" s="1" t="n">
        <v>45400</v>
      </c>
      <c r="C3655" s="1" t="n">
        <v>45957</v>
      </c>
      <c r="D3655" t="inlineStr">
        <is>
          <t>KRONOBERGS LÄN</t>
        </is>
      </c>
      <c r="E3655" t="inlineStr">
        <is>
          <t>ALVESTA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2836-2025</t>
        </is>
      </c>
      <c r="B3656" s="1" t="n">
        <v>45677.64241898148</v>
      </c>
      <c r="C3656" s="1" t="n">
        <v>45957</v>
      </c>
      <c r="D3656" t="inlineStr">
        <is>
          <t>KRONOBERGS LÄN</t>
        </is>
      </c>
      <c r="E3656" t="inlineStr">
        <is>
          <t>ÄLMHULT</t>
        </is>
      </c>
      <c r="G3656" t="n">
        <v>0.7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26381-2022</t>
        </is>
      </c>
      <c r="B3657" s="1" t="n">
        <v>44735.67114583333</v>
      </c>
      <c r="C3657" s="1" t="n">
        <v>45957</v>
      </c>
      <c r="D3657" t="inlineStr">
        <is>
          <t>KRONOBERGS LÄN</t>
        </is>
      </c>
      <c r="E3657" t="inlineStr">
        <is>
          <t>ALVESTA</t>
        </is>
      </c>
      <c r="G3657" t="n">
        <v>3.4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41071-2025</t>
        </is>
      </c>
      <c r="B3658" s="1" t="n">
        <v>45898.41762731481</v>
      </c>
      <c r="C3658" s="1" t="n">
        <v>45957</v>
      </c>
      <c r="D3658" t="inlineStr">
        <is>
          <t>KRONOBERGS LÄN</t>
        </is>
      </c>
      <c r="E3658" t="inlineStr">
        <is>
          <t>TINGSRYD</t>
        </is>
      </c>
      <c r="F3658" t="inlineStr">
        <is>
          <t>Kommuner</t>
        </is>
      </c>
      <c r="G3658" t="n">
        <v>3.6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31462-2025</t>
        </is>
      </c>
      <c r="B3659" s="1" t="n">
        <v>45833.55179398148</v>
      </c>
      <c r="C3659" s="1" t="n">
        <v>45957</v>
      </c>
      <c r="D3659" t="inlineStr">
        <is>
          <t>KRONOBERGS LÄN</t>
        </is>
      </c>
      <c r="E3659" t="inlineStr">
        <is>
          <t>TINGSRYD</t>
        </is>
      </c>
      <c r="G3659" t="n">
        <v>0.9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40787-2025</t>
        </is>
      </c>
      <c r="B3660" s="1" t="n">
        <v>45897.44570601852</v>
      </c>
      <c r="C3660" s="1" t="n">
        <v>45957</v>
      </c>
      <c r="D3660" t="inlineStr">
        <is>
          <t>KRONOBERGS LÄN</t>
        </is>
      </c>
      <c r="E3660" t="inlineStr">
        <is>
          <t>ÄLMHULT</t>
        </is>
      </c>
      <c r="G3660" t="n">
        <v>2.8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40894-2025</t>
        </is>
      </c>
      <c r="B3661" s="1" t="n">
        <v>45897.61160879629</v>
      </c>
      <c r="C3661" s="1" t="n">
        <v>45957</v>
      </c>
      <c r="D3661" t="inlineStr">
        <is>
          <t>KRONOBERGS LÄN</t>
        </is>
      </c>
      <c r="E3661" t="inlineStr">
        <is>
          <t>LJUNGBY</t>
        </is>
      </c>
      <c r="G3661" t="n">
        <v>2.2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31315-2025</t>
        </is>
      </c>
      <c r="B3662" s="1" t="n">
        <v>45833.39936342592</v>
      </c>
      <c r="C3662" s="1" t="n">
        <v>45957</v>
      </c>
      <c r="D3662" t="inlineStr">
        <is>
          <t>KRONOBERGS LÄN</t>
        </is>
      </c>
      <c r="E3662" t="inlineStr">
        <is>
          <t>VÄXJÖ</t>
        </is>
      </c>
      <c r="G3662" t="n">
        <v>2.2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31761-2025</t>
        </is>
      </c>
      <c r="B3663" s="1" t="n">
        <v>45834.49287037037</v>
      </c>
      <c r="C3663" s="1" t="n">
        <v>45957</v>
      </c>
      <c r="D3663" t="inlineStr">
        <is>
          <t>KRONOBERGS LÄN</t>
        </is>
      </c>
      <c r="E3663" t="inlineStr">
        <is>
          <t>ÄLMHULT</t>
        </is>
      </c>
      <c r="G3663" t="n">
        <v>5.5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31778-2025</t>
        </is>
      </c>
      <c r="B3664" s="1" t="n">
        <v>45834</v>
      </c>
      <c r="C3664" s="1" t="n">
        <v>45957</v>
      </c>
      <c r="D3664" t="inlineStr">
        <is>
          <t>KRONOBERGS LÄN</t>
        </is>
      </c>
      <c r="E3664" t="inlineStr">
        <is>
          <t>ALVESTA</t>
        </is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31466-2025</t>
        </is>
      </c>
      <c r="B3665" s="1" t="n">
        <v>45833.55715277778</v>
      </c>
      <c r="C3665" s="1" t="n">
        <v>45957</v>
      </c>
      <c r="D3665" t="inlineStr">
        <is>
          <t>KRONOBERGS LÄN</t>
        </is>
      </c>
      <c r="E3665" t="inlineStr">
        <is>
          <t>TINGSRYD</t>
        </is>
      </c>
      <c r="G3665" t="n">
        <v>0.6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26068-2025</t>
        </is>
      </c>
      <c r="B3666" s="1" t="n">
        <v>45805</v>
      </c>
      <c r="C3666" s="1" t="n">
        <v>45957</v>
      </c>
      <c r="D3666" t="inlineStr">
        <is>
          <t>KRONOBERGS LÄN</t>
        </is>
      </c>
      <c r="E3666" t="inlineStr">
        <is>
          <t>VÄXJÖ</t>
        </is>
      </c>
      <c r="G3666" t="n">
        <v>0.7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60266-2023</t>
        </is>
      </c>
      <c r="B3667" s="1" t="n">
        <v>45258</v>
      </c>
      <c r="C3667" s="1" t="n">
        <v>45957</v>
      </c>
      <c r="D3667" t="inlineStr">
        <is>
          <t>KRONOBERGS LÄN</t>
        </is>
      </c>
      <c r="E3667" t="inlineStr">
        <is>
          <t>ÄLMHULT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16886-2025</t>
        </is>
      </c>
      <c r="B3668" s="1" t="n">
        <v>45755.30775462963</v>
      </c>
      <c r="C3668" s="1" t="n">
        <v>45957</v>
      </c>
      <c r="D3668" t="inlineStr">
        <is>
          <t>KRONOBERGS LÄN</t>
        </is>
      </c>
      <c r="E3668" t="inlineStr">
        <is>
          <t>LESSEBO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31765-2025</t>
        </is>
      </c>
      <c r="B3669" s="1" t="n">
        <v>45834.49486111111</v>
      </c>
      <c r="C3669" s="1" t="n">
        <v>45957</v>
      </c>
      <c r="D3669" t="inlineStr">
        <is>
          <t>KRONOBERGS LÄN</t>
        </is>
      </c>
      <c r="E3669" t="inlineStr">
        <is>
          <t>TINGSRYD</t>
        </is>
      </c>
      <c r="G3669" t="n">
        <v>1.2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31311-2025</t>
        </is>
      </c>
      <c r="B3670" s="1" t="n">
        <v>45833.39313657407</v>
      </c>
      <c r="C3670" s="1" t="n">
        <v>45957</v>
      </c>
      <c r="D3670" t="inlineStr">
        <is>
          <t>KRONOBERGS LÄN</t>
        </is>
      </c>
      <c r="E3670" t="inlineStr">
        <is>
          <t>ÄLMHULT</t>
        </is>
      </c>
      <c r="G3670" t="n">
        <v>4.4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64916-2023</t>
        </is>
      </c>
      <c r="B3671" s="1" t="n">
        <v>45282.66887731481</v>
      </c>
      <c r="C3671" s="1" t="n">
        <v>45957</v>
      </c>
      <c r="D3671" t="inlineStr">
        <is>
          <t>KRONOBERGS LÄN</t>
        </is>
      </c>
      <c r="E3671" t="inlineStr">
        <is>
          <t>MARKARYD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3238-2025</t>
        </is>
      </c>
      <c r="B3672" s="1" t="n">
        <v>45679.49554398148</v>
      </c>
      <c r="C3672" s="1" t="n">
        <v>45957</v>
      </c>
      <c r="D3672" t="inlineStr">
        <is>
          <t>KRONOBERGS LÄN</t>
        </is>
      </c>
      <c r="E3672" t="inlineStr">
        <is>
          <t>VÄXJÖ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64685-2023</t>
        </is>
      </c>
      <c r="B3673" s="1" t="n">
        <v>45281.62967592593</v>
      </c>
      <c r="C3673" s="1" t="n">
        <v>45957</v>
      </c>
      <c r="D3673" t="inlineStr">
        <is>
          <t>KRONOBERGS LÄN</t>
        </is>
      </c>
      <c r="E3673" t="inlineStr">
        <is>
          <t>VÄXJÖ</t>
        </is>
      </c>
      <c r="G3673" t="n">
        <v>2.4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25957-2023</t>
        </is>
      </c>
      <c r="B3674" s="1" t="n">
        <v>45090</v>
      </c>
      <c r="C3674" s="1" t="n">
        <v>45957</v>
      </c>
      <c r="D3674" t="inlineStr">
        <is>
          <t>KRONOBERGS LÄN</t>
        </is>
      </c>
      <c r="E3674" t="inlineStr">
        <is>
          <t>MARKARYD</t>
        </is>
      </c>
      <c r="G3674" t="n">
        <v>1.7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18638-2025</t>
        </is>
      </c>
      <c r="B3675" s="1" t="n">
        <v>45763.56696759259</v>
      </c>
      <c r="C3675" s="1" t="n">
        <v>45957</v>
      </c>
      <c r="D3675" t="inlineStr">
        <is>
          <t>KRONOBERGS LÄN</t>
        </is>
      </c>
      <c r="E3675" t="inlineStr">
        <is>
          <t>TINGSRYD</t>
        </is>
      </c>
      <c r="G3675" t="n">
        <v>2.6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31431-2025</t>
        </is>
      </c>
      <c r="B3676" s="1" t="n">
        <v>45833</v>
      </c>
      <c r="C3676" s="1" t="n">
        <v>45957</v>
      </c>
      <c r="D3676" t="inlineStr">
        <is>
          <t>KRONOBERGS LÄN</t>
        </is>
      </c>
      <c r="E3676" t="inlineStr">
        <is>
          <t>ALVESTA</t>
        </is>
      </c>
      <c r="G3676" t="n">
        <v>2.8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10881-2022</t>
        </is>
      </c>
      <c r="B3677" s="1" t="n">
        <v>44627.6955787037</v>
      </c>
      <c r="C3677" s="1" t="n">
        <v>45957</v>
      </c>
      <c r="D3677" t="inlineStr">
        <is>
          <t>KRONOBERGS LÄN</t>
        </is>
      </c>
      <c r="E3677" t="inlineStr">
        <is>
          <t>TINGSRYD</t>
        </is>
      </c>
      <c r="G3677" t="n">
        <v>6.1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31439-2025</t>
        </is>
      </c>
      <c r="B3678" s="1" t="n">
        <v>45833</v>
      </c>
      <c r="C3678" s="1" t="n">
        <v>45957</v>
      </c>
      <c r="D3678" t="inlineStr">
        <is>
          <t>KRONOBERGS LÄN</t>
        </is>
      </c>
      <c r="E3678" t="inlineStr">
        <is>
          <t>ALVESTA</t>
        </is>
      </c>
      <c r="G3678" t="n">
        <v>1.2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31566-2025</t>
        </is>
      </c>
      <c r="B3679" s="1" t="n">
        <v>45833</v>
      </c>
      <c r="C3679" s="1" t="n">
        <v>45957</v>
      </c>
      <c r="D3679" t="inlineStr">
        <is>
          <t>KRONOBERGS LÄN</t>
        </is>
      </c>
      <c r="E3679" t="inlineStr">
        <is>
          <t>ALVESTA</t>
        </is>
      </c>
      <c r="G3679" t="n">
        <v>2.9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31243-2025</t>
        </is>
      </c>
      <c r="B3680" s="1" t="n">
        <v>45832.87528935185</v>
      </c>
      <c r="C3680" s="1" t="n">
        <v>45957</v>
      </c>
      <c r="D3680" t="inlineStr">
        <is>
          <t>KRONOBERGS LÄN</t>
        </is>
      </c>
      <c r="E3680" t="inlineStr">
        <is>
          <t>VÄXJÖ</t>
        </is>
      </c>
      <c r="G3680" t="n">
        <v>10.6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24787-2023</t>
        </is>
      </c>
      <c r="B3681" s="1" t="n">
        <v>45084.67444444444</v>
      </c>
      <c r="C3681" s="1" t="n">
        <v>45957</v>
      </c>
      <c r="D3681" t="inlineStr">
        <is>
          <t>KRONOBERGS LÄN</t>
        </is>
      </c>
      <c r="E3681" t="inlineStr">
        <is>
          <t>LJUNGBY</t>
        </is>
      </c>
      <c r="G3681" t="n">
        <v>2.6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32625-2025</t>
        </is>
      </c>
      <c r="B3682" s="1" t="n">
        <v>45838.64799768518</v>
      </c>
      <c r="C3682" s="1" t="n">
        <v>45957</v>
      </c>
      <c r="D3682" t="inlineStr">
        <is>
          <t>KRONOBERGS LÄN</t>
        </is>
      </c>
      <c r="E3682" t="inlineStr">
        <is>
          <t>ALVESTA</t>
        </is>
      </c>
      <c r="G3682" t="n">
        <v>0.8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41279-2025</t>
        </is>
      </c>
      <c r="B3683" s="1" t="n">
        <v>45898.63071759259</v>
      </c>
      <c r="C3683" s="1" t="n">
        <v>45957</v>
      </c>
      <c r="D3683" t="inlineStr">
        <is>
          <t>KRONOBERGS LÄN</t>
        </is>
      </c>
      <c r="E3683" t="inlineStr">
        <is>
          <t>VÄXJÖ</t>
        </is>
      </c>
      <c r="G3683" t="n">
        <v>2.2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5442-2021</t>
        </is>
      </c>
      <c r="B3684" s="1" t="n">
        <v>44229</v>
      </c>
      <c r="C3684" s="1" t="n">
        <v>45957</v>
      </c>
      <c r="D3684" t="inlineStr">
        <is>
          <t>KRONOBERGS LÄN</t>
        </is>
      </c>
      <c r="E3684" t="inlineStr">
        <is>
          <t>UPPVIDINGE</t>
        </is>
      </c>
      <c r="G3684" t="n">
        <v>2.5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31994-2025</t>
        </is>
      </c>
      <c r="B3685" s="1" t="n">
        <v>45835.37094907407</v>
      </c>
      <c r="C3685" s="1" t="n">
        <v>45957</v>
      </c>
      <c r="D3685" t="inlineStr">
        <is>
          <t>KRONOBERGS LÄN</t>
        </is>
      </c>
      <c r="E3685" t="inlineStr">
        <is>
          <t>UPPVIDINGE</t>
        </is>
      </c>
      <c r="G3685" t="n">
        <v>5.3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49471-2025</t>
        </is>
      </c>
      <c r="B3686" s="1" t="n">
        <v>45939.34381944445</v>
      </c>
      <c r="C3686" s="1" t="n">
        <v>45957</v>
      </c>
      <c r="D3686" t="inlineStr">
        <is>
          <t>KRONOBERGS LÄN</t>
        </is>
      </c>
      <c r="E3686" t="inlineStr">
        <is>
          <t>ALVESTA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31999-2025</t>
        </is>
      </c>
      <c r="B3687" s="1" t="n">
        <v>45835.37766203703</v>
      </c>
      <c r="C3687" s="1" t="n">
        <v>45957</v>
      </c>
      <c r="D3687" t="inlineStr">
        <is>
          <t>KRONOBERGS LÄN</t>
        </is>
      </c>
      <c r="E3687" t="inlineStr">
        <is>
          <t>VÄXJÖ</t>
        </is>
      </c>
      <c r="G3687" t="n">
        <v>0.8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63792-2023</t>
        </is>
      </c>
      <c r="B3688" s="1" t="n">
        <v>45278.39707175926</v>
      </c>
      <c r="C3688" s="1" t="n">
        <v>45957</v>
      </c>
      <c r="D3688" t="inlineStr">
        <is>
          <t>KRONOBERGS LÄN</t>
        </is>
      </c>
      <c r="E3688" t="inlineStr">
        <is>
          <t>UPPVIDINGE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51764-2023</t>
        </is>
      </c>
      <c r="B3689" s="1" t="n">
        <v>45222.70064814815</v>
      </c>
      <c r="C3689" s="1" t="n">
        <v>45957</v>
      </c>
      <c r="D3689" t="inlineStr">
        <is>
          <t>KRONOBERGS LÄN</t>
        </is>
      </c>
      <c r="E3689" t="inlineStr">
        <is>
          <t>ÄLMHULT</t>
        </is>
      </c>
      <c r="G3689" t="n">
        <v>1.9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32233-2025</t>
        </is>
      </c>
      <c r="B3690" s="1" t="n">
        <v>45835.60259259259</v>
      </c>
      <c r="C3690" s="1" t="n">
        <v>45957</v>
      </c>
      <c r="D3690" t="inlineStr">
        <is>
          <t>KRONOBERGS LÄN</t>
        </is>
      </c>
      <c r="E3690" t="inlineStr">
        <is>
          <t>ÄLMHULT</t>
        </is>
      </c>
      <c r="G3690" t="n">
        <v>0.6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32529-2025</t>
        </is>
      </c>
      <c r="B3691" s="1" t="n">
        <v>45838</v>
      </c>
      <c r="C3691" s="1" t="n">
        <v>45957</v>
      </c>
      <c r="D3691" t="inlineStr">
        <is>
          <t>KRONOBERGS LÄN</t>
        </is>
      </c>
      <c r="E3691" t="inlineStr">
        <is>
          <t>ALVESTA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32539-2025</t>
        </is>
      </c>
      <c r="B3692" s="1" t="n">
        <v>45838</v>
      </c>
      <c r="C3692" s="1" t="n">
        <v>45957</v>
      </c>
      <c r="D3692" t="inlineStr">
        <is>
          <t>KRONOBERGS LÄN</t>
        </is>
      </c>
      <c r="E3692" t="inlineStr">
        <is>
          <t>ALVESTA</t>
        </is>
      </c>
      <c r="G3692" t="n">
        <v>5.7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9873-2025</t>
        </is>
      </c>
      <c r="B3693" s="1" t="n">
        <v>45716.64879629629</v>
      </c>
      <c r="C3693" s="1" t="n">
        <v>45957</v>
      </c>
      <c r="D3693" t="inlineStr">
        <is>
          <t>KRONOBERGS LÄN</t>
        </is>
      </c>
      <c r="E3693" t="inlineStr">
        <is>
          <t>ÄLMHULT</t>
        </is>
      </c>
      <c r="F3693" t="inlineStr">
        <is>
          <t>Sveaskog</t>
        </is>
      </c>
      <c r="G3693" t="n">
        <v>3.4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40727-2025</t>
        </is>
      </c>
      <c r="B3694" s="1" t="n">
        <v>45897.35350694445</v>
      </c>
      <c r="C3694" s="1" t="n">
        <v>45957</v>
      </c>
      <c r="D3694" t="inlineStr">
        <is>
          <t>KRONOBERGS LÄN</t>
        </is>
      </c>
      <c r="E3694" t="inlineStr">
        <is>
          <t>UPPVIDINGE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32675-2025</t>
        </is>
      </c>
      <c r="B3695" s="1" t="n">
        <v>45838.73699074074</v>
      </c>
      <c r="C3695" s="1" t="n">
        <v>45957</v>
      </c>
      <c r="D3695" t="inlineStr">
        <is>
          <t>KRONOBERGS LÄN</t>
        </is>
      </c>
      <c r="E3695" t="inlineStr">
        <is>
          <t>ALVESTA</t>
        </is>
      </c>
      <c r="G3695" t="n">
        <v>1.9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32538-2025</t>
        </is>
      </c>
      <c r="B3696" s="1" t="n">
        <v>45838</v>
      </c>
      <c r="C3696" s="1" t="n">
        <v>45957</v>
      </c>
      <c r="D3696" t="inlineStr">
        <is>
          <t>KRONOBERGS LÄN</t>
        </is>
      </c>
      <c r="E3696" t="inlineStr">
        <is>
          <t>ALVESTA</t>
        </is>
      </c>
      <c r="G3696" t="n">
        <v>3.7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11781-2022</t>
        </is>
      </c>
      <c r="B3697" s="1" t="n">
        <v>44634</v>
      </c>
      <c r="C3697" s="1" t="n">
        <v>45957</v>
      </c>
      <c r="D3697" t="inlineStr">
        <is>
          <t>KRONOBERGS LÄN</t>
        </is>
      </c>
      <c r="E3697" t="inlineStr">
        <is>
          <t>LJUNGBY</t>
        </is>
      </c>
      <c r="G3697" t="n">
        <v>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37216-2025</t>
        </is>
      </c>
      <c r="B3698" s="1" t="n">
        <v>45875</v>
      </c>
      <c r="C3698" s="1" t="n">
        <v>45957</v>
      </c>
      <c r="D3698" t="inlineStr">
        <is>
          <t>KRONOBERGS LÄN</t>
        </is>
      </c>
      <c r="E3698" t="inlineStr">
        <is>
          <t>ÄLMHULT</t>
        </is>
      </c>
      <c r="F3698" t="inlineStr">
        <is>
          <t>Kyrkan</t>
        </is>
      </c>
      <c r="G3698" t="n">
        <v>7.4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32650-2025</t>
        </is>
      </c>
      <c r="B3699" s="1" t="n">
        <v>45838.67675925926</v>
      </c>
      <c r="C3699" s="1" t="n">
        <v>45957</v>
      </c>
      <c r="D3699" t="inlineStr">
        <is>
          <t>KRONOBERGS LÄN</t>
        </is>
      </c>
      <c r="E3699" t="inlineStr">
        <is>
          <t>UPPVIDINGE</t>
        </is>
      </c>
      <c r="F3699" t="inlineStr">
        <is>
          <t>Kommuner</t>
        </is>
      </c>
      <c r="G3699" t="n">
        <v>4.1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40797-2025</t>
        </is>
      </c>
      <c r="B3700" s="1" t="n">
        <v>45897.44971064815</v>
      </c>
      <c r="C3700" s="1" t="n">
        <v>45957</v>
      </c>
      <c r="D3700" t="inlineStr">
        <is>
          <t>KRONOBERGS LÄN</t>
        </is>
      </c>
      <c r="E3700" t="inlineStr">
        <is>
          <t>UPPVIDINGE</t>
        </is>
      </c>
      <c r="G3700" t="n">
        <v>0.8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42296-2023</t>
        </is>
      </c>
      <c r="B3701" s="1" t="n">
        <v>45180.44605324074</v>
      </c>
      <c r="C3701" s="1" t="n">
        <v>45957</v>
      </c>
      <c r="D3701" t="inlineStr">
        <is>
          <t>KRONOBERGS LÄN</t>
        </is>
      </c>
      <c r="E3701" t="inlineStr">
        <is>
          <t>VÄXJÖ</t>
        </is>
      </c>
      <c r="G3701" t="n">
        <v>2.3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40724-2025</t>
        </is>
      </c>
      <c r="B3702" s="1" t="n">
        <v>45897.34547453704</v>
      </c>
      <c r="C3702" s="1" t="n">
        <v>45957</v>
      </c>
      <c r="D3702" t="inlineStr">
        <is>
          <t>KRONOBERGS LÄN</t>
        </is>
      </c>
      <c r="E3702" t="inlineStr">
        <is>
          <t>UPPVIDINGE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32598-2025</t>
        </is>
      </c>
      <c r="B3703" s="1" t="n">
        <v>45838.6196875</v>
      </c>
      <c r="C3703" s="1" t="n">
        <v>45957</v>
      </c>
      <c r="D3703" t="inlineStr">
        <is>
          <t>KRONOBERGS LÄN</t>
        </is>
      </c>
      <c r="E3703" t="inlineStr">
        <is>
          <t>UPPVIDINGE</t>
        </is>
      </c>
      <c r="G3703" t="n">
        <v>4.4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37432-2024</t>
        </is>
      </c>
      <c r="B3704" s="1" t="n">
        <v>45540</v>
      </c>
      <c r="C3704" s="1" t="n">
        <v>45957</v>
      </c>
      <c r="D3704" t="inlineStr">
        <is>
          <t>KRONOBERGS LÄN</t>
        </is>
      </c>
      <c r="E3704" t="inlineStr">
        <is>
          <t>VÄXJÖ</t>
        </is>
      </c>
      <c r="G3704" t="n">
        <v>3.2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40985-2025</t>
        </is>
      </c>
      <c r="B3705" s="1" t="n">
        <v>45898.30258101852</v>
      </c>
      <c r="C3705" s="1" t="n">
        <v>45957</v>
      </c>
      <c r="D3705" t="inlineStr">
        <is>
          <t>KRONOBERGS LÄN</t>
        </is>
      </c>
      <c r="E3705" t="inlineStr">
        <is>
          <t>TINGSRYD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32645-2025</t>
        </is>
      </c>
      <c r="B3706" s="1" t="n">
        <v>45838.66364583333</v>
      </c>
      <c r="C3706" s="1" t="n">
        <v>45957</v>
      </c>
      <c r="D3706" t="inlineStr">
        <is>
          <t>KRONOBERGS LÄN</t>
        </is>
      </c>
      <c r="E3706" t="inlineStr">
        <is>
          <t>LJUNGBY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62519-2023</t>
        </is>
      </c>
      <c r="B3707" s="1" t="n">
        <v>45268</v>
      </c>
      <c r="C3707" s="1" t="n">
        <v>45957</v>
      </c>
      <c r="D3707" t="inlineStr">
        <is>
          <t>KRONOBERGS LÄN</t>
        </is>
      </c>
      <c r="E3707" t="inlineStr">
        <is>
          <t>MARKARYD</t>
        </is>
      </c>
      <c r="F3707" t="inlineStr">
        <is>
          <t>Sveaskog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40953-2025</t>
        </is>
      </c>
      <c r="B3708" s="1" t="n">
        <v>45897</v>
      </c>
      <c r="C3708" s="1" t="n">
        <v>45957</v>
      </c>
      <c r="D3708" t="inlineStr">
        <is>
          <t>KRONOBERGS LÄN</t>
        </is>
      </c>
      <c r="E3708" t="inlineStr">
        <is>
          <t>UPPVIDINGE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14163-2023</t>
        </is>
      </c>
      <c r="B3709" s="1" t="n">
        <v>45009</v>
      </c>
      <c r="C3709" s="1" t="n">
        <v>45957</v>
      </c>
      <c r="D3709" t="inlineStr">
        <is>
          <t>KRONOBERGS LÄN</t>
        </is>
      </c>
      <c r="E3709" t="inlineStr">
        <is>
          <t>UPPVIDINGE</t>
        </is>
      </c>
      <c r="G3709" t="n">
        <v>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32014-2025</t>
        </is>
      </c>
      <c r="B3710" s="1" t="n">
        <v>45835.40136574074</v>
      </c>
      <c r="C3710" s="1" t="n">
        <v>45957</v>
      </c>
      <c r="D3710" t="inlineStr">
        <is>
          <t>KRONOBERGS LÄN</t>
        </is>
      </c>
      <c r="E3710" t="inlineStr">
        <is>
          <t>LJUNGBY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17063-2023</t>
        </is>
      </c>
      <c r="B3711" s="1" t="n">
        <v>45034.46636574074</v>
      </c>
      <c r="C3711" s="1" t="n">
        <v>45957</v>
      </c>
      <c r="D3711" t="inlineStr">
        <is>
          <t>KRONOBERGS LÄN</t>
        </is>
      </c>
      <c r="E3711" t="inlineStr">
        <is>
          <t>TINGSRYD</t>
        </is>
      </c>
      <c r="G3711" t="n">
        <v>6.6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32197-2025</t>
        </is>
      </c>
      <c r="B3712" s="1" t="n">
        <v>45835.57680555555</v>
      </c>
      <c r="C3712" s="1" t="n">
        <v>45957</v>
      </c>
      <c r="D3712" t="inlineStr">
        <is>
          <t>KRONOBERGS LÄN</t>
        </is>
      </c>
      <c r="E3712" t="inlineStr">
        <is>
          <t>ÄLMHULT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9353-2025</t>
        </is>
      </c>
      <c r="B3713" s="1" t="n">
        <v>45714.88269675926</v>
      </c>
      <c r="C3713" s="1" t="n">
        <v>45957</v>
      </c>
      <c r="D3713" t="inlineStr">
        <is>
          <t>KRONOBERGS LÄN</t>
        </is>
      </c>
      <c r="E3713" t="inlineStr">
        <is>
          <t>VÄXJÖ</t>
        </is>
      </c>
      <c r="G3713" t="n">
        <v>0.5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49577-2025</t>
        </is>
      </c>
      <c r="B3714" s="1" t="n">
        <v>45939.49178240741</v>
      </c>
      <c r="C3714" s="1" t="n">
        <v>45957</v>
      </c>
      <c r="D3714" t="inlineStr">
        <is>
          <t>KRONOBERGS LÄN</t>
        </is>
      </c>
      <c r="E3714" t="inlineStr">
        <is>
          <t>UPPVIDINGE</t>
        </is>
      </c>
      <c r="G3714" t="n">
        <v>0.5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35904-2025</t>
        </is>
      </c>
      <c r="B3715" s="1" t="n">
        <v>45862.49270833333</v>
      </c>
      <c r="C3715" s="1" t="n">
        <v>45957</v>
      </c>
      <c r="D3715" t="inlineStr">
        <is>
          <t>KRONOBERGS LÄN</t>
        </is>
      </c>
      <c r="E3715" t="inlineStr">
        <is>
          <t>LESSEBO</t>
        </is>
      </c>
      <c r="F3715" t="inlineStr">
        <is>
          <t>Sveaskog</t>
        </is>
      </c>
      <c r="G3715" t="n">
        <v>2.1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5392-2023</t>
        </is>
      </c>
      <c r="B3716" s="1" t="n">
        <v>44959.68709490741</v>
      </c>
      <c r="C3716" s="1" t="n">
        <v>45957</v>
      </c>
      <c r="D3716" t="inlineStr">
        <is>
          <t>KRONOBERGS LÄN</t>
        </is>
      </c>
      <c r="E3716" t="inlineStr">
        <is>
          <t>LJUNGBY</t>
        </is>
      </c>
      <c r="G3716" t="n">
        <v>0.4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52077-2021</t>
        </is>
      </c>
      <c r="B3717" s="1" t="n">
        <v>44463</v>
      </c>
      <c r="C3717" s="1" t="n">
        <v>45957</v>
      </c>
      <c r="D3717" t="inlineStr">
        <is>
          <t>KRONOBERGS LÄN</t>
        </is>
      </c>
      <c r="E3717" t="inlineStr">
        <is>
          <t>TINGSRYD</t>
        </is>
      </c>
      <c r="G3717" t="n">
        <v>2.5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62320-2022</t>
        </is>
      </c>
      <c r="B3718" s="1" t="n">
        <v>44923</v>
      </c>
      <c r="C3718" s="1" t="n">
        <v>45957</v>
      </c>
      <c r="D3718" t="inlineStr">
        <is>
          <t>KRONOBERGS LÄN</t>
        </is>
      </c>
      <c r="E3718" t="inlineStr">
        <is>
          <t>UPPVIDINGE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62364-2022</t>
        </is>
      </c>
      <c r="B3719" s="1" t="n">
        <v>44923</v>
      </c>
      <c r="C3719" s="1" t="n">
        <v>45957</v>
      </c>
      <c r="D3719" t="inlineStr">
        <is>
          <t>KRONOBERGS LÄN</t>
        </is>
      </c>
      <c r="E3719" t="inlineStr">
        <is>
          <t>LJUNGBY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62366-2022</t>
        </is>
      </c>
      <c r="B3720" s="1" t="n">
        <v>44923.65486111111</v>
      </c>
      <c r="C3720" s="1" t="n">
        <v>45957</v>
      </c>
      <c r="D3720" t="inlineStr">
        <is>
          <t>KRONOBERGS LÄN</t>
        </is>
      </c>
      <c r="E3720" t="inlineStr">
        <is>
          <t>LJUNGBY</t>
        </is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57130-2024</t>
        </is>
      </c>
      <c r="B3721" s="1" t="n">
        <v>45629.38060185185</v>
      </c>
      <c r="C3721" s="1" t="n">
        <v>45957</v>
      </c>
      <c r="D3721" t="inlineStr">
        <is>
          <t>KRONOBERGS LÄN</t>
        </is>
      </c>
      <c r="E3721" t="inlineStr">
        <is>
          <t>UPPVIDINGE</t>
        </is>
      </c>
      <c r="F3721" t="inlineStr">
        <is>
          <t>Sveaskog</t>
        </is>
      </c>
      <c r="G3721" t="n">
        <v>1.8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1704-2025</t>
        </is>
      </c>
      <c r="B3722" s="1" t="n">
        <v>45670</v>
      </c>
      <c r="C3722" s="1" t="n">
        <v>45957</v>
      </c>
      <c r="D3722" t="inlineStr">
        <is>
          <t>KRONOBERGS LÄN</t>
        </is>
      </c>
      <c r="E3722" t="inlineStr">
        <is>
          <t>VÄXJÖ</t>
        </is>
      </c>
      <c r="G3722" t="n">
        <v>0.6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41776-2025</t>
        </is>
      </c>
      <c r="B3723" s="1" t="n">
        <v>45902.56516203703</v>
      </c>
      <c r="C3723" s="1" t="n">
        <v>45957</v>
      </c>
      <c r="D3723" t="inlineStr">
        <is>
          <t>KRONOBERGS LÄN</t>
        </is>
      </c>
      <c r="E3723" t="inlineStr">
        <is>
          <t>UPPVIDINGE</t>
        </is>
      </c>
      <c r="G3723" t="n">
        <v>3.6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32493-2025</t>
        </is>
      </c>
      <c r="B3724" s="1" t="n">
        <v>45838.44895833333</v>
      </c>
      <c r="C3724" s="1" t="n">
        <v>45957</v>
      </c>
      <c r="D3724" t="inlineStr">
        <is>
          <t>KRONOBERGS LÄN</t>
        </is>
      </c>
      <c r="E3724" t="inlineStr">
        <is>
          <t>TINGSRYD</t>
        </is>
      </c>
      <c r="G3724" t="n">
        <v>1.5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10613-2022</t>
        </is>
      </c>
      <c r="B3725" s="1" t="n">
        <v>44624</v>
      </c>
      <c r="C3725" s="1" t="n">
        <v>45957</v>
      </c>
      <c r="D3725" t="inlineStr">
        <is>
          <t>KRONOBERGS LÄN</t>
        </is>
      </c>
      <c r="E3725" t="inlineStr">
        <is>
          <t>TINGSRYD</t>
        </is>
      </c>
      <c r="G3725" t="n">
        <v>7.1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41392-2025</t>
        </is>
      </c>
      <c r="B3726" s="1" t="n">
        <v>45901.31172453704</v>
      </c>
      <c r="C3726" s="1" t="n">
        <v>45957</v>
      </c>
      <c r="D3726" t="inlineStr">
        <is>
          <t>KRONOBERGS LÄN</t>
        </is>
      </c>
      <c r="E3726" t="inlineStr">
        <is>
          <t>UPPVIDINGE</t>
        </is>
      </c>
      <c r="G3726" t="n">
        <v>0.4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12718-2022</t>
        </is>
      </c>
      <c r="B3727" s="1" t="n">
        <v>44641</v>
      </c>
      <c r="C3727" s="1" t="n">
        <v>45957</v>
      </c>
      <c r="D3727" t="inlineStr">
        <is>
          <t>KRONOBERGS LÄN</t>
        </is>
      </c>
      <c r="E3727" t="inlineStr">
        <is>
          <t>ÄLMHULT</t>
        </is>
      </c>
      <c r="G3727" t="n">
        <v>2.9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41530-2025</t>
        </is>
      </c>
      <c r="B3728" s="1" t="n">
        <v>45901.55628472222</v>
      </c>
      <c r="C3728" s="1" t="n">
        <v>45957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20221-2024</t>
        </is>
      </c>
      <c r="B3729" s="1" t="n">
        <v>45434.6920949074</v>
      </c>
      <c r="C3729" s="1" t="n">
        <v>45957</v>
      </c>
      <c r="D3729" t="inlineStr">
        <is>
          <t>KRONOBERGS LÄN</t>
        </is>
      </c>
      <c r="E3729" t="inlineStr">
        <is>
          <t>TINGSRYD</t>
        </is>
      </c>
      <c r="G3729" t="n">
        <v>4.3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58180-2023</t>
        </is>
      </c>
      <c r="B3730" s="1" t="n">
        <v>45250.40770833333</v>
      </c>
      <c r="C3730" s="1" t="n">
        <v>45957</v>
      </c>
      <c r="D3730" t="inlineStr">
        <is>
          <t>KRONOBERGS LÄN</t>
        </is>
      </c>
      <c r="E3730" t="inlineStr">
        <is>
          <t>VÄXJÖ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32000-2025</t>
        </is>
      </c>
      <c r="B3731" s="1" t="n">
        <v>45835.37918981481</v>
      </c>
      <c r="C3731" s="1" t="n">
        <v>45957</v>
      </c>
      <c r="D3731" t="inlineStr">
        <is>
          <t>KRONOBERGS LÄN</t>
        </is>
      </c>
      <c r="E3731" t="inlineStr">
        <is>
          <t>VÄXJÖ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8291-2025</t>
        </is>
      </c>
      <c r="B3732" s="1" t="n">
        <v>45708.57648148148</v>
      </c>
      <c r="C3732" s="1" t="n">
        <v>45957</v>
      </c>
      <c r="D3732" t="inlineStr">
        <is>
          <t>KRONOBERGS LÄN</t>
        </is>
      </c>
      <c r="E3732" t="inlineStr">
        <is>
          <t>ALVESTA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32626-2025</t>
        </is>
      </c>
      <c r="B3733" s="1" t="n">
        <v>45838.65013888889</v>
      </c>
      <c r="C3733" s="1" t="n">
        <v>45957</v>
      </c>
      <c r="D3733" t="inlineStr">
        <is>
          <t>KRONOBERGS LÄN</t>
        </is>
      </c>
      <c r="E3733" t="inlineStr">
        <is>
          <t>ALVESTA</t>
        </is>
      </c>
      <c r="G3733" t="n">
        <v>2.6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38853-2024</t>
        </is>
      </c>
      <c r="B3734" s="1" t="n">
        <v>45547</v>
      </c>
      <c r="C3734" s="1" t="n">
        <v>45957</v>
      </c>
      <c r="D3734" t="inlineStr">
        <is>
          <t>KRONOBERGS LÄN</t>
        </is>
      </c>
      <c r="E3734" t="inlineStr">
        <is>
          <t>TINGSRYD</t>
        </is>
      </c>
      <c r="G3734" t="n">
        <v>3.7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38858-2024</t>
        </is>
      </c>
      <c r="B3735" s="1" t="n">
        <v>45547.6262037037</v>
      </c>
      <c r="C3735" s="1" t="n">
        <v>45957</v>
      </c>
      <c r="D3735" t="inlineStr">
        <is>
          <t>KRONOBERGS LÄN</t>
        </is>
      </c>
      <c r="E3735" t="inlineStr">
        <is>
          <t>UPPVIDINGE</t>
        </is>
      </c>
      <c r="G3735" t="n">
        <v>0.4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32007-2025</t>
        </is>
      </c>
      <c r="B3736" s="1" t="n">
        <v>45835.3862962963</v>
      </c>
      <c r="C3736" s="1" t="n">
        <v>45957</v>
      </c>
      <c r="D3736" t="inlineStr">
        <is>
          <t>KRONOBERGS LÄN</t>
        </is>
      </c>
      <c r="E3736" t="inlineStr">
        <is>
          <t>VÄXJÖ</t>
        </is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28477-2024</t>
        </is>
      </c>
      <c r="B3737" s="1" t="n">
        <v>45477.73711805556</v>
      </c>
      <c r="C3737" s="1" t="n">
        <v>45957</v>
      </c>
      <c r="D3737" t="inlineStr">
        <is>
          <t>KRONOBERGS LÄN</t>
        </is>
      </c>
      <c r="E3737" t="inlineStr">
        <is>
          <t>LESSEBO</t>
        </is>
      </c>
      <c r="F3737" t="inlineStr">
        <is>
          <t>Sveaskog</t>
        </is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32080-2025</t>
        </is>
      </c>
      <c r="B3738" s="1" t="n">
        <v>45835.45200231481</v>
      </c>
      <c r="C3738" s="1" t="n">
        <v>45957</v>
      </c>
      <c r="D3738" t="inlineStr">
        <is>
          <t>KRONOBERGS LÄN</t>
        </is>
      </c>
      <c r="E3738" t="inlineStr">
        <is>
          <t>VÄXJÖ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32110-2025</t>
        </is>
      </c>
      <c r="B3739" s="1" t="n">
        <v>45835.48375</v>
      </c>
      <c r="C3739" s="1" t="n">
        <v>45957</v>
      </c>
      <c r="D3739" t="inlineStr">
        <is>
          <t>KRONOBERGS LÄN</t>
        </is>
      </c>
      <c r="E3739" t="inlineStr">
        <is>
          <t>UPPVIDINGE</t>
        </is>
      </c>
      <c r="G3739" t="n">
        <v>1.2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51652-2021</t>
        </is>
      </c>
      <c r="B3740" s="1" t="n">
        <v>44462</v>
      </c>
      <c r="C3740" s="1" t="n">
        <v>45957</v>
      </c>
      <c r="D3740" t="inlineStr">
        <is>
          <t>KRONOBERGS LÄN</t>
        </is>
      </c>
      <c r="E3740" t="inlineStr">
        <is>
          <t>TINGSRYD</t>
        </is>
      </c>
      <c r="G3740" t="n">
        <v>1.7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22153-2023</t>
        </is>
      </c>
      <c r="B3741" s="1" t="n">
        <v>45069.64322916666</v>
      </c>
      <c r="C3741" s="1" t="n">
        <v>45957</v>
      </c>
      <c r="D3741" t="inlineStr">
        <is>
          <t>KRONOBERGS LÄN</t>
        </is>
      </c>
      <c r="E3741" t="inlineStr">
        <is>
          <t>LJUNGBY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49992-2025</t>
        </is>
      </c>
      <c r="B3742" s="1" t="n">
        <v>45942.93530092593</v>
      </c>
      <c r="C3742" s="1" t="n">
        <v>45957</v>
      </c>
      <c r="D3742" t="inlineStr">
        <is>
          <t>KRONOBERGS LÄN</t>
        </is>
      </c>
      <c r="E3742" t="inlineStr">
        <is>
          <t>MARKARYD</t>
        </is>
      </c>
      <c r="G3742" t="n">
        <v>2.6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4747-2022</t>
        </is>
      </c>
      <c r="B3743" s="1" t="n">
        <v>44592.57989583333</v>
      </c>
      <c r="C3743" s="1" t="n">
        <v>45957</v>
      </c>
      <c r="D3743" t="inlineStr">
        <is>
          <t>KRONOBERGS LÄN</t>
        </is>
      </c>
      <c r="E3743" t="inlineStr">
        <is>
          <t>ÄLMHULT</t>
        </is>
      </c>
      <c r="G3743" t="n">
        <v>4.8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41428-2025</t>
        </is>
      </c>
      <c r="B3744" s="1" t="n">
        <v>45901.3906712963</v>
      </c>
      <c r="C3744" s="1" t="n">
        <v>45957</v>
      </c>
      <c r="D3744" t="inlineStr">
        <is>
          <t>KRONOBERGS LÄN</t>
        </is>
      </c>
      <c r="E3744" t="inlineStr">
        <is>
          <t>ÄLMHULT</t>
        </is>
      </c>
      <c r="G3744" t="n">
        <v>0.6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41772-2023</t>
        </is>
      </c>
      <c r="B3745" s="1" t="n">
        <v>45176.46469907407</v>
      </c>
      <c r="C3745" s="1" t="n">
        <v>45957</v>
      </c>
      <c r="D3745" t="inlineStr">
        <is>
          <t>KRONOBERGS LÄN</t>
        </is>
      </c>
      <c r="E3745" t="inlineStr">
        <is>
          <t>TINGSRYD</t>
        </is>
      </c>
      <c r="G3745" t="n">
        <v>2.3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50413-2025</t>
        </is>
      </c>
      <c r="B3746" s="1" t="n">
        <v>45943</v>
      </c>
      <c r="C3746" s="1" t="n">
        <v>45957</v>
      </c>
      <c r="D3746" t="inlineStr">
        <is>
          <t>KRONOBERGS LÄN</t>
        </is>
      </c>
      <c r="E3746" t="inlineStr">
        <is>
          <t>MARKARYD</t>
        </is>
      </c>
      <c r="G3746" t="n">
        <v>2.4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9629-2022</t>
        </is>
      </c>
      <c r="B3747" s="1" t="n">
        <v>44617</v>
      </c>
      <c r="C3747" s="1" t="n">
        <v>45957</v>
      </c>
      <c r="D3747" t="inlineStr">
        <is>
          <t>KRONOBERGS LÄN</t>
        </is>
      </c>
      <c r="E3747" t="inlineStr">
        <is>
          <t>LJUNGBY</t>
        </is>
      </c>
      <c r="F3747" t="inlineStr">
        <is>
          <t>Kyrkan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32387-2025</t>
        </is>
      </c>
      <c r="B3748" s="1" t="n">
        <v>45837.87837962963</v>
      </c>
      <c r="C3748" s="1" t="n">
        <v>45957</v>
      </c>
      <c r="D3748" t="inlineStr">
        <is>
          <t>KRONOBERGS LÄN</t>
        </is>
      </c>
      <c r="E3748" t="inlineStr">
        <is>
          <t>LJUNGBY</t>
        </is>
      </c>
      <c r="G3748" t="n">
        <v>2.8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32390-2025</t>
        </is>
      </c>
      <c r="B3749" s="1" t="n">
        <v>45837.90488425926</v>
      </c>
      <c r="C3749" s="1" t="n">
        <v>45957</v>
      </c>
      <c r="D3749" t="inlineStr">
        <is>
          <t>KRONOBERGS LÄN</t>
        </is>
      </c>
      <c r="E3749" t="inlineStr">
        <is>
          <t>LJUNGBY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32011-2025</t>
        </is>
      </c>
      <c r="B3750" s="1" t="n">
        <v>45835.39804398148</v>
      </c>
      <c r="C3750" s="1" t="n">
        <v>45957</v>
      </c>
      <c r="D3750" t="inlineStr">
        <is>
          <t>KRONOBERGS LÄN</t>
        </is>
      </c>
      <c r="E3750" t="inlineStr">
        <is>
          <t>LJUNGBY</t>
        </is>
      </c>
      <c r="G3750" t="n">
        <v>1.9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61657-2024</t>
        </is>
      </c>
      <c r="B3751" s="1" t="n">
        <v>45646.79543981481</v>
      </c>
      <c r="C3751" s="1" t="n">
        <v>45957</v>
      </c>
      <c r="D3751" t="inlineStr">
        <is>
          <t>KRONOBERGS LÄN</t>
        </is>
      </c>
      <c r="E3751" t="inlineStr">
        <is>
          <t>TINGSRYD</t>
        </is>
      </c>
      <c r="G3751" t="n">
        <v>2.5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32078-2025</t>
        </is>
      </c>
      <c r="B3752" s="1" t="n">
        <v>45835.45113425926</v>
      </c>
      <c r="C3752" s="1" t="n">
        <v>45957</v>
      </c>
      <c r="D3752" t="inlineStr">
        <is>
          <t>KRONOBERGS LÄN</t>
        </is>
      </c>
      <c r="E3752" t="inlineStr">
        <is>
          <t>VÄXJÖ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51836-2023</t>
        </is>
      </c>
      <c r="B3753" s="1" t="n">
        <v>45223</v>
      </c>
      <c r="C3753" s="1" t="n">
        <v>45957</v>
      </c>
      <c r="D3753" t="inlineStr">
        <is>
          <t>KRONOBERGS LÄN</t>
        </is>
      </c>
      <c r="E3753" t="inlineStr">
        <is>
          <t>UPPVIDINGE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19218-2024</t>
        </is>
      </c>
      <c r="B3754" s="1" t="n">
        <v>45428.55199074074</v>
      </c>
      <c r="C3754" s="1" t="n">
        <v>45957</v>
      </c>
      <c r="D3754" t="inlineStr">
        <is>
          <t>KRONOBERGS LÄN</t>
        </is>
      </c>
      <c r="E3754" t="inlineStr">
        <is>
          <t>UPPVIDINGE</t>
        </is>
      </c>
      <c r="G3754" t="n">
        <v>5.6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61187-2024</t>
        </is>
      </c>
      <c r="B3755" s="1" t="n">
        <v>45645.62145833333</v>
      </c>
      <c r="C3755" s="1" t="n">
        <v>45957</v>
      </c>
      <c r="D3755" t="inlineStr">
        <is>
          <t>KRONOBERGS LÄN</t>
        </is>
      </c>
      <c r="E3755" t="inlineStr">
        <is>
          <t>VÄXJÖ</t>
        </is>
      </c>
      <c r="G3755" t="n">
        <v>1.8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53411-2024</t>
        </is>
      </c>
      <c r="B3756" s="1" t="n">
        <v>45614.50349537037</v>
      </c>
      <c r="C3756" s="1" t="n">
        <v>45957</v>
      </c>
      <c r="D3756" t="inlineStr">
        <is>
          <t>KRONOBERGS LÄN</t>
        </is>
      </c>
      <c r="E3756" t="inlineStr">
        <is>
          <t>LJUNGBY</t>
        </is>
      </c>
      <c r="F3756" t="inlineStr">
        <is>
          <t>Sveaskog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330-2024</t>
        </is>
      </c>
      <c r="B3757" s="1" t="n">
        <v>45295</v>
      </c>
      <c r="C3757" s="1" t="n">
        <v>45957</v>
      </c>
      <c r="D3757" t="inlineStr">
        <is>
          <t>KRONOBERGS LÄN</t>
        </is>
      </c>
      <c r="E3757" t="inlineStr">
        <is>
          <t>UPPVIDINGE</t>
        </is>
      </c>
      <c r="F3757" t="inlineStr">
        <is>
          <t>Sveaskog</t>
        </is>
      </c>
      <c r="G3757" t="n">
        <v>3.2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33152-2025</t>
        </is>
      </c>
      <c r="B3758" s="1" t="n">
        <v>45840.55074074074</v>
      </c>
      <c r="C3758" s="1" t="n">
        <v>45957</v>
      </c>
      <c r="D3758" t="inlineStr">
        <is>
          <t>KRONOBERGS LÄN</t>
        </is>
      </c>
      <c r="E3758" t="inlineStr">
        <is>
          <t>LJUNGBY</t>
        </is>
      </c>
      <c r="G3758" t="n">
        <v>0.8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10061-2025</t>
        </is>
      </c>
      <c r="B3759" s="1" t="n">
        <v>45719.53642361111</v>
      </c>
      <c r="C3759" s="1" t="n">
        <v>45957</v>
      </c>
      <c r="D3759" t="inlineStr">
        <is>
          <t>KRONOBERGS LÄN</t>
        </is>
      </c>
      <c r="E3759" t="inlineStr">
        <is>
          <t>VÄXJÖ</t>
        </is>
      </c>
      <c r="G3759" t="n">
        <v>1.8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5403-2023</t>
        </is>
      </c>
      <c r="B3760" s="1" t="n">
        <v>44959</v>
      </c>
      <c r="C3760" s="1" t="n">
        <v>45957</v>
      </c>
      <c r="D3760" t="inlineStr">
        <is>
          <t>KRONOBERGS LÄN</t>
        </is>
      </c>
      <c r="E3760" t="inlineStr">
        <is>
          <t>LJUNGBY</t>
        </is>
      </c>
      <c r="G3760" t="n">
        <v>0.3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49966-2025</t>
        </is>
      </c>
      <c r="B3761" s="1" t="n">
        <v>45941.47877314815</v>
      </c>
      <c r="C3761" s="1" t="n">
        <v>45957</v>
      </c>
      <c r="D3761" t="inlineStr">
        <is>
          <t>KRONOBERGS LÄN</t>
        </is>
      </c>
      <c r="E3761" t="inlineStr">
        <is>
          <t>UPPVIDINGE</t>
        </is>
      </c>
      <c r="F3761" t="inlineStr">
        <is>
          <t>Sveaskog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49934-2023</t>
        </is>
      </c>
      <c r="B3762" s="1" t="n">
        <v>45215</v>
      </c>
      <c r="C3762" s="1" t="n">
        <v>45957</v>
      </c>
      <c r="D3762" t="inlineStr">
        <is>
          <t>KRONOBERGS LÄN</t>
        </is>
      </c>
      <c r="E3762" t="inlineStr">
        <is>
          <t>ÄLMHULT</t>
        </is>
      </c>
      <c r="G3762" t="n">
        <v>1.8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49961-2023</t>
        </is>
      </c>
      <c r="B3763" s="1" t="n">
        <v>45215</v>
      </c>
      <c r="C3763" s="1" t="n">
        <v>45957</v>
      </c>
      <c r="D3763" t="inlineStr">
        <is>
          <t>KRONOBERGS LÄN</t>
        </is>
      </c>
      <c r="E3763" t="inlineStr">
        <is>
          <t>VÄXJÖ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33094-2025</t>
        </is>
      </c>
      <c r="B3764" s="1" t="n">
        <v>45840.47287037037</v>
      </c>
      <c r="C3764" s="1" t="n">
        <v>45957</v>
      </c>
      <c r="D3764" t="inlineStr">
        <is>
          <t>KRONOBERGS LÄN</t>
        </is>
      </c>
      <c r="E3764" t="inlineStr">
        <is>
          <t>TINGSRYD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45525-2024</t>
        </is>
      </c>
      <c r="B3765" s="1" t="n">
        <v>45578</v>
      </c>
      <c r="C3765" s="1" t="n">
        <v>45957</v>
      </c>
      <c r="D3765" t="inlineStr">
        <is>
          <t>KRONOBERGS LÄN</t>
        </is>
      </c>
      <c r="E3765" t="inlineStr">
        <is>
          <t>ÄLMHULT</t>
        </is>
      </c>
      <c r="G3765" t="n">
        <v>5.7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49979-2023</t>
        </is>
      </c>
      <c r="B3766" s="1" t="n">
        <v>45215.42108796296</v>
      </c>
      <c r="C3766" s="1" t="n">
        <v>45957</v>
      </c>
      <c r="D3766" t="inlineStr">
        <is>
          <t>KRONOBERGS LÄN</t>
        </is>
      </c>
      <c r="E3766" t="inlineStr">
        <is>
          <t>TINGSRYD</t>
        </is>
      </c>
      <c r="G3766" t="n">
        <v>2.4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32384-2025</t>
        </is>
      </c>
      <c r="B3767" s="1" t="n">
        <v>45837.8068287037</v>
      </c>
      <c r="C3767" s="1" t="n">
        <v>45957</v>
      </c>
      <c r="D3767" t="inlineStr">
        <is>
          <t>KRONOBERGS LÄN</t>
        </is>
      </c>
      <c r="E3767" t="inlineStr">
        <is>
          <t>MARKARYD</t>
        </is>
      </c>
      <c r="G3767" t="n">
        <v>3.8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18836-2024</t>
        </is>
      </c>
      <c r="B3768" s="1" t="n">
        <v>45426</v>
      </c>
      <c r="C3768" s="1" t="n">
        <v>45957</v>
      </c>
      <c r="D3768" t="inlineStr">
        <is>
          <t>KRONOBERGS LÄN</t>
        </is>
      </c>
      <c r="E3768" t="inlineStr">
        <is>
          <t>ALVESTA</t>
        </is>
      </c>
      <c r="G3768" t="n">
        <v>1.9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32719-2025</t>
        </is>
      </c>
      <c r="B3769" s="1" t="n">
        <v>45839</v>
      </c>
      <c r="C3769" s="1" t="n">
        <v>45957</v>
      </c>
      <c r="D3769" t="inlineStr">
        <is>
          <t>KRONOBERGS LÄN</t>
        </is>
      </c>
      <c r="E3769" t="inlineStr">
        <is>
          <t>UPPVIDINGE</t>
        </is>
      </c>
      <c r="G3769" t="n">
        <v>1.2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32290-2024</t>
        </is>
      </c>
      <c r="B3770" s="1" t="n">
        <v>45512.42822916667</v>
      </c>
      <c r="C3770" s="1" t="n">
        <v>45957</v>
      </c>
      <c r="D3770" t="inlineStr">
        <is>
          <t>KRONOBERGS LÄN</t>
        </is>
      </c>
      <c r="E3770" t="inlineStr">
        <is>
          <t>ÄLMHULT</t>
        </is>
      </c>
      <c r="G3770" t="n">
        <v>2.7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1043-2024</t>
        </is>
      </c>
      <c r="B3771" s="1" t="n">
        <v>45301.83475694444</v>
      </c>
      <c r="C3771" s="1" t="n">
        <v>45957</v>
      </c>
      <c r="D3771" t="inlineStr">
        <is>
          <t>KRONOBERGS LÄN</t>
        </is>
      </c>
      <c r="E3771" t="inlineStr">
        <is>
          <t>LJUNGBY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45666-2024</t>
        </is>
      </c>
      <c r="B3772" s="1" t="n">
        <v>45579</v>
      </c>
      <c r="C3772" s="1" t="n">
        <v>45957</v>
      </c>
      <c r="D3772" t="inlineStr">
        <is>
          <t>KRONOBERGS LÄN</t>
        </is>
      </c>
      <c r="E3772" t="inlineStr">
        <is>
          <t>TINGSRYD</t>
        </is>
      </c>
      <c r="G3772" t="n">
        <v>2.2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45671-2024</t>
        </is>
      </c>
      <c r="B3773" s="1" t="n">
        <v>45579.50758101852</v>
      </c>
      <c r="C3773" s="1" t="n">
        <v>45957</v>
      </c>
      <c r="D3773" t="inlineStr">
        <is>
          <t>KRONOBERGS LÄN</t>
        </is>
      </c>
      <c r="E3773" t="inlineStr">
        <is>
          <t>LESSEBO</t>
        </is>
      </c>
      <c r="F3773" t="inlineStr">
        <is>
          <t>Sveaskog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52430-2024</t>
        </is>
      </c>
      <c r="B3774" s="1" t="n">
        <v>45609.47512731481</v>
      </c>
      <c r="C3774" s="1" t="n">
        <v>45957</v>
      </c>
      <c r="D3774" t="inlineStr">
        <is>
          <t>KRONOBERGS LÄN</t>
        </is>
      </c>
      <c r="E3774" t="inlineStr">
        <is>
          <t>TINGSRYD</t>
        </is>
      </c>
      <c r="G3774" t="n">
        <v>2.5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56780-2024</t>
        </is>
      </c>
      <c r="B3775" s="1" t="n">
        <v>45628.44303240741</v>
      </c>
      <c r="C3775" s="1" t="n">
        <v>45957</v>
      </c>
      <c r="D3775" t="inlineStr">
        <is>
          <t>KRONOBERGS LÄN</t>
        </is>
      </c>
      <c r="E3775" t="inlineStr">
        <is>
          <t>LJUNGBY</t>
        </is>
      </c>
      <c r="G3775" t="n">
        <v>1.7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32825-2025</t>
        </is>
      </c>
      <c r="B3776" s="1" t="n">
        <v>45839.54353009259</v>
      </c>
      <c r="C3776" s="1" t="n">
        <v>45957</v>
      </c>
      <c r="D3776" t="inlineStr">
        <is>
          <t>KRONOBERGS LÄN</t>
        </is>
      </c>
      <c r="E3776" t="inlineStr">
        <is>
          <t>ÄLMHULT</t>
        </is>
      </c>
      <c r="G3776" t="n">
        <v>3.9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32884-2025</t>
        </is>
      </c>
      <c r="B3777" s="1" t="n">
        <v>45839.59809027778</v>
      </c>
      <c r="C3777" s="1" t="n">
        <v>45957</v>
      </c>
      <c r="D3777" t="inlineStr">
        <is>
          <t>KRONOBERGS LÄN</t>
        </is>
      </c>
      <c r="E3777" t="inlineStr">
        <is>
          <t>TINGSRYD</t>
        </is>
      </c>
      <c r="G3777" t="n">
        <v>2.5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32712-2025</t>
        </is>
      </c>
      <c r="B3778" s="1" t="n">
        <v>45839.36814814815</v>
      </c>
      <c r="C3778" s="1" t="n">
        <v>45957</v>
      </c>
      <c r="D3778" t="inlineStr">
        <is>
          <t>KRONOBERGS LÄN</t>
        </is>
      </c>
      <c r="E3778" t="inlineStr">
        <is>
          <t>LESSEBO</t>
        </is>
      </c>
      <c r="F3778" t="inlineStr">
        <is>
          <t>Sveaskog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10009-2022</t>
        </is>
      </c>
      <c r="B3779" s="1" t="n">
        <v>44621.48859953704</v>
      </c>
      <c r="C3779" s="1" t="n">
        <v>45957</v>
      </c>
      <c r="D3779" t="inlineStr">
        <is>
          <t>KRONOBERGS LÄN</t>
        </is>
      </c>
      <c r="E3779" t="inlineStr">
        <is>
          <t>TINGSRYD</t>
        </is>
      </c>
      <c r="G3779" t="n">
        <v>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32806-2025</t>
        </is>
      </c>
      <c r="B3780" s="1" t="n">
        <v>45839.50266203703</v>
      </c>
      <c r="C3780" s="1" t="n">
        <v>45957</v>
      </c>
      <c r="D3780" t="inlineStr">
        <is>
          <t>KRONOBERGS LÄN</t>
        </is>
      </c>
      <c r="E3780" t="inlineStr">
        <is>
          <t>ÄLMHULT</t>
        </is>
      </c>
      <c r="G3780" t="n">
        <v>2.3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32868-2025</t>
        </is>
      </c>
      <c r="B3781" s="1" t="n">
        <v>45839</v>
      </c>
      <c r="C3781" s="1" t="n">
        <v>45957</v>
      </c>
      <c r="D3781" t="inlineStr">
        <is>
          <t>KRONOBERGS LÄN</t>
        </is>
      </c>
      <c r="E3781" t="inlineStr">
        <is>
          <t>VÄXJÖ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63209-2023</t>
        </is>
      </c>
      <c r="B3782" s="1" t="n">
        <v>45273.615</v>
      </c>
      <c r="C3782" s="1" t="n">
        <v>45957</v>
      </c>
      <c r="D3782" t="inlineStr">
        <is>
          <t>KRONOBERGS LÄN</t>
        </is>
      </c>
      <c r="E3782" t="inlineStr">
        <is>
          <t>UPPVIDINGE</t>
        </is>
      </c>
      <c r="G3782" t="n">
        <v>5.5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33100-2025</t>
        </is>
      </c>
      <c r="B3783" s="1" t="n">
        <v>45840.479375</v>
      </c>
      <c r="C3783" s="1" t="n">
        <v>45957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32693-2025</t>
        </is>
      </c>
      <c r="B3784" s="1" t="n">
        <v>45839.30163194444</v>
      </c>
      <c r="C3784" s="1" t="n">
        <v>45957</v>
      </c>
      <c r="D3784" t="inlineStr">
        <is>
          <t>KRONOBERGS LÄN</t>
        </is>
      </c>
      <c r="E3784" t="inlineStr">
        <is>
          <t>ALVESTA</t>
        </is>
      </c>
      <c r="G3784" t="n">
        <v>2.6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33151-2025</t>
        </is>
      </c>
      <c r="B3785" s="1" t="n">
        <v>45840.5487037037</v>
      </c>
      <c r="C3785" s="1" t="n">
        <v>45957</v>
      </c>
      <c r="D3785" t="inlineStr">
        <is>
          <t>KRONOBERGS LÄN</t>
        </is>
      </c>
      <c r="E3785" t="inlineStr">
        <is>
          <t>LJUNGBY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33252-2025</t>
        </is>
      </c>
      <c r="B3786" s="1" t="n">
        <v>45840.66209490741</v>
      </c>
      <c r="C3786" s="1" t="n">
        <v>45957</v>
      </c>
      <c r="D3786" t="inlineStr">
        <is>
          <t>KRONOBERGS LÄN</t>
        </is>
      </c>
      <c r="E3786" t="inlineStr">
        <is>
          <t>UPPVIDINGE</t>
        </is>
      </c>
      <c r="G3786" t="n">
        <v>1.2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44667-2024</t>
        </is>
      </c>
      <c r="B3787" s="1" t="n">
        <v>45574</v>
      </c>
      <c r="C3787" s="1" t="n">
        <v>45957</v>
      </c>
      <c r="D3787" t="inlineStr">
        <is>
          <t>KRONOBERGS LÄN</t>
        </is>
      </c>
      <c r="E3787" t="inlineStr">
        <is>
          <t>TINGSRYD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44670-2024</t>
        </is>
      </c>
      <c r="B3788" s="1" t="n">
        <v>45574</v>
      </c>
      <c r="C3788" s="1" t="n">
        <v>45957</v>
      </c>
      <c r="D3788" t="inlineStr">
        <is>
          <t>KRONOBERGS LÄN</t>
        </is>
      </c>
      <c r="E3788" t="inlineStr">
        <is>
          <t>TINGSRYD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53252-2022</t>
        </is>
      </c>
      <c r="B3789" s="1" t="n">
        <v>44876.69168981481</v>
      </c>
      <c r="C3789" s="1" t="n">
        <v>45957</v>
      </c>
      <c r="D3789" t="inlineStr">
        <is>
          <t>KRONOBERGS LÄN</t>
        </is>
      </c>
      <c r="E3789" t="inlineStr">
        <is>
          <t>VÄXJÖ</t>
        </is>
      </c>
      <c r="F3789" t="inlineStr">
        <is>
          <t>Sveaskog</t>
        </is>
      </c>
      <c r="G3789" t="n">
        <v>3.6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41796-2025</t>
        </is>
      </c>
      <c r="B3790" s="1" t="n">
        <v>45902.60076388889</v>
      </c>
      <c r="C3790" s="1" t="n">
        <v>45957</v>
      </c>
      <c r="D3790" t="inlineStr">
        <is>
          <t>KRONOBERGS LÄN</t>
        </is>
      </c>
      <c r="E3790" t="inlineStr">
        <is>
          <t>ÄLMHULT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41797-2025</t>
        </is>
      </c>
      <c r="B3791" s="1" t="n">
        <v>45902.6025</v>
      </c>
      <c r="C3791" s="1" t="n">
        <v>45957</v>
      </c>
      <c r="D3791" t="inlineStr">
        <is>
          <t>KRONOBERGS LÄN</t>
        </is>
      </c>
      <c r="E3791" t="inlineStr">
        <is>
          <t>LJUNGBY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41817-2025</t>
        </is>
      </c>
      <c r="B3792" s="1" t="n">
        <v>45902</v>
      </c>
      <c r="C3792" s="1" t="n">
        <v>45957</v>
      </c>
      <c r="D3792" t="inlineStr">
        <is>
          <t>KRONOBERGS LÄN</t>
        </is>
      </c>
      <c r="E3792" t="inlineStr">
        <is>
          <t>VÄXJÖ</t>
        </is>
      </c>
      <c r="G3792" t="n">
        <v>8.4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62309-2023</t>
        </is>
      </c>
      <c r="B3793" s="1" t="n">
        <v>45267</v>
      </c>
      <c r="C3793" s="1" t="n">
        <v>45957</v>
      </c>
      <c r="D3793" t="inlineStr">
        <is>
          <t>KRONOBERGS LÄN</t>
        </is>
      </c>
      <c r="E3793" t="inlineStr">
        <is>
          <t>MARKARYD</t>
        </is>
      </c>
      <c r="G3793" t="n">
        <v>13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44734-2024</t>
        </is>
      </c>
      <c r="B3794" s="1" t="n">
        <v>45574.59</v>
      </c>
      <c r="C3794" s="1" t="n">
        <v>45957</v>
      </c>
      <c r="D3794" t="inlineStr">
        <is>
          <t>KRONOBERGS LÄN</t>
        </is>
      </c>
      <c r="E3794" t="inlineStr">
        <is>
          <t>TINGSRYD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8789-2022</t>
        </is>
      </c>
      <c r="B3795" s="1" t="n">
        <v>44614.42685185185</v>
      </c>
      <c r="C3795" s="1" t="n">
        <v>45957</v>
      </c>
      <c r="D3795" t="inlineStr">
        <is>
          <t>KRONOBERGS LÄN</t>
        </is>
      </c>
      <c r="E3795" t="inlineStr">
        <is>
          <t>TINGSRYD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41822-2025</t>
        </is>
      </c>
      <c r="B3796" s="1" t="n">
        <v>45902.6637962963</v>
      </c>
      <c r="C3796" s="1" t="n">
        <v>45957</v>
      </c>
      <c r="D3796" t="inlineStr">
        <is>
          <t>KRONOBERGS LÄN</t>
        </is>
      </c>
      <c r="E3796" t="inlineStr">
        <is>
          <t>VÄXJÖ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46020-2024</t>
        </is>
      </c>
      <c r="B3797" s="1" t="n">
        <v>45580.68637731481</v>
      </c>
      <c r="C3797" s="1" t="n">
        <v>45957</v>
      </c>
      <c r="D3797" t="inlineStr">
        <is>
          <t>KRONOBERGS LÄN</t>
        </is>
      </c>
      <c r="E3797" t="inlineStr">
        <is>
          <t>TINGSRYD</t>
        </is>
      </c>
      <c r="G3797" t="n">
        <v>6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46021-2024</t>
        </is>
      </c>
      <c r="B3798" s="1" t="n">
        <v>45580.6872337963</v>
      </c>
      <c r="C3798" s="1" t="n">
        <v>45957</v>
      </c>
      <c r="D3798" t="inlineStr">
        <is>
          <t>KRONOBERGS LÄN</t>
        </is>
      </c>
      <c r="E3798" t="inlineStr">
        <is>
          <t>TINGSRYD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795-2022</t>
        </is>
      </c>
      <c r="B3799" s="1" t="n">
        <v>44566</v>
      </c>
      <c r="C3799" s="1" t="n">
        <v>45957</v>
      </c>
      <c r="D3799" t="inlineStr">
        <is>
          <t>KRONOBERGS LÄN</t>
        </is>
      </c>
      <c r="E3799" t="inlineStr">
        <is>
          <t>UPPVIDINGE</t>
        </is>
      </c>
      <c r="G3799" t="n">
        <v>3.3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2015-2024</t>
        </is>
      </c>
      <c r="B3800" s="1" t="n">
        <v>45308</v>
      </c>
      <c r="C3800" s="1" t="n">
        <v>45957</v>
      </c>
      <c r="D3800" t="inlineStr">
        <is>
          <t>KRONOBERGS LÄN</t>
        </is>
      </c>
      <c r="E3800" t="inlineStr">
        <is>
          <t>ÄLMHULT</t>
        </is>
      </c>
      <c r="G3800" t="n">
        <v>2.3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25344-2025</t>
        </is>
      </c>
      <c r="B3801" s="1" t="n">
        <v>45800</v>
      </c>
      <c r="C3801" s="1" t="n">
        <v>45957</v>
      </c>
      <c r="D3801" t="inlineStr">
        <is>
          <t>KRONOBERGS LÄN</t>
        </is>
      </c>
      <c r="E3801" t="inlineStr">
        <is>
          <t>ALVESTA</t>
        </is>
      </c>
      <c r="G3801" t="n">
        <v>2.2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19873-2025</t>
        </is>
      </c>
      <c r="B3802" s="1" t="n">
        <v>45771.54695601852</v>
      </c>
      <c r="C3802" s="1" t="n">
        <v>45957</v>
      </c>
      <c r="D3802" t="inlineStr">
        <is>
          <t>KRONOBERGS LÄN</t>
        </is>
      </c>
      <c r="E3802" t="inlineStr">
        <is>
          <t>ÄLMHULT</t>
        </is>
      </c>
      <c r="F3802" t="inlineStr">
        <is>
          <t>Sveaskog</t>
        </is>
      </c>
      <c r="G3802" t="n">
        <v>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19874-2025</t>
        </is>
      </c>
      <c r="B3803" s="1" t="n">
        <v>45771.54863425926</v>
      </c>
      <c r="C3803" s="1" t="n">
        <v>45957</v>
      </c>
      <c r="D3803" t="inlineStr">
        <is>
          <t>KRONOBERGS LÄN</t>
        </is>
      </c>
      <c r="E3803" t="inlineStr">
        <is>
          <t>ÄLMHULT</t>
        </is>
      </c>
      <c r="F3803" t="inlineStr">
        <is>
          <t>Sveaskog</t>
        </is>
      </c>
      <c r="G3803" t="n">
        <v>1.8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32881-2025</t>
        </is>
      </c>
      <c r="B3804" s="1" t="n">
        <v>45839</v>
      </c>
      <c r="C3804" s="1" t="n">
        <v>45957</v>
      </c>
      <c r="D3804" t="inlineStr">
        <is>
          <t>KRONOBERGS LÄN</t>
        </is>
      </c>
      <c r="E3804" t="inlineStr">
        <is>
          <t>UPPVIDINGE</t>
        </is>
      </c>
      <c r="G3804" t="n">
        <v>5.6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41643-2025</t>
        </is>
      </c>
      <c r="B3805" s="1" t="n">
        <v>45902.3184375</v>
      </c>
      <c r="C3805" s="1" t="n">
        <v>45957</v>
      </c>
      <c r="D3805" t="inlineStr">
        <is>
          <t>KRONOBERGS LÄN</t>
        </is>
      </c>
      <c r="E3805" t="inlineStr">
        <is>
          <t>LJUNGBY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32381-2025</t>
        </is>
      </c>
      <c r="B3806" s="1" t="n">
        <v>45837.77806712963</v>
      </c>
      <c r="C3806" s="1" t="n">
        <v>45957</v>
      </c>
      <c r="D3806" t="inlineStr">
        <is>
          <t>KRONOBERGS LÄN</t>
        </is>
      </c>
      <c r="E3806" t="inlineStr">
        <is>
          <t>MARKARYD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19237-2024</t>
        </is>
      </c>
      <c r="B3807" s="1" t="n">
        <v>45428.57160879629</v>
      </c>
      <c r="C3807" s="1" t="n">
        <v>45957</v>
      </c>
      <c r="D3807" t="inlineStr">
        <is>
          <t>KRONOBERGS LÄN</t>
        </is>
      </c>
      <c r="E3807" t="inlineStr">
        <is>
          <t>UPPVIDINGE</t>
        </is>
      </c>
      <c r="G3807" t="n">
        <v>4.2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57188-2024</t>
        </is>
      </c>
      <c r="B3808" s="1" t="n">
        <v>45629.45599537037</v>
      </c>
      <c r="C3808" s="1" t="n">
        <v>45957</v>
      </c>
      <c r="D3808" t="inlineStr">
        <is>
          <t>KRONOBERGS LÄN</t>
        </is>
      </c>
      <c r="E3808" t="inlineStr">
        <is>
          <t>VÄXJÖ</t>
        </is>
      </c>
      <c r="G3808" t="n">
        <v>0.3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9815-2023</t>
        </is>
      </c>
      <c r="B3809" s="1" t="n">
        <v>44984</v>
      </c>
      <c r="C3809" s="1" t="n">
        <v>45957</v>
      </c>
      <c r="D3809" t="inlineStr">
        <is>
          <t>KRONOBERGS LÄN</t>
        </is>
      </c>
      <c r="E3809" t="inlineStr">
        <is>
          <t>TINGSRYD</t>
        </is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4646-2024</t>
        </is>
      </c>
      <c r="B3810" s="1" t="n">
        <v>45328</v>
      </c>
      <c r="C3810" s="1" t="n">
        <v>45957</v>
      </c>
      <c r="D3810" t="inlineStr">
        <is>
          <t>KRONOBERGS LÄN</t>
        </is>
      </c>
      <c r="E3810" t="inlineStr">
        <is>
          <t>VÄXJÖ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4653-2024</t>
        </is>
      </c>
      <c r="B3811" s="1" t="n">
        <v>45328</v>
      </c>
      <c r="C3811" s="1" t="n">
        <v>45957</v>
      </c>
      <c r="D3811" t="inlineStr">
        <is>
          <t>KRONOBERGS LÄN</t>
        </is>
      </c>
      <c r="E3811" t="inlineStr">
        <is>
          <t>VÄXJÖ</t>
        </is>
      </c>
      <c r="G3811" t="n">
        <v>2.5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59873-2021</t>
        </is>
      </c>
      <c r="B3812" s="1" t="n">
        <v>44494.60379629629</v>
      </c>
      <c r="C3812" s="1" t="n">
        <v>45957</v>
      </c>
      <c r="D3812" t="inlineStr">
        <is>
          <t>KRONOBERGS LÄN</t>
        </is>
      </c>
      <c r="E3812" t="inlineStr">
        <is>
          <t>VÄXJÖ</t>
        </is>
      </c>
      <c r="G3812" t="n">
        <v>1.2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14584-2023</t>
        </is>
      </c>
      <c r="B3813" s="1" t="n">
        <v>45013.53026620371</v>
      </c>
      <c r="C3813" s="1" t="n">
        <v>45957</v>
      </c>
      <c r="D3813" t="inlineStr">
        <is>
          <t>KRONOBERGS LÄN</t>
        </is>
      </c>
      <c r="E3813" t="inlineStr">
        <is>
          <t>LESSEBO</t>
        </is>
      </c>
      <c r="G3813" t="n">
        <v>0.6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60118-2023</t>
        </is>
      </c>
      <c r="B3814" s="1" t="n">
        <v>45258.47685185185</v>
      </c>
      <c r="C3814" s="1" t="n">
        <v>45957</v>
      </c>
      <c r="D3814" t="inlineStr">
        <is>
          <t>KRONOBERGS LÄN</t>
        </is>
      </c>
      <c r="E3814" t="inlineStr">
        <is>
          <t>MARKARYD</t>
        </is>
      </c>
      <c r="G3814" t="n">
        <v>0.9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3516-2025</t>
        </is>
      </c>
      <c r="B3815" s="1" t="n">
        <v>45680.59795138889</v>
      </c>
      <c r="C3815" s="1" t="n">
        <v>45957</v>
      </c>
      <c r="D3815" t="inlineStr">
        <is>
          <t>KRONOBERGS LÄN</t>
        </is>
      </c>
      <c r="E3815" t="inlineStr">
        <is>
          <t>ÄLMHULT</t>
        </is>
      </c>
      <c r="F3815" t="inlineStr">
        <is>
          <t>Sveaskog</t>
        </is>
      </c>
      <c r="G3815" t="n">
        <v>7.2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4077-2024</t>
        </is>
      </c>
      <c r="B3816" s="1" t="n">
        <v>45323.60738425926</v>
      </c>
      <c r="C3816" s="1" t="n">
        <v>45957</v>
      </c>
      <c r="D3816" t="inlineStr">
        <is>
          <t>KRONOBERGS LÄN</t>
        </is>
      </c>
      <c r="E3816" t="inlineStr">
        <is>
          <t>TINGSRYD</t>
        </is>
      </c>
      <c r="G3816" t="n">
        <v>2.6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1707-2024</t>
        </is>
      </c>
      <c r="B3817" s="1" t="n">
        <v>45307.39928240741</v>
      </c>
      <c r="C3817" s="1" t="n">
        <v>45957</v>
      </c>
      <c r="D3817" t="inlineStr">
        <is>
          <t>KRONOBERGS LÄN</t>
        </is>
      </c>
      <c r="E3817" t="inlineStr">
        <is>
          <t>TINGSRYD</t>
        </is>
      </c>
      <c r="F3817" t="inlineStr">
        <is>
          <t>Sveaskog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50279-2025</t>
        </is>
      </c>
      <c r="B3818" s="1" t="n">
        <v>45944.38280092592</v>
      </c>
      <c r="C3818" s="1" t="n">
        <v>45957</v>
      </c>
      <c r="D3818" t="inlineStr">
        <is>
          <t>KRONOBERGS LÄN</t>
        </is>
      </c>
      <c r="E3818" t="inlineStr">
        <is>
          <t>TINGSRYD</t>
        </is>
      </c>
      <c r="G3818" t="n">
        <v>1.9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45275-2023</t>
        </is>
      </c>
      <c r="B3819" s="1" t="n">
        <v>45191.63966435185</v>
      </c>
      <c r="C3819" s="1" t="n">
        <v>45957</v>
      </c>
      <c r="D3819" t="inlineStr">
        <is>
          <t>KRONOBERGS LÄN</t>
        </is>
      </c>
      <c r="E3819" t="inlineStr">
        <is>
          <t>MARKARYD</t>
        </is>
      </c>
      <c r="G3819" t="n">
        <v>2.5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2351-2025</t>
        </is>
      </c>
      <c r="B3820" s="1" t="n">
        <v>45673.6791087963</v>
      </c>
      <c r="C3820" s="1" t="n">
        <v>45957</v>
      </c>
      <c r="D3820" t="inlineStr">
        <is>
          <t>KRONOBERGS LÄN</t>
        </is>
      </c>
      <c r="E3820" t="inlineStr">
        <is>
          <t>MARKARYD</t>
        </is>
      </c>
      <c r="G3820" t="n">
        <v>1.8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30666-2025</t>
        </is>
      </c>
      <c r="B3821" s="1" t="n">
        <v>45831.51474537037</v>
      </c>
      <c r="C3821" s="1" t="n">
        <v>45957</v>
      </c>
      <c r="D3821" t="inlineStr">
        <is>
          <t>KRONOBERGS LÄN</t>
        </is>
      </c>
      <c r="E3821" t="inlineStr">
        <is>
          <t>VÄXJÖ</t>
        </is>
      </c>
      <c r="G3821" t="n">
        <v>2.1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581-2025</t>
        </is>
      </c>
      <c r="B3822" s="1" t="n">
        <v>45664.57111111111</v>
      </c>
      <c r="C3822" s="1" t="n">
        <v>45957</v>
      </c>
      <c r="D3822" t="inlineStr">
        <is>
          <t>KRONOBERGS LÄN</t>
        </is>
      </c>
      <c r="E3822" t="inlineStr">
        <is>
          <t>UPPVIDINGE</t>
        </is>
      </c>
      <c r="G3822" t="n">
        <v>6.7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32879-2025</t>
        </is>
      </c>
      <c r="B3823" s="1" t="n">
        <v>45839.59554398148</v>
      </c>
      <c r="C3823" s="1" t="n">
        <v>45957</v>
      </c>
      <c r="D3823" t="inlineStr">
        <is>
          <t>KRONOBERGS LÄN</t>
        </is>
      </c>
      <c r="E3823" t="inlineStr">
        <is>
          <t>TINGSRYD</t>
        </is>
      </c>
      <c r="G3823" t="n">
        <v>0.8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2693-2025</t>
        </is>
      </c>
      <c r="B3824" s="1" t="n">
        <v>45677.37925925926</v>
      </c>
      <c r="C3824" s="1" t="n">
        <v>45957</v>
      </c>
      <c r="D3824" t="inlineStr">
        <is>
          <t>KRONOBERGS LÄN</t>
        </is>
      </c>
      <c r="E3824" t="inlineStr">
        <is>
          <t>LJUNGBY</t>
        </is>
      </c>
      <c r="G3824" t="n">
        <v>0.5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11427-2024</t>
        </is>
      </c>
      <c r="B3825" s="1" t="n">
        <v>45372.50484953704</v>
      </c>
      <c r="C3825" s="1" t="n">
        <v>45957</v>
      </c>
      <c r="D3825" t="inlineStr">
        <is>
          <t>KRONOBERGS LÄN</t>
        </is>
      </c>
      <c r="E3825" t="inlineStr">
        <is>
          <t>ÄLMHULT</t>
        </is>
      </c>
      <c r="G3825" t="n">
        <v>0.5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33110-2025</t>
        </is>
      </c>
      <c r="B3826" s="1" t="n">
        <v>45840.48662037037</v>
      </c>
      <c r="C3826" s="1" t="n">
        <v>45957</v>
      </c>
      <c r="D3826" t="inlineStr">
        <is>
          <t>KRONOBERGS LÄN</t>
        </is>
      </c>
      <c r="E3826" t="inlineStr">
        <is>
          <t>ALVESTA</t>
        </is>
      </c>
      <c r="G3826" t="n">
        <v>1.9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33066-2025</t>
        </is>
      </c>
      <c r="B3827" s="1" t="n">
        <v>45840.44729166666</v>
      </c>
      <c r="C3827" s="1" t="n">
        <v>45957</v>
      </c>
      <c r="D3827" t="inlineStr">
        <is>
          <t>KRONOBERGS LÄN</t>
        </is>
      </c>
      <c r="E3827" t="inlineStr">
        <is>
          <t>VÄXJÖ</t>
        </is>
      </c>
      <c r="G3827" t="n">
        <v>3.2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33116-2025</t>
        </is>
      </c>
      <c r="B3828" s="1" t="n">
        <v>45840.49215277778</v>
      </c>
      <c r="C3828" s="1" t="n">
        <v>45957</v>
      </c>
      <c r="D3828" t="inlineStr">
        <is>
          <t>KRONOBERGS LÄN</t>
        </is>
      </c>
      <c r="E3828" t="inlineStr">
        <is>
          <t>UPPVIDINGE</t>
        </is>
      </c>
      <c r="G3828" t="n">
        <v>1.5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20538-2023</t>
        </is>
      </c>
      <c r="B3829" s="1" t="n">
        <v>45057</v>
      </c>
      <c r="C3829" s="1" t="n">
        <v>45957</v>
      </c>
      <c r="D3829" t="inlineStr">
        <is>
          <t>KRONOBERGS LÄN</t>
        </is>
      </c>
      <c r="E3829" t="inlineStr">
        <is>
          <t>UPPVIDINGE</t>
        </is>
      </c>
      <c r="G3829" t="n">
        <v>0.9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48152-2023</t>
        </is>
      </c>
      <c r="B3830" s="1" t="n">
        <v>45205</v>
      </c>
      <c r="C3830" s="1" t="n">
        <v>45957</v>
      </c>
      <c r="D3830" t="inlineStr">
        <is>
          <t>KRONOBERGS LÄN</t>
        </is>
      </c>
      <c r="E3830" t="inlineStr">
        <is>
          <t>LJUNGBY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30599-2025</t>
        </is>
      </c>
      <c r="B3831" s="1" t="n">
        <v>45831</v>
      </c>
      <c r="C3831" s="1" t="n">
        <v>45957</v>
      </c>
      <c r="D3831" t="inlineStr">
        <is>
          <t>KRONOBERGS LÄN</t>
        </is>
      </c>
      <c r="E3831" t="inlineStr">
        <is>
          <t>VÄXJÖ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3136-2025</t>
        </is>
      </c>
      <c r="B3832" s="1" t="n">
        <v>45678.75386574074</v>
      </c>
      <c r="C3832" s="1" t="n">
        <v>45957</v>
      </c>
      <c r="D3832" t="inlineStr">
        <is>
          <t>KRONOBERGS LÄN</t>
        </is>
      </c>
      <c r="E3832" t="inlineStr">
        <is>
          <t>MARKARYD</t>
        </is>
      </c>
      <c r="G3832" t="n">
        <v>0.9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3146-2025</t>
        </is>
      </c>
      <c r="B3833" s="1" t="n">
        <v>45678.77172453704</v>
      </c>
      <c r="C3833" s="1" t="n">
        <v>45957</v>
      </c>
      <c r="D3833" t="inlineStr">
        <is>
          <t>KRONOBERGS LÄN</t>
        </is>
      </c>
      <c r="E3833" t="inlineStr">
        <is>
          <t>MARKARYD</t>
        </is>
      </c>
      <c r="G3833" t="n">
        <v>1.2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61902-2024</t>
        </is>
      </c>
      <c r="B3834" s="1" t="n">
        <v>45653.30021990741</v>
      </c>
      <c r="C3834" s="1" t="n">
        <v>45957</v>
      </c>
      <c r="D3834" t="inlineStr">
        <is>
          <t>KRONOBERGS LÄN</t>
        </is>
      </c>
      <c r="E3834" t="inlineStr">
        <is>
          <t>ALVESTA</t>
        </is>
      </c>
      <c r="G3834" t="n">
        <v>0.4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43094-2024</t>
        </is>
      </c>
      <c r="B3835" s="1" t="n">
        <v>45567.53571759259</v>
      </c>
      <c r="C3835" s="1" t="n">
        <v>45957</v>
      </c>
      <c r="D3835" t="inlineStr">
        <is>
          <t>KRONOBERGS LÄN</t>
        </is>
      </c>
      <c r="E3835" t="inlineStr">
        <is>
          <t>UPPVIDINGE</t>
        </is>
      </c>
      <c r="G3835" t="n">
        <v>5.3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50316-2025</t>
        </is>
      </c>
      <c r="B3836" s="1" t="n">
        <v>45944.44701388889</v>
      </c>
      <c r="C3836" s="1" t="n">
        <v>45957</v>
      </c>
      <c r="D3836" t="inlineStr">
        <is>
          <t>KRONOBERGS LÄN</t>
        </is>
      </c>
      <c r="E3836" t="inlineStr">
        <is>
          <t>VÄXJÖ</t>
        </is>
      </c>
      <c r="G3836" t="n">
        <v>1.7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32858-2025</t>
        </is>
      </c>
      <c r="B3837" s="1" t="n">
        <v>45839.58087962963</v>
      </c>
      <c r="C3837" s="1" t="n">
        <v>45957</v>
      </c>
      <c r="D3837" t="inlineStr">
        <is>
          <t>KRONOBERGS LÄN</t>
        </is>
      </c>
      <c r="E3837" t="inlineStr">
        <is>
          <t>UPPVIDINGE</t>
        </is>
      </c>
      <c r="G3837" t="n">
        <v>1.9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31565-2023</t>
        </is>
      </c>
      <c r="B3838" s="1" t="n">
        <v>45117</v>
      </c>
      <c r="C3838" s="1" t="n">
        <v>45957</v>
      </c>
      <c r="D3838" t="inlineStr">
        <is>
          <t>KRONOBERGS LÄN</t>
        </is>
      </c>
      <c r="E3838" t="inlineStr">
        <is>
          <t>UPPVIDINGE</t>
        </is>
      </c>
      <c r="G3838" t="n">
        <v>6.9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31603-2023</t>
        </is>
      </c>
      <c r="B3839" s="1" t="n">
        <v>45117</v>
      </c>
      <c r="C3839" s="1" t="n">
        <v>45957</v>
      </c>
      <c r="D3839" t="inlineStr">
        <is>
          <t>KRONOBERGS LÄN</t>
        </is>
      </c>
      <c r="E3839" t="inlineStr">
        <is>
          <t>MARKARYD</t>
        </is>
      </c>
      <c r="F3839" t="inlineStr">
        <is>
          <t>Naturvårdsverket</t>
        </is>
      </c>
      <c r="G3839" t="n">
        <v>4.9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50207-2025</t>
        </is>
      </c>
      <c r="B3840" s="1" t="n">
        <v>45943.66315972222</v>
      </c>
      <c r="C3840" s="1" t="n">
        <v>45957</v>
      </c>
      <c r="D3840" t="inlineStr">
        <is>
          <t>KRONOBERGS LÄN</t>
        </is>
      </c>
      <c r="E3840" t="inlineStr">
        <is>
          <t>VÄXJÖ</t>
        </is>
      </c>
      <c r="G3840" t="n">
        <v>0.6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3893-2025</t>
        </is>
      </c>
      <c r="B3841" s="1" t="n">
        <v>45684.37877314815</v>
      </c>
      <c r="C3841" s="1" t="n">
        <v>45957</v>
      </c>
      <c r="D3841" t="inlineStr">
        <is>
          <t>KRONOBERGS LÄN</t>
        </is>
      </c>
      <c r="E3841" t="inlineStr">
        <is>
          <t>VÄXJÖ</t>
        </is>
      </c>
      <c r="G3841" t="n">
        <v>4.3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55282-2024</t>
        </is>
      </c>
      <c r="B3842" s="1" t="n">
        <v>45621</v>
      </c>
      <c r="C3842" s="1" t="n">
        <v>45957</v>
      </c>
      <c r="D3842" t="inlineStr">
        <is>
          <t>KRONOBERGS LÄN</t>
        </is>
      </c>
      <c r="E3842" t="inlineStr">
        <is>
          <t>LJUNGBY</t>
        </is>
      </c>
      <c r="G3842" t="n">
        <v>1.1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3105-2025</t>
        </is>
      </c>
      <c r="B3843" s="1" t="n">
        <v>45678</v>
      </c>
      <c r="C3843" s="1" t="n">
        <v>45957</v>
      </c>
      <c r="D3843" t="inlineStr">
        <is>
          <t>KRONOBERGS LÄN</t>
        </is>
      </c>
      <c r="E3843" t="inlineStr">
        <is>
          <t>VÄXJÖ</t>
        </is>
      </c>
      <c r="G3843" t="n">
        <v>3.5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3106-2025</t>
        </is>
      </c>
      <c r="B3844" s="1" t="n">
        <v>45678</v>
      </c>
      <c r="C3844" s="1" t="n">
        <v>45957</v>
      </c>
      <c r="D3844" t="inlineStr">
        <is>
          <t>KRONOBERGS LÄN</t>
        </is>
      </c>
      <c r="E3844" t="inlineStr">
        <is>
          <t>VÄXJÖ</t>
        </is>
      </c>
      <c r="G3844" t="n">
        <v>4.4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3108-2025</t>
        </is>
      </c>
      <c r="B3845" s="1" t="n">
        <v>45678</v>
      </c>
      <c r="C3845" s="1" t="n">
        <v>45957</v>
      </c>
      <c r="D3845" t="inlineStr">
        <is>
          <t>KRONOBERGS LÄN</t>
        </is>
      </c>
      <c r="E3845" t="inlineStr">
        <is>
          <t>VÄXJÖ</t>
        </is>
      </c>
      <c r="G3845" t="n">
        <v>4.6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30676-2024</t>
        </is>
      </c>
      <c r="B3846" s="1" t="n">
        <v>45495.89736111111</v>
      </c>
      <c r="C3846" s="1" t="n">
        <v>45957</v>
      </c>
      <c r="D3846" t="inlineStr">
        <is>
          <t>KRONOBERGS LÄN</t>
        </is>
      </c>
      <c r="E3846" t="inlineStr">
        <is>
          <t>VÄXJÖ</t>
        </is>
      </c>
      <c r="G3846" t="n">
        <v>0.4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4504-2025</t>
        </is>
      </c>
      <c r="B3847" s="1" t="n">
        <v>45686.73145833334</v>
      </c>
      <c r="C3847" s="1" t="n">
        <v>45957</v>
      </c>
      <c r="D3847" t="inlineStr">
        <is>
          <t>KRONOBERGS LÄN</t>
        </is>
      </c>
      <c r="E3847" t="inlineStr">
        <is>
          <t>LESSEBO</t>
        </is>
      </c>
      <c r="F3847" t="inlineStr">
        <is>
          <t>Sveaskog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54882-2024</t>
        </is>
      </c>
      <c r="B3848" s="1" t="n">
        <v>45618.61243055556</v>
      </c>
      <c r="C3848" s="1" t="n">
        <v>45957</v>
      </c>
      <c r="D3848" t="inlineStr">
        <is>
          <t>KRONOBERGS LÄN</t>
        </is>
      </c>
      <c r="E3848" t="inlineStr">
        <is>
          <t>LJUNGBY</t>
        </is>
      </c>
      <c r="G3848" t="n">
        <v>0.7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33699-2025</t>
        </is>
      </c>
      <c r="B3849" s="1" t="n">
        <v>45841.70883101852</v>
      </c>
      <c r="C3849" s="1" t="n">
        <v>45957</v>
      </c>
      <c r="D3849" t="inlineStr">
        <is>
          <t>KRONOBERGS LÄN</t>
        </is>
      </c>
      <c r="E3849" t="inlineStr">
        <is>
          <t>ALVESTA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57197-2024</t>
        </is>
      </c>
      <c r="B3850" s="1" t="n">
        <v>45629.47450231481</v>
      </c>
      <c r="C3850" s="1" t="n">
        <v>45957</v>
      </c>
      <c r="D3850" t="inlineStr">
        <is>
          <t>KRONOBERGS LÄN</t>
        </is>
      </c>
      <c r="E3850" t="inlineStr">
        <is>
          <t>ÄLMHULT</t>
        </is>
      </c>
      <c r="G3850" t="n">
        <v>1.5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1169-2025</t>
        </is>
      </c>
      <c r="B3851" s="1" t="n">
        <v>45667.28696759259</v>
      </c>
      <c r="C3851" s="1" t="n">
        <v>45957</v>
      </c>
      <c r="D3851" t="inlineStr">
        <is>
          <t>KRONOBERGS LÄN</t>
        </is>
      </c>
      <c r="E3851" t="inlineStr">
        <is>
          <t>LESSEBO</t>
        </is>
      </c>
      <c r="G3851" t="n">
        <v>2.1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33858-2025</t>
        </is>
      </c>
      <c r="B3852" s="1" t="n">
        <v>45842</v>
      </c>
      <c r="C3852" s="1" t="n">
        <v>45957</v>
      </c>
      <c r="D3852" t="inlineStr">
        <is>
          <t>KRONOBERGS LÄN</t>
        </is>
      </c>
      <c r="E3852" t="inlineStr">
        <is>
          <t>ÄLMHULT</t>
        </is>
      </c>
      <c r="G3852" t="n">
        <v>14.1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20206-2024</t>
        </is>
      </c>
      <c r="B3853" s="1" t="n">
        <v>45434.65297453704</v>
      </c>
      <c r="C3853" s="1" t="n">
        <v>45957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61970-2024</t>
        </is>
      </c>
      <c r="B3854" s="1" t="n">
        <v>45653.59204861111</v>
      </c>
      <c r="C3854" s="1" t="n">
        <v>45957</v>
      </c>
      <c r="D3854" t="inlineStr">
        <is>
          <t>KRONOBERGS LÄN</t>
        </is>
      </c>
      <c r="E3854" t="inlineStr">
        <is>
          <t>ÄLMHULT</t>
        </is>
      </c>
      <c r="G3854" t="n">
        <v>0.5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24287-2023</t>
        </is>
      </c>
      <c r="B3855" s="1" t="n">
        <v>45079.91148148148</v>
      </c>
      <c r="C3855" s="1" t="n">
        <v>45957</v>
      </c>
      <c r="D3855" t="inlineStr">
        <is>
          <t>KRONOBERGS LÄN</t>
        </is>
      </c>
      <c r="E3855" t="inlineStr">
        <is>
          <t>MARKARYD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33694-2025</t>
        </is>
      </c>
      <c r="B3856" s="1" t="n">
        <v>45841.70002314815</v>
      </c>
      <c r="C3856" s="1" t="n">
        <v>45957</v>
      </c>
      <c r="D3856" t="inlineStr">
        <is>
          <t>KRONOBERGS LÄN</t>
        </is>
      </c>
      <c r="E3856" t="inlineStr">
        <is>
          <t>ALVESTA</t>
        </is>
      </c>
      <c r="G3856" t="n">
        <v>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24322-2023</t>
        </is>
      </c>
      <c r="B3857" s="1" t="n">
        <v>45080</v>
      </c>
      <c r="C3857" s="1" t="n">
        <v>45957</v>
      </c>
      <c r="D3857" t="inlineStr">
        <is>
          <t>KRONOBERGS LÄN</t>
        </is>
      </c>
      <c r="E3857" t="inlineStr">
        <is>
          <t>MARKARYD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49068-2023</t>
        </is>
      </c>
      <c r="B3858" s="1" t="n">
        <v>45210</v>
      </c>
      <c r="C3858" s="1" t="n">
        <v>45957</v>
      </c>
      <c r="D3858" t="inlineStr">
        <is>
          <t>KRONOBERGS LÄN</t>
        </is>
      </c>
      <c r="E3858" t="inlineStr">
        <is>
          <t>VÄXJÖ</t>
        </is>
      </c>
      <c r="G3858" t="n">
        <v>1.8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49071-2023</t>
        </is>
      </c>
      <c r="B3859" s="1" t="n">
        <v>45210.36392361111</v>
      </c>
      <c r="C3859" s="1" t="n">
        <v>45957</v>
      </c>
      <c r="D3859" t="inlineStr">
        <is>
          <t>KRONOBERGS LÄN</t>
        </is>
      </c>
      <c r="E3859" t="inlineStr">
        <is>
          <t>TINGSRYD</t>
        </is>
      </c>
      <c r="G3859" t="n">
        <v>1.4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43878-2024</t>
        </is>
      </c>
      <c r="B3860" s="1" t="n">
        <v>45572.38957175926</v>
      </c>
      <c r="C3860" s="1" t="n">
        <v>45957</v>
      </c>
      <c r="D3860" t="inlineStr">
        <is>
          <t>KRONOBERGS LÄN</t>
        </is>
      </c>
      <c r="E3860" t="inlineStr">
        <is>
          <t>VÄXJÖ</t>
        </is>
      </c>
      <c r="G3860" t="n">
        <v>5.6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56205-2023</t>
        </is>
      </c>
      <c r="B3861" s="1" t="n">
        <v>45240.67206018518</v>
      </c>
      <c r="C3861" s="1" t="n">
        <v>45957</v>
      </c>
      <c r="D3861" t="inlineStr">
        <is>
          <t>KRONOBERGS LÄN</t>
        </is>
      </c>
      <c r="E3861" t="inlineStr">
        <is>
          <t>LJUNGBY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33721-2025</t>
        </is>
      </c>
      <c r="B3862" s="1" t="n">
        <v>45841.90819444445</v>
      </c>
      <c r="C3862" s="1" t="n">
        <v>45957</v>
      </c>
      <c r="D3862" t="inlineStr">
        <is>
          <t>KRONOBERGS LÄN</t>
        </is>
      </c>
      <c r="E3862" t="inlineStr">
        <is>
          <t>TINGSRYD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59368-2024</t>
        </is>
      </c>
      <c r="B3863" s="1" t="n">
        <v>45638.33728009259</v>
      </c>
      <c r="C3863" s="1" t="n">
        <v>45957</v>
      </c>
      <c r="D3863" t="inlineStr">
        <is>
          <t>KRONOBERGS LÄN</t>
        </is>
      </c>
      <c r="E3863" t="inlineStr">
        <is>
          <t>VÄXJÖ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14125-2023</t>
        </is>
      </c>
      <c r="B3864" s="1" t="n">
        <v>45007</v>
      </c>
      <c r="C3864" s="1" t="n">
        <v>45957</v>
      </c>
      <c r="D3864" t="inlineStr">
        <is>
          <t>KRONOBERGS LÄN</t>
        </is>
      </c>
      <c r="E3864" t="inlineStr">
        <is>
          <t>TINGSRYD</t>
        </is>
      </c>
      <c r="G3864" t="n">
        <v>10.5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41835-2025</t>
        </is>
      </c>
      <c r="B3865" s="1" t="n">
        <v>45902.70890046296</v>
      </c>
      <c r="C3865" s="1" t="n">
        <v>45957</v>
      </c>
      <c r="D3865" t="inlineStr">
        <is>
          <t>KRONOBERGS LÄN</t>
        </is>
      </c>
      <c r="E3865" t="inlineStr">
        <is>
          <t>TINGSRYD</t>
        </is>
      </c>
      <c r="G3865" t="n">
        <v>1.4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16081-2021</t>
        </is>
      </c>
      <c r="B3866" s="1" t="n">
        <v>44288.50678240741</v>
      </c>
      <c r="C3866" s="1" t="n">
        <v>45957</v>
      </c>
      <c r="D3866" t="inlineStr">
        <is>
          <t>KRONOBERGS LÄN</t>
        </is>
      </c>
      <c r="E3866" t="inlineStr">
        <is>
          <t>TINGSRYD</t>
        </is>
      </c>
      <c r="G3866" t="n">
        <v>1.7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26825-2023</t>
        </is>
      </c>
      <c r="B3867" s="1" t="n">
        <v>45093</v>
      </c>
      <c r="C3867" s="1" t="n">
        <v>45957</v>
      </c>
      <c r="D3867" t="inlineStr">
        <is>
          <t>KRONOBERGS LÄN</t>
        </is>
      </c>
      <c r="E3867" t="inlineStr">
        <is>
          <t>UPPVIDINGE</t>
        </is>
      </c>
      <c r="G3867" t="n">
        <v>2.9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19481-2021</t>
        </is>
      </c>
      <c r="B3868" s="1" t="n">
        <v>44312.30976851852</v>
      </c>
      <c r="C3868" s="1" t="n">
        <v>45957</v>
      </c>
      <c r="D3868" t="inlineStr">
        <is>
          <t>KRONOBERGS LÄN</t>
        </is>
      </c>
      <c r="E3868" t="inlineStr">
        <is>
          <t>TINGSRYD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41389-2025</t>
        </is>
      </c>
      <c r="B3869" s="1" t="n">
        <v>45901.30445601852</v>
      </c>
      <c r="C3869" s="1" t="n">
        <v>45957</v>
      </c>
      <c r="D3869" t="inlineStr">
        <is>
          <t>KRONOBERGS LÄN</t>
        </is>
      </c>
      <c r="E3869" t="inlineStr">
        <is>
          <t>MARKARYD</t>
        </is>
      </c>
      <c r="G3869" t="n">
        <v>1.2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16767-2025</t>
        </is>
      </c>
      <c r="B3870" s="1" t="n">
        <v>45754</v>
      </c>
      <c r="C3870" s="1" t="n">
        <v>45957</v>
      </c>
      <c r="D3870" t="inlineStr">
        <is>
          <t>KRONOBERGS LÄN</t>
        </is>
      </c>
      <c r="E3870" t="inlineStr">
        <is>
          <t>VÄXJÖ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33565-2025</t>
        </is>
      </c>
      <c r="B3871" s="1" t="n">
        <v>45841</v>
      </c>
      <c r="C3871" s="1" t="n">
        <v>45957</v>
      </c>
      <c r="D3871" t="inlineStr">
        <is>
          <t>KRONOBERGS LÄN</t>
        </is>
      </c>
      <c r="E3871" t="inlineStr">
        <is>
          <t>TINGSRYD</t>
        </is>
      </c>
      <c r="G3871" t="n">
        <v>8.4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52858-2024</t>
        </is>
      </c>
      <c r="B3872" s="1" t="n">
        <v>45610.61537037037</v>
      </c>
      <c r="C3872" s="1" t="n">
        <v>45957</v>
      </c>
      <c r="D3872" t="inlineStr">
        <is>
          <t>KRONOBERGS LÄN</t>
        </is>
      </c>
      <c r="E3872" t="inlineStr">
        <is>
          <t>LJUNGBY</t>
        </is>
      </c>
      <c r="G3872" t="n">
        <v>0.8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52168-2024</t>
        </is>
      </c>
      <c r="B3873" s="1" t="n">
        <v>45608</v>
      </c>
      <c r="C3873" s="1" t="n">
        <v>45957</v>
      </c>
      <c r="D3873" t="inlineStr">
        <is>
          <t>KRONOBERGS LÄN</t>
        </is>
      </c>
      <c r="E3873" t="inlineStr">
        <is>
          <t>TINGSRYD</t>
        </is>
      </c>
      <c r="G3873" t="n">
        <v>5.1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53698-2023</t>
        </is>
      </c>
      <c r="B3874" s="1" t="n">
        <v>45230</v>
      </c>
      <c r="C3874" s="1" t="n">
        <v>45957</v>
      </c>
      <c r="D3874" t="inlineStr">
        <is>
          <t>KRONOBERGS LÄN</t>
        </is>
      </c>
      <c r="E3874" t="inlineStr">
        <is>
          <t>UPPVIDINGE</t>
        </is>
      </c>
      <c r="F3874" t="inlineStr">
        <is>
          <t>Sveaskog</t>
        </is>
      </c>
      <c r="G3874" t="n">
        <v>0.4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29767-2023</t>
        </is>
      </c>
      <c r="B3875" s="1" t="n">
        <v>45107.48325231481</v>
      </c>
      <c r="C3875" s="1" t="n">
        <v>45957</v>
      </c>
      <c r="D3875" t="inlineStr">
        <is>
          <t>KRONOBERGS LÄN</t>
        </is>
      </c>
      <c r="E3875" t="inlineStr">
        <is>
          <t>LESSEBO</t>
        </is>
      </c>
      <c r="G3875" t="n">
        <v>3.6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33923-2025</t>
        </is>
      </c>
      <c r="B3876" s="1" t="n">
        <v>45842.62019675926</v>
      </c>
      <c r="C3876" s="1" t="n">
        <v>45957</v>
      </c>
      <c r="D3876" t="inlineStr">
        <is>
          <t>KRONOBERGS LÄN</t>
        </is>
      </c>
      <c r="E3876" t="inlineStr">
        <is>
          <t>LJUNGBY</t>
        </is>
      </c>
      <c r="G3876" t="n">
        <v>5.1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33926-2025</t>
        </is>
      </c>
      <c r="B3877" s="1" t="n">
        <v>45842.62362268518</v>
      </c>
      <c r="C3877" s="1" t="n">
        <v>45957</v>
      </c>
      <c r="D3877" t="inlineStr">
        <is>
          <t>KRONOBERGS LÄN</t>
        </is>
      </c>
      <c r="E3877" t="inlineStr">
        <is>
          <t>LJUNGBY</t>
        </is>
      </c>
      <c r="G3877" t="n">
        <v>1.6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33732-2025</t>
        </is>
      </c>
      <c r="B3878" s="1" t="n">
        <v>45842.31827546296</v>
      </c>
      <c r="C3878" s="1" t="n">
        <v>45957</v>
      </c>
      <c r="D3878" t="inlineStr">
        <is>
          <t>KRONOBERGS LÄN</t>
        </is>
      </c>
      <c r="E3878" t="inlineStr">
        <is>
          <t>ÄLMHULT</t>
        </is>
      </c>
      <c r="G3878" t="n">
        <v>0.8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33754-2025</t>
        </is>
      </c>
      <c r="B3879" s="1" t="n">
        <v>45842.37513888889</v>
      </c>
      <c r="C3879" s="1" t="n">
        <v>45957</v>
      </c>
      <c r="D3879" t="inlineStr">
        <is>
          <t>KRONOBERGS LÄN</t>
        </is>
      </c>
      <c r="E3879" t="inlineStr">
        <is>
          <t>ÄLMHULT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939-2025</t>
        </is>
      </c>
      <c r="B3880" s="1" t="n">
        <v>45666</v>
      </c>
      <c r="C3880" s="1" t="n">
        <v>45957</v>
      </c>
      <c r="D3880" t="inlineStr">
        <is>
          <t>KRONOBERGS LÄN</t>
        </is>
      </c>
      <c r="E3880" t="inlineStr">
        <is>
          <t>UPPVIDINGE</t>
        </is>
      </c>
      <c r="G3880" t="n">
        <v>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53196-2024</t>
        </is>
      </c>
      <c r="B3881" s="1" t="n">
        <v>45611.95675925926</v>
      </c>
      <c r="C3881" s="1" t="n">
        <v>45957</v>
      </c>
      <c r="D3881" t="inlineStr">
        <is>
          <t>KRONOBERGS LÄN</t>
        </is>
      </c>
      <c r="E3881" t="inlineStr">
        <is>
          <t>VÄXJÖ</t>
        </is>
      </c>
      <c r="G3881" t="n">
        <v>0.6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33547-2025</t>
        </is>
      </c>
      <c r="B3882" s="1" t="n">
        <v>45841.57072916667</v>
      </c>
      <c r="C3882" s="1" t="n">
        <v>45957</v>
      </c>
      <c r="D3882" t="inlineStr">
        <is>
          <t>KRONOBERGS LÄN</t>
        </is>
      </c>
      <c r="E3882" t="inlineStr">
        <is>
          <t>LJUNGBY</t>
        </is>
      </c>
      <c r="G3882" t="n">
        <v>2.9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41462-2025</t>
        </is>
      </c>
      <c r="B3883" s="1" t="n">
        <v>45901.44929398148</v>
      </c>
      <c r="C3883" s="1" t="n">
        <v>45957</v>
      </c>
      <c r="D3883" t="inlineStr">
        <is>
          <t>KRONOBERGS LÄN</t>
        </is>
      </c>
      <c r="E3883" t="inlineStr">
        <is>
          <t>UPPVIDINGE</t>
        </is>
      </c>
      <c r="G3883" t="n">
        <v>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41823-2025</t>
        </is>
      </c>
      <c r="B3884" s="1" t="n">
        <v>45902</v>
      </c>
      <c r="C3884" s="1" t="n">
        <v>45957</v>
      </c>
      <c r="D3884" t="inlineStr">
        <is>
          <t>KRONOBERGS LÄN</t>
        </is>
      </c>
      <c r="E3884" t="inlineStr">
        <is>
          <t>VÄXJÖ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49089-2024</t>
        </is>
      </c>
      <c r="B3885" s="1" t="n">
        <v>45594.63467592592</v>
      </c>
      <c r="C3885" s="1" t="n">
        <v>45957</v>
      </c>
      <c r="D3885" t="inlineStr">
        <is>
          <t>KRONOBERGS LÄN</t>
        </is>
      </c>
      <c r="E3885" t="inlineStr">
        <is>
          <t>VÄXJÖ</t>
        </is>
      </c>
      <c r="F3885" t="inlineStr">
        <is>
          <t>Sveaskog</t>
        </is>
      </c>
      <c r="G3885" t="n">
        <v>3.3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41818-2025</t>
        </is>
      </c>
      <c r="B3886" s="1" t="n">
        <v>45902.66104166667</v>
      </c>
      <c r="C3886" s="1" t="n">
        <v>45957</v>
      </c>
      <c r="D3886" t="inlineStr">
        <is>
          <t>KRONOBERGS LÄN</t>
        </is>
      </c>
      <c r="E3886" t="inlineStr">
        <is>
          <t>LJUNGBY</t>
        </is>
      </c>
      <c r="G3886" t="n">
        <v>1.2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41833-2025</t>
        </is>
      </c>
      <c r="B3887" s="1" t="n">
        <v>45902.7003125</v>
      </c>
      <c r="C3887" s="1" t="n">
        <v>45957</v>
      </c>
      <c r="D3887" t="inlineStr">
        <is>
          <t>KRONOBERGS LÄN</t>
        </is>
      </c>
      <c r="E3887" t="inlineStr">
        <is>
          <t>TINGSRYD</t>
        </is>
      </c>
      <c r="G3887" t="n">
        <v>3.2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50241-2025</t>
        </is>
      </c>
      <c r="B3888" s="1" t="n">
        <v>45943.86836805556</v>
      </c>
      <c r="C3888" s="1" t="n">
        <v>45957</v>
      </c>
      <c r="D3888" t="inlineStr">
        <is>
          <t>KRONOBERGS LÄN</t>
        </is>
      </c>
      <c r="E3888" t="inlineStr">
        <is>
          <t>LJUNGBY</t>
        </is>
      </c>
      <c r="G3888" t="n">
        <v>1.6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24562-2025</t>
        </is>
      </c>
      <c r="B3889" s="1" t="n">
        <v>45798</v>
      </c>
      <c r="C3889" s="1" t="n">
        <v>45957</v>
      </c>
      <c r="D3889" t="inlineStr">
        <is>
          <t>KRONOBERGS LÄN</t>
        </is>
      </c>
      <c r="E3889" t="inlineStr">
        <is>
          <t>MARKARYD</t>
        </is>
      </c>
      <c r="G3889" t="n">
        <v>3.9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9467-2024</t>
        </is>
      </c>
      <c r="B3890" s="1" t="n">
        <v>45358</v>
      </c>
      <c r="C3890" s="1" t="n">
        <v>45957</v>
      </c>
      <c r="D3890" t="inlineStr">
        <is>
          <t>KRONOBERGS LÄN</t>
        </is>
      </c>
      <c r="E3890" t="inlineStr">
        <is>
          <t>LJUNGBY</t>
        </is>
      </c>
      <c r="G3890" t="n">
        <v>1.8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33697-2025</t>
        </is>
      </c>
      <c r="B3891" s="1" t="n">
        <v>45841.7075462963</v>
      </c>
      <c r="C3891" s="1" t="n">
        <v>45957</v>
      </c>
      <c r="D3891" t="inlineStr">
        <is>
          <t>KRONOBERGS LÄN</t>
        </is>
      </c>
      <c r="E3891" t="inlineStr">
        <is>
          <t>ALVESTA</t>
        </is>
      </c>
      <c r="G3891" t="n">
        <v>0.8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33701-2025</t>
        </is>
      </c>
      <c r="B3892" s="1" t="n">
        <v>45841.73791666667</v>
      </c>
      <c r="C3892" s="1" t="n">
        <v>45957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41798-2025</t>
        </is>
      </c>
      <c r="B3893" s="1" t="n">
        <v>45902.60481481482</v>
      </c>
      <c r="C3893" s="1" t="n">
        <v>45957</v>
      </c>
      <c r="D3893" t="inlineStr">
        <is>
          <t>KRONOBERGS LÄN</t>
        </is>
      </c>
      <c r="E3893" t="inlineStr">
        <is>
          <t>LJUNGBY</t>
        </is>
      </c>
      <c r="G3893" t="n">
        <v>0.4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49965-2025</t>
        </is>
      </c>
      <c r="B3894" s="1" t="n">
        <v>45941.47780092592</v>
      </c>
      <c r="C3894" s="1" t="n">
        <v>45957</v>
      </c>
      <c r="D3894" t="inlineStr">
        <is>
          <t>KRONOBERGS LÄN</t>
        </is>
      </c>
      <c r="E3894" t="inlineStr">
        <is>
          <t>UPPVIDINGE</t>
        </is>
      </c>
      <c r="F3894" t="inlineStr">
        <is>
          <t>Sveaskog</t>
        </is>
      </c>
      <c r="G3894" t="n">
        <v>5.9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51519-2024</t>
        </is>
      </c>
      <c r="B3895" s="1" t="n">
        <v>45604.56769675926</v>
      </c>
      <c r="C3895" s="1" t="n">
        <v>45957</v>
      </c>
      <c r="D3895" t="inlineStr">
        <is>
          <t>KRONOBERGS LÄN</t>
        </is>
      </c>
      <c r="E3895" t="inlineStr">
        <is>
          <t>UPPVIDINGE</t>
        </is>
      </c>
      <c r="F3895" t="inlineStr">
        <is>
          <t>Sveaskog</t>
        </is>
      </c>
      <c r="G3895" t="n">
        <v>12.6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19501-2022</t>
        </is>
      </c>
      <c r="B3896" s="1" t="n">
        <v>44693.50209490741</v>
      </c>
      <c r="C3896" s="1" t="n">
        <v>45957</v>
      </c>
      <c r="D3896" t="inlineStr">
        <is>
          <t>KRONOBERGS LÄN</t>
        </is>
      </c>
      <c r="E3896" t="inlineStr">
        <is>
          <t>LESSEBO</t>
        </is>
      </c>
      <c r="G3896" t="n">
        <v>3.3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49076-2024</t>
        </is>
      </c>
      <c r="B3897" s="1" t="n">
        <v>45594.61994212963</v>
      </c>
      <c r="C3897" s="1" t="n">
        <v>45957</v>
      </c>
      <c r="D3897" t="inlineStr">
        <is>
          <t>KRONOBERGS LÄN</t>
        </is>
      </c>
      <c r="E3897" t="inlineStr">
        <is>
          <t>LJUNGBY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48559-2022</t>
        </is>
      </c>
      <c r="B3898" s="1" t="n">
        <v>44859.32368055556</v>
      </c>
      <c r="C3898" s="1" t="n">
        <v>45957</v>
      </c>
      <c r="D3898" t="inlineStr">
        <is>
          <t>KRONOBERGS LÄN</t>
        </is>
      </c>
      <c r="E3898" t="inlineStr">
        <is>
          <t>ÄLMHULT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33819-2025</t>
        </is>
      </c>
      <c r="B3899" s="1" t="n">
        <v>45842.46383101852</v>
      </c>
      <c r="C3899" s="1" t="n">
        <v>45957</v>
      </c>
      <c r="D3899" t="inlineStr">
        <is>
          <t>KRONOBERGS LÄN</t>
        </is>
      </c>
      <c r="E3899" t="inlineStr">
        <is>
          <t>MARKARYD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16648-2025</t>
        </is>
      </c>
      <c r="B3900" s="1" t="n">
        <v>45754.38893518518</v>
      </c>
      <c r="C3900" s="1" t="n">
        <v>45957</v>
      </c>
      <c r="D3900" t="inlineStr">
        <is>
          <t>KRONOBERGS LÄN</t>
        </is>
      </c>
      <c r="E3900" t="inlineStr">
        <is>
          <t>LJUNGBY</t>
        </is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25945-2023</t>
        </is>
      </c>
      <c r="B3901" s="1" t="n">
        <v>45090.70565972223</v>
      </c>
      <c r="C3901" s="1" t="n">
        <v>45957</v>
      </c>
      <c r="D3901" t="inlineStr">
        <is>
          <t>KRONOBERGS LÄN</t>
        </is>
      </c>
      <c r="E3901" t="inlineStr">
        <is>
          <t>ALVESTA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33811-2025</t>
        </is>
      </c>
      <c r="B3902" s="1" t="n">
        <v>45842.45201388889</v>
      </c>
      <c r="C3902" s="1" t="n">
        <v>45957</v>
      </c>
      <c r="D3902" t="inlineStr">
        <is>
          <t>KRONOBERGS LÄN</t>
        </is>
      </c>
      <c r="E3902" t="inlineStr">
        <is>
          <t>LJUNGBY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49987-2023</t>
        </is>
      </c>
      <c r="B3903" s="1" t="n">
        <v>45215</v>
      </c>
      <c r="C3903" s="1" t="n">
        <v>45957</v>
      </c>
      <c r="D3903" t="inlineStr">
        <is>
          <t>KRONOBERGS LÄN</t>
        </is>
      </c>
      <c r="E3903" t="inlineStr">
        <is>
          <t>TINGSRYD</t>
        </is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33760-2025</t>
        </is>
      </c>
      <c r="B3904" s="1" t="n">
        <v>45842.38234953704</v>
      </c>
      <c r="C3904" s="1" t="n">
        <v>45957</v>
      </c>
      <c r="D3904" t="inlineStr">
        <is>
          <t>KRONOBERGS LÄN</t>
        </is>
      </c>
      <c r="E3904" t="inlineStr">
        <is>
          <t>ÄLMHULT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33765-2025</t>
        </is>
      </c>
      <c r="B3905" s="1" t="n">
        <v>45842.38695601852</v>
      </c>
      <c r="C3905" s="1" t="n">
        <v>45957</v>
      </c>
      <c r="D3905" t="inlineStr">
        <is>
          <t>KRONOBERGS LÄN</t>
        </is>
      </c>
      <c r="E3905" t="inlineStr">
        <is>
          <t>ÄLMHULT</t>
        </is>
      </c>
      <c r="G3905" t="n">
        <v>2.4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11782-2022</t>
        </is>
      </c>
      <c r="B3906" s="1" t="n">
        <v>44634</v>
      </c>
      <c r="C3906" s="1" t="n">
        <v>45957</v>
      </c>
      <c r="D3906" t="inlineStr">
        <is>
          <t>KRONOBERGS LÄN</t>
        </is>
      </c>
      <c r="E3906" t="inlineStr">
        <is>
          <t>ÄLMHULT</t>
        </is>
      </c>
      <c r="G3906" t="n">
        <v>6.2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57034-2023</t>
        </is>
      </c>
      <c r="B3907" s="1" t="n">
        <v>45244.871875</v>
      </c>
      <c r="C3907" s="1" t="n">
        <v>45957</v>
      </c>
      <c r="D3907" t="inlineStr">
        <is>
          <t>KRONOBERGS LÄN</t>
        </is>
      </c>
      <c r="E3907" t="inlineStr">
        <is>
          <t>VÄXJÖ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27675-2022</t>
        </is>
      </c>
      <c r="B3908" s="1" t="n">
        <v>44743</v>
      </c>
      <c r="C3908" s="1" t="n">
        <v>45957</v>
      </c>
      <c r="D3908" t="inlineStr">
        <is>
          <t>KRONOBERGS LÄN</t>
        </is>
      </c>
      <c r="E3908" t="inlineStr">
        <is>
          <t>VÄXJÖ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47885-2023</t>
        </is>
      </c>
      <c r="B3909" s="1" t="n">
        <v>45198</v>
      </c>
      <c r="C3909" s="1" t="n">
        <v>45957</v>
      </c>
      <c r="D3909" t="inlineStr">
        <is>
          <t>KRONOBERGS LÄN</t>
        </is>
      </c>
      <c r="E3909" t="inlineStr">
        <is>
          <t>ALVESTA</t>
        </is>
      </c>
      <c r="G3909" t="n">
        <v>2.2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3370-2024</t>
        </is>
      </c>
      <c r="B3910" s="1" t="n">
        <v>45317</v>
      </c>
      <c r="C3910" s="1" t="n">
        <v>45957</v>
      </c>
      <c r="D3910" t="inlineStr">
        <is>
          <t>KRONOBERGS LÄN</t>
        </is>
      </c>
      <c r="E3910" t="inlineStr">
        <is>
          <t>UPPVIDINGE</t>
        </is>
      </c>
      <c r="F3910" t="inlineStr">
        <is>
          <t>Sveaskog</t>
        </is>
      </c>
      <c r="G3910" t="n">
        <v>0.3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61658-2024</t>
        </is>
      </c>
      <c r="B3911" s="1" t="n">
        <v>45646.7996412037</v>
      </c>
      <c r="C3911" s="1" t="n">
        <v>45957</v>
      </c>
      <c r="D3911" t="inlineStr">
        <is>
          <t>KRONOBERGS LÄN</t>
        </is>
      </c>
      <c r="E3911" t="inlineStr">
        <is>
          <t>TINGSRYD</t>
        </is>
      </c>
      <c r="G3911" t="n">
        <v>0.9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49292-2022</t>
        </is>
      </c>
      <c r="B3912" s="1" t="n">
        <v>44861</v>
      </c>
      <c r="C3912" s="1" t="n">
        <v>45957</v>
      </c>
      <c r="D3912" t="inlineStr">
        <is>
          <t>KRONOBERGS LÄN</t>
        </is>
      </c>
      <c r="E3912" t="inlineStr">
        <is>
          <t>ÄLMHULT</t>
        </is>
      </c>
      <c r="G3912" t="n">
        <v>2.8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21872-2022</t>
        </is>
      </c>
      <c r="B3913" s="1" t="n">
        <v>44711.39636574074</v>
      </c>
      <c r="C3913" s="1" t="n">
        <v>45957</v>
      </c>
      <c r="D3913" t="inlineStr">
        <is>
          <t>KRONOBERGS LÄN</t>
        </is>
      </c>
      <c r="E3913" t="inlineStr">
        <is>
          <t>VÄXJÖ</t>
        </is>
      </c>
      <c r="G3913" t="n">
        <v>0.9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41824-2025</t>
        </is>
      </c>
      <c r="B3914" s="1" t="n">
        <v>45902.66581018519</v>
      </c>
      <c r="C3914" s="1" t="n">
        <v>45957</v>
      </c>
      <c r="D3914" t="inlineStr">
        <is>
          <t>KRONOBERGS LÄN</t>
        </is>
      </c>
      <c r="E3914" t="inlineStr">
        <is>
          <t>VÄXJÖ</t>
        </is>
      </c>
      <c r="G3914" t="n">
        <v>0.8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33703-2025</t>
        </is>
      </c>
      <c r="B3915" s="1" t="n">
        <v>45841.74796296296</v>
      </c>
      <c r="C3915" s="1" t="n">
        <v>45957</v>
      </c>
      <c r="D3915" t="inlineStr">
        <is>
          <t>KRONOBERGS LÄN</t>
        </is>
      </c>
      <c r="E3915" t="inlineStr">
        <is>
          <t>UPPVIDINGE</t>
        </is>
      </c>
      <c r="G3915" t="n">
        <v>0.7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35661-2023</t>
        </is>
      </c>
      <c r="B3916" s="1" t="n">
        <v>45147.59756944444</v>
      </c>
      <c r="C3916" s="1" t="n">
        <v>45957</v>
      </c>
      <c r="D3916" t="inlineStr">
        <is>
          <t>KRONOBERGS LÄN</t>
        </is>
      </c>
      <c r="E3916" t="inlineStr">
        <is>
          <t>TINGSRYD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33722-2025</t>
        </is>
      </c>
      <c r="B3917" s="1" t="n">
        <v>45841.91457175926</v>
      </c>
      <c r="C3917" s="1" t="n">
        <v>45957</v>
      </c>
      <c r="D3917" t="inlineStr">
        <is>
          <t>KRONOBERGS LÄN</t>
        </is>
      </c>
      <c r="E3917" t="inlineStr">
        <is>
          <t>TINGSRYD</t>
        </is>
      </c>
      <c r="G3917" t="n">
        <v>2.6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42190-2023</t>
        </is>
      </c>
      <c r="B3918" s="1" t="n">
        <v>45179</v>
      </c>
      <c r="C3918" s="1" t="n">
        <v>45957</v>
      </c>
      <c r="D3918" t="inlineStr">
        <is>
          <t>KRONOBERGS LÄN</t>
        </is>
      </c>
      <c r="E3918" t="inlineStr">
        <is>
          <t>LJUNGBY</t>
        </is>
      </c>
      <c r="G3918" t="n">
        <v>5.7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33758-2025</t>
        </is>
      </c>
      <c r="B3919" s="1" t="n">
        <v>45842.37927083333</v>
      </c>
      <c r="C3919" s="1" t="n">
        <v>45957</v>
      </c>
      <c r="D3919" t="inlineStr">
        <is>
          <t>KRONOBERGS LÄN</t>
        </is>
      </c>
      <c r="E3919" t="inlineStr">
        <is>
          <t>ÄLMHULT</t>
        </is>
      </c>
      <c r="G3919" t="n">
        <v>2.2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33771-2025</t>
        </is>
      </c>
      <c r="B3920" s="1" t="n">
        <v>45842.39072916667</v>
      </c>
      <c r="C3920" s="1" t="n">
        <v>45957</v>
      </c>
      <c r="D3920" t="inlineStr">
        <is>
          <t>KRONOBERGS LÄN</t>
        </is>
      </c>
      <c r="E3920" t="inlineStr">
        <is>
          <t>ÄLMHULT</t>
        </is>
      </c>
      <c r="G3920" t="n">
        <v>0.5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33821-2025</t>
        </is>
      </c>
      <c r="B3921" s="1" t="n">
        <v>45842.46575231481</v>
      </c>
      <c r="C3921" s="1" t="n">
        <v>45957</v>
      </c>
      <c r="D3921" t="inlineStr">
        <is>
          <t>KRONOBERGS LÄN</t>
        </is>
      </c>
      <c r="E3921" t="inlineStr">
        <is>
          <t>MARKARYD</t>
        </is>
      </c>
      <c r="G3921" t="n">
        <v>0.4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9676-2023</t>
        </is>
      </c>
      <c r="B3922" s="1" t="n">
        <v>44984</v>
      </c>
      <c r="C3922" s="1" t="n">
        <v>45957</v>
      </c>
      <c r="D3922" t="inlineStr">
        <is>
          <t>KRONOBERGS LÄN</t>
        </is>
      </c>
      <c r="E3922" t="inlineStr">
        <is>
          <t>UPPVIDINGE</t>
        </is>
      </c>
      <c r="G3922" t="n">
        <v>4.8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33311-2025</t>
        </is>
      </c>
      <c r="B3923" s="1" t="n">
        <v>45841.33027777778</v>
      </c>
      <c r="C3923" s="1" t="n">
        <v>45957</v>
      </c>
      <c r="D3923" t="inlineStr">
        <is>
          <t>KRONOBERGS LÄN</t>
        </is>
      </c>
      <c r="E3923" t="inlineStr">
        <is>
          <t>ÄLMHULT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9715-2023</t>
        </is>
      </c>
      <c r="B3924" s="1" t="n">
        <v>44984</v>
      </c>
      <c r="C3924" s="1" t="n">
        <v>45957</v>
      </c>
      <c r="D3924" t="inlineStr">
        <is>
          <t>KRONOBERGS LÄN</t>
        </is>
      </c>
      <c r="E3924" t="inlineStr">
        <is>
          <t>UPPVIDINGE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33839-2025</t>
        </is>
      </c>
      <c r="B3925" s="1" t="n">
        <v>45842.47915509259</v>
      </c>
      <c r="C3925" s="1" t="n">
        <v>45957</v>
      </c>
      <c r="D3925" t="inlineStr">
        <is>
          <t>KRONOBERGS LÄN</t>
        </is>
      </c>
      <c r="E3925" t="inlineStr">
        <is>
          <t>UPPVIDINGE</t>
        </is>
      </c>
      <c r="G3925" t="n">
        <v>2.9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33617-2025</t>
        </is>
      </c>
      <c r="B3926" s="1" t="n">
        <v>45841.62547453704</v>
      </c>
      <c r="C3926" s="1" t="n">
        <v>45957</v>
      </c>
      <c r="D3926" t="inlineStr">
        <is>
          <t>KRONOBERGS LÄN</t>
        </is>
      </c>
      <c r="E3926" t="inlineStr">
        <is>
          <t>ALVESTA</t>
        </is>
      </c>
      <c r="G3926" t="n">
        <v>0.5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11777-2022</t>
        </is>
      </c>
      <c r="B3927" s="1" t="n">
        <v>44634</v>
      </c>
      <c r="C3927" s="1" t="n">
        <v>45957</v>
      </c>
      <c r="D3927" t="inlineStr">
        <is>
          <t>KRONOBERGS LÄN</t>
        </is>
      </c>
      <c r="E3927" t="inlineStr">
        <is>
          <t>LJUNGBY</t>
        </is>
      </c>
      <c r="G3927" t="n">
        <v>0.5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33876-2025</t>
        </is>
      </c>
      <c r="B3928" s="1" t="n">
        <v>45842.55467592592</v>
      </c>
      <c r="C3928" s="1" t="n">
        <v>45957</v>
      </c>
      <c r="D3928" t="inlineStr">
        <is>
          <t>KRONOBERGS LÄN</t>
        </is>
      </c>
      <c r="E3928" t="inlineStr">
        <is>
          <t>UPPVIDINGE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56660-2024</t>
        </is>
      </c>
      <c r="B3929" s="1" t="n">
        <v>45625.869375</v>
      </c>
      <c r="C3929" s="1" t="n">
        <v>45957</v>
      </c>
      <c r="D3929" t="inlineStr">
        <is>
          <t>KRONOBERGS LÄN</t>
        </is>
      </c>
      <c r="E3929" t="inlineStr">
        <is>
          <t>ÄLMHULT</t>
        </is>
      </c>
      <c r="G3929" t="n">
        <v>4.7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56665-2024</t>
        </is>
      </c>
      <c r="B3930" s="1" t="n">
        <v>45625</v>
      </c>
      <c r="C3930" s="1" t="n">
        <v>45957</v>
      </c>
      <c r="D3930" t="inlineStr">
        <is>
          <t>KRONOBERGS LÄN</t>
        </is>
      </c>
      <c r="E3930" t="inlineStr">
        <is>
          <t>MARKARYD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9767-2025</t>
        </is>
      </c>
      <c r="B3931" s="1" t="n">
        <v>45716.48494212963</v>
      </c>
      <c r="C3931" s="1" t="n">
        <v>45957</v>
      </c>
      <c r="D3931" t="inlineStr">
        <is>
          <t>KRONOBERGS LÄN</t>
        </is>
      </c>
      <c r="E3931" t="inlineStr">
        <is>
          <t>ÄLMHULT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35103-2024</t>
        </is>
      </c>
      <c r="B3932" s="1" t="n">
        <v>45529.48743055556</v>
      </c>
      <c r="C3932" s="1" t="n">
        <v>45957</v>
      </c>
      <c r="D3932" t="inlineStr">
        <is>
          <t>KRONOBERGS LÄN</t>
        </is>
      </c>
      <c r="E3932" t="inlineStr">
        <is>
          <t>ÄLMHULT</t>
        </is>
      </c>
      <c r="G3932" t="n">
        <v>1.3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49373-2023</t>
        </is>
      </c>
      <c r="B3933" s="1" t="n">
        <v>45211</v>
      </c>
      <c r="C3933" s="1" t="n">
        <v>45957</v>
      </c>
      <c r="D3933" t="inlineStr">
        <is>
          <t>KRONOBERGS LÄN</t>
        </is>
      </c>
      <c r="E3933" t="inlineStr">
        <is>
          <t>UPPVIDINGE</t>
        </is>
      </c>
      <c r="G3933" t="n">
        <v>2.9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17511-2022</t>
        </is>
      </c>
      <c r="B3934" s="1" t="n">
        <v>44679</v>
      </c>
      <c r="C3934" s="1" t="n">
        <v>45957</v>
      </c>
      <c r="D3934" t="inlineStr">
        <is>
          <t>KRONOBERGS LÄN</t>
        </is>
      </c>
      <c r="E3934" t="inlineStr">
        <is>
          <t>VÄXJÖ</t>
        </is>
      </c>
      <c r="G3934" t="n">
        <v>1.6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26801-2025</t>
        </is>
      </c>
      <c r="B3935" s="1" t="n">
        <v>45810.60581018519</v>
      </c>
      <c r="C3935" s="1" t="n">
        <v>45957</v>
      </c>
      <c r="D3935" t="inlineStr">
        <is>
          <t>KRONOBERGS LÄN</t>
        </is>
      </c>
      <c r="E3935" t="inlineStr">
        <is>
          <t>VÄXJÖ</t>
        </is>
      </c>
      <c r="F3935" t="inlineStr">
        <is>
          <t>Övriga Aktiebolag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10175-2025</t>
        </is>
      </c>
      <c r="B3936" s="1" t="n">
        <v>45719.66356481481</v>
      </c>
      <c r="C3936" s="1" t="n">
        <v>45957</v>
      </c>
      <c r="D3936" t="inlineStr">
        <is>
          <t>KRONOBERGS LÄN</t>
        </is>
      </c>
      <c r="E3936" t="inlineStr">
        <is>
          <t>MARKARYD</t>
        </is>
      </c>
      <c r="G3936" t="n">
        <v>8.6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37375-2024</t>
        </is>
      </c>
      <c r="B3937" s="1" t="n">
        <v>45540</v>
      </c>
      <c r="C3937" s="1" t="n">
        <v>45957</v>
      </c>
      <c r="D3937" t="inlineStr">
        <is>
          <t>KRONOBERGS LÄN</t>
        </is>
      </c>
      <c r="E3937" t="inlineStr">
        <is>
          <t>VÄXJÖ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17283-2022</t>
        </is>
      </c>
      <c r="B3938" s="1" t="n">
        <v>44678.43256944444</v>
      </c>
      <c r="C3938" s="1" t="n">
        <v>45957</v>
      </c>
      <c r="D3938" t="inlineStr">
        <is>
          <t>KRONOBERGS LÄN</t>
        </is>
      </c>
      <c r="E3938" t="inlineStr">
        <is>
          <t>VÄXJÖ</t>
        </is>
      </c>
      <c r="G3938" t="n">
        <v>10.8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23126-2023</t>
        </is>
      </c>
      <c r="B3939" s="1" t="n">
        <v>45075.45616898148</v>
      </c>
      <c r="C3939" s="1" t="n">
        <v>45957</v>
      </c>
      <c r="D3939" t="inlineStr">
        <is>
          <t>KRONOBERGS LÄN</t>
        </is>
      </c>
      <c r="E3939" t="inlineStr">
        <is>
          <t>ALVESTA</t>
        </is>
      </c>
      <c r="G3939" t="n">
        <v>2.4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12092-2025</t>
        </is>
      </c>
      <c r="B3940" s="1" t="n">
        <v>45728</v>
      </c>
      <c r="C3940" s="1" t="n">
        <v>45957</v>
      </c>
      <c r="D3940" t="inlineStr">
        <is>
          <t>KRONOBERGS LÄN</t>
        </is>
      </c>
      <c r="E3940" t="inlineStr">
        <is>
          <t>ÄLMHULT</t>
        </is>
      </c>
      <c r="G3940" t="n">
        <v>1.3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12093-2025</t>
        </is>
      </c>
      <c r="B3941" s="1" t="n">
        <v>45728</v>
      </c>
      <c r="C3941" s="1" t="n">
        <v>45957</v>
      </c>
      <c r="D3941" t="inlineStr">
        <is>
          <t>KRONOBERGS LÄN</t>
        </is>
      </c>
      <c r="E3941" t="inlineStr">
        <is>
          <t>ÄLMHULT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47338-2022</t>
        </is>
      </c>
      <c r="B3942" s="1" t="n">
        <v>44853.38413194445</v>
      </c>
      <c r="C3942" s="1" t="n">
        <v>45957</v>
      </c>
      <c r="D3942" t="inlineStr">
        <is>
          <t>KRONOBERGS LÄN</t>
        </is>
      </c>
      <c r="E3942" t="inlineStr">
        <is>
          <t>ALVESTA</t>
        </is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20365-2025</t>
        </is>
      </c>
      <c r="B3943" s="1" t="n">
        <v>45775.40460648148</v>
      </c>
      <c r="C3943" s="1" t="n">
        <v>45957</v>
      </c>
      <c r="D3943" t="inlineStr">
        <is>
          <t>KRONOBERGS LÄN</t>
        </is>
      </c>
      <c r="E3943" t="inlineStr">
        <is>
          <t>LJUNGBY</t>
        </is>
      </c>
      <c r="G3943" t="n">
        <v>1.4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34384-2025</t>
        </is>
      </c>
      <c r="B3944" s="1" t="n">
        <v>45846.55724537037</v>
      </c>
      <c r="C3944" s="1" t="n">
        <v>45957</v>
      </c>
      <c r="D3944" t="inlineStr">
        <is>
          <t>KRONOBERGS LÄN</t>
        </is>
      </c>
      <c r="E3944" t="inlineStr">
        <is>
          <t>ÄLMHULT</t>
        </is>
      </c>
      <c r="G3944" t="n">
        <v>7.5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10861-2023</t>
        </is>
      </c>
      <c r="B3945" s="1" t="n">
        <v>44991.38533564815</v>
      </c>
      <c r="C3945" s="1" t="n">
        <v>45957</v>
      </c>
      <c r="D3945" t="inlineStr">
        <is>
          <t>KRONOBERGS LÄN</t>
        </is>
      </c>
      <c r="E3945" t="inlineStr">
        <is>
          <t>ALVESTA</t>
        </is>
      </c>
      <c r="G3945" t="n">
        <v>0.6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75-2023</t>
        </is>
      </c>
      <c r="B3946" s="1" t="n">
        <v>44928.45686342593</v>
      </c>
      <c r="C3946" s="1" t="n">
        <v>45957</v>
      </c>
      <c r="D3946" t="inlineStr">
        <is>
          <t>KRONOBERGS LÄN</t>
        </is>
      </c>
      <c r="E3946" t="inlineStr">
        <is>
          <t>LJUNGBY</t>
        </is>
      </c>
      <c r="G3946" t="n">
        <v>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17609-2025</t>
        </is>
      </c>
      <c r="B3947" s="1" t="n">
        <v>45757.77603009259</v>
      </c>
      <c r="C3947" s="1" t="n">
        <v>45957</v>
      </c>
      <c r="D3947" t="inlineStr">
        <is>
          <t>KRONOBERGS LÄN</t>
        </is>
      </c>
      <c r="E3947" t="inlineStr">
        <is>
          <t>LESSEBO</t>
        </is>
      </c>
      <c r="F3947" t="inlineStr">
        <is>
          <t>Sveaskog</t>
        </is>
      </c>
      <c r="G3947" t="n">
        <v>2.3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7500-2023</t>
        </is>
      </c>
      <c r="B3948" s="1" t="n">
        <v>44971.75834490741</v>
      </c>
      <c r="C3948" s="1" t="n">
        <v>45957</v>
      </c>
      <c r="D3948" t="inlineStr">
        <is>
          <t>KRONOBERGS LÄN</t>
        </is>
      </c>
      <c r="E3948" t="inlineStr">
        <is>
          <t>UPPVIDINGE</t>
        </is>
      </c>
      <c r="G3948" t="n">
        <v>1.2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25645-2021</t>
        </is>
      </c>
      <c r="B3949" s="1" t="n">
        <v>44343</v>
      </c>
      <c r="C3949" s="1" t="n">
        <v>45957</v>
      </c>
      <c r="D3949" t="inlineStr">
        <is>
          <t>KRONOBERGS LÄN</t>
        </is>
      </c>
      <c r="E3949" t="inlineStr">
        <is>
          <t>MARKARYD</t>
        </is>
      </c>
      <c r="F3949" t="inlineStr">
        <is>
          <t>Kommuner</t>
        </is>
      </c>
      <c r="G3949" t="n">
        <v>0.9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53844-2023</t>
        </is>
      </c>
      <c r="B3950" s="1" t="n">
        <v>45224</v>
      </c>
      <c r="C3950" s="1" t="n">
        <v>45957</v>
      </c>
      <c r="D3950" t="inlineStr">
        <is>
          <t>KRONOBERGS LÄN</t>
        </is>
      </c>
      <c r="E3950" t="inlineStr">
        <is>
          <t>VÄXJÖ</t>
        </is>
      </c>
      <c r="F3950" t="inlineStr">
        <is>
          <t>Kyrkan</t>
        </is>
      </c>
      <c r="G3950" t="n">
        <v>3.3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53851-2023</t>
        </is>
      </c>
      <c r="B3951" s="1" t="n">
        <v>45231</v>
      </c>
      <c r="C3951" s="1" t="n">
        <v>45957</v>
      </c>
      <c r="D3951" t="inlineStr">
        <is>
          <t>KRONOBERGS LÄN</t>
        </is>
      </c>
      <c r="E3951" t="inlineStr">
        <is>
          <t>LJUNGBY</t>
        </is>
      </c>
      <c r="G3951" t="n">
        <v>4.4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6487-2023</t>
        </is>
      </c>
      <c r="B3952" s="1" t="n">
        <v>44966.305</v>
      </c>
      <c r="C3952" s="1" t="n">
        <v>45957</v>
      </c>
      <c r="D3952" t="inlineStr">
        <is>
          <t>KRONOBERGS LÄN</t>
        </is>
      </c>
      <c r="E3952" t="inlineStr">
        <is>
          <t>VÄXJÖ</t>
        </is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59538-2024</t>
        </is>
      </c>
      <c r="B3953" s="1" t="n">
        <v>45637</v>
      </c>
      <c r="C3953" s="1" t="n">
        <v>45957</v>
      </c>
      <c r="D3953" t="inlineStr">
        <is>
          <t>KRONOBERGS LÄN</t>
        </is>
      </c>
      <c r="E3953" t="inlineStr">
        <is>
          <t>ALVESTA</t>
        </is>
      </c>
      <c r="G3953" t="n">
        <v>2.2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21980-2024</t>
        </is>
      </c>
      <c r="B3954" s="1" t="n">
        <v>45443</v>
      </c>
      <c r="C3954" s="1" t="n">
        <v>45957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2805-2025</t>
        </is>
      </c>
      <c r="B3955" s="1" t="n">
        <v>45677.59115740741</v>
      </c>
      <c r="C3955" s="1" t="n">
        <v>45957</v>
      </c>
      <c r="D3955" t="inlineStr">
        <is>
          <t>KRONOBERGS LÄN</t>
        </is>
      </c>
      <c r="E3955" t="inlineStr">
        <is>
          <t>TINGSRYD</t>
        </is>
      </c>
      <c r="F3955" t="inlineStr">
        <is>
          <t>Sveaskog</t>
        </is>
      </c>
      <c r="G3955" t="n">
        <v>3.1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41541-2025</t>
        </is>
      </c>
      <c r="B3956" s="1" t="n">
        <v>45901.57252314815</v>
      </c>
      <c r="C3956" s="1" t="n">
        <v>45957</v>
      </c>
      <c r="D3956" t="inlineStr">
        <is>
          <t>KRONOBERGS LÄN</t>
        </is>
      </c>
      <c r="E3956" t="inlineStr">
        <is>
          <t>UPPVIDINGE</t>
        </is>
      </c>
      <c r="G3956" t="n">
        <v>1.4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41552-2025</t>
        </is>
      </c>
      <c r="B3957" s="1" t="n">
        <v>45901.59040509259</v>
      </c>
      <c r="C3957" s="1" t="n">
        <v>45957</v>
      </c>
      <c r="D3957" t="inlineStr">
        <is>
          <t>KRONOBERGS LÄN</t>
        </is>
      </c>
      <c r="E3957" t="inlineStr">
        <is>
          <t>ALVESTA</t>
        </is>
      </c>
      <c r="G3957" t="n">
        <v>1.2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25461-2023</t>
        </is>
      </c>
      <c r="B3958" s="1" t="n">
        <v>45089.44758101852</v>
      </c>
      <c r="C3958" s="1" t="n">
        <v>45957</v>
      </c>
      <c r="D3958" t="inlineStr">
        <is>
          <t>KRONOBERGS LÄN</t>
        </is>
      </c>
      <c r="E3958" t="inlineStr">
        <is>
          <t>VÄXJÖ</t>
        </is>
      </c>
      <c r="G3958" t="n">
        <v>3.5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24169-2023</t>
        </is>
      </c>
      <c r="B3959" s="1" t="n">
        <v>45079</v>
      </c>
      <c r="C3959" s="1" t="n">
        <v>45957</v>
      </c>
      <c r="D3959" t="inlineStr">
        <is>
          <t>KRONOBERGS LÄN</t>
        </is>
      </c>
      <c r="E3959" t="inlineStr">
        <is>
          <t>ALVESTA</t>
        </is>
      </c>
      <c r="G3959" t="n">
        <v>2.3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15753-2025</t>
        </is>
      </c>
      <c r="B3960" s="1" t="n">
        <v>45748</v>
      </c>
      <c r="C3960" s="1" t="n">
        <v>45957</v>
      </c>
      <c r="D3960" t="inlineStr">
        <is>
          <t>KRONOBERGS LÄN</t>
        </is>
      </c>
      <c r="E3960" t="inlineStr">
        <is>
          <t>ÄLMHULT</t>
        </is>
      </c>
      <c r="G3960" t="n">
        <v>2.1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32005-2025</t>
        </is>
      </c>
      <c r="B3961" s="1" t="n">
        <v>45835.38336805555</v>
      </c>
      <c r="C3961" s="1" t="n">
        <v>45957</v>
      </c>
      <c r="D3961" t="inlineStr">
        <is>
          <t>KRONOBERGS LÄN</t>
        </is>
      </c>
      <c r="E3961" t="inlineStr">
        <is>
          <t>VÄXJÖ</t>
        </is>
      </c>
      <c r="G3961" t="n">
        <v>1.4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41393-2025</t>
        </is>
      </c>
      <c r="B3962" s="1" t="n">
        <v>45901.31505787037</v>
      </c>
      <c r="C3962" s="1" t="n">
        <v>45957</v>
      </c>
      <c r="D3962" t="inlineStr">
        <is>
          <t>KRONOBERGS LÄN</t>
        </is>
      </c>
      <c r="E3962" t="inlineStr">
        <is>
          <t>UPPVIDINGE</t>
        </is>
      </c>
      <c r="G3962" t="n">
        <v>0.5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31445-2023</t>
        </is>
      </c>
      <c r="B3963" s="1" t="n">
        <v>45114.65185185185</v>
      </c>
      <c r="C3963" s="1" t="n">
        <v>45957</v>
      </c>
      <c r="D3963" t="inlineStr">
        <is>
          <t>KRONOBERGS LÄN</t>
        </is>
      </c>
      <c r="E3963" t="inlineStr">
        <is>
          <t>UPPVIDINGE</t>
        </is>
      </c>
      <c r="G3963" t="n">
        <v>3.5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23155-2023</t>
        </is>
      </c>
      <c r="B3964" s="1" t="n">
        <v>45075.50622685185</v>
      </c>
      <c r="C3964" s="1" t="n">
        <v>45957</v>
      </c>
      <c r="D3964" t="inlineStr">
        <is>
          <t>KRONOBERGS LÄN</t>
        </is>
      </c>
      <c r="E3964" t="inlineStr">
        <is>
          <t>UPPVIDINGE</t>
        </is>
      </c>
      <c r="G3964" t="n">
        <v>2.9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10702-2023</t>
        </is>
      </c>
      <c r="B3965" s="1" t="n">
        <v>44984</v>
      </c>
      <c r="C3965" s="1" t="n">
        <v>45957</v>
      </c>
      <c r="D3965" t="inlineStr">
        <is>
          <t>KRONOBERGS LÄN</t>
        </is>
      </c>
      <c r="E3965" t="inlineStr">
        <is>
          <t>MARKARYD</t>
        </is>
      </c>
      <c r="G3965" t="n">
        <v>5.9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7677-2023</t>
        </is>
      </c>
      <c r="B3966" s="1" t="n">
        <v>44972</v>
      </c>
      <c r="C3966" s="1" t="n">
        <v>45957</v>
      </c>
      <c r="D3966" t="inlineStr">
        <is>
          <t>KRONOBERGS LÄN</t>
        </is>
      </c>
      <c r="E3966" t="inlineStr">
        <is>
          <t>VÄXJÖ</t>
        </is>
      </c>
      <c r="G3966" t="n">
        <v>1.8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7682-2023</t>
        </is>
      </c>
      <c r="B3967" s="1" t="n">
        <v>44972.73002314815</v>
      </c>
      <c r="C3967" s="1" t="n">
        <v>45957</v>
      </c>
      <c r="D3967" t="inlineStr">
        <is>
          <t>KRONOBERGS LÄN</t>
        </is>
      </c>
      <c r="E3967" t="inlineStr">
        <is>
          <t>VÄXJÖ</t>
        </is>
      </c>
      <c r="G3967" t="n">
        <v>4.5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34611-2025</t>
        </is>
      </c>
      <c r="B3968" s="1" t="n">
        <v>45846</v>
      </c>
      <c r="C3968" s="1" t="n">
        <v>45957</v>
      </c>
      <c r="D3968" t="inlineStr">
        <is>
          <t>KRONOBERGS LÄN</t>
        </is>
      </c>
      <c r="E3968" t="inlineStr">
        <is>
          <t>VÄXJÖ</t>
        </is>
      </c>
      <c r="F3968" t="inlineStr">
        <is>
          <t>Kyrkan</t>
        </is>
      </c>
      <c r="G3968" t="n">
        <v>5.3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34348-2025</t>
        </is>
      </c>
      <c r="B3969" s="1" t="n">
        <v>45846</v>
      </c>
      <c r="C3969" s="1" t="n">
        <v>45957</v>
      </c>
      <c r="D3969" t="inlineStr">
        <is>
          <t>KRONOBERGS LÄN</t>
        </is>
      </c>
      <c r="E3969" t="inlineStr">
        <is>
          <t>VÄXJÖ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34349-2025</t>
        </is>
      </c>
      <c r="B3970" s="1" t="n">
        <v>45846.47069444445</v>
      </c>
      <c r="C3970" s="1" t="n">
        <v>45957</v>
      </c>
      <c r="D3970" t="inlineStr">
        <is>
          <t>KRONOBERGS LÄN</t>
        </is>
      </c>
      <c r="E3970" t="inlineStr">
        <is>
          <t>MARKARYD</t>
        </is>
      </c>
      <c r="G3970" t="n">
        <v>1.4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20382-2025</t>
        </is>
      </c>
      <c r="B3971" s="1" t="n">
        <v>45775.43115740741</v>
      </c>
      <c r="C3971" s="1" t="n">
        <v>45957</v>
      </c>
      <c r="D3971" t="inlineStr">
        <is>
          <t>KRONOBERGS LÄN</t>
        </is>
      </c>
      <c r="E3971" t="inlineStr">
        <is>
          <t>VÄXJÖ</t>
        </is>
      </c>
      <c r="G3971" t="n">
        <v>6.4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4797-2025</t>
        </is>
      </c>
      <c r="B3972" s="1" t="n">
        <v>45688.58667824074</v>
      </c>
      <c r="C3972" s="1" t="n">
        <v>45957</v>
      </c>
      <c r="D3972" t="inlineStr">
        <is>
          <t>KRONOBERGS LÄN</t>
        </is>
      </c>
      <c r="E3972" t="inlineStr">
        <is>
          <t>UPPVIDINGE</t>
        </is>
      </c>
      <c r="F3972" t="inlineStr">
        <is>
          <t>Sveaskog</t>
        </is>
      </c>
      <c r="G3972" t="n">
        <v>20.5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33340-2024</t>
        </is>
      </c>
      <c r="B3973" s="1" t="n">
        <v>45519.33865740741</v>
      </c>
      <c r="C3973" s="1" t="n">
        <v>45957</v>
      </c>
      <c r="D3973" t="inlineStr">
        <is>
          <t>KRONOBERGS LÄN</t>
        </is>
      </c>
      <c r="E3973" t="inlineStr">
        <is>
          <t>VÄXJÖ</t>
        </is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15426-2023</t>
        </is>
      </c>
      <c r="B3974" s="1" t="n">
        <v>45020</v>
      </c>
      <c r="C3974" s="1" t="n">
        <v>45957</v>
      </c>
      <c r="D3974" t="inlineStr">
        <is>
          <t>KRONOBERGS LÄN</t>
        </is>
      </c>
      <c r="E3974" t="inlineStr">
        <is>
          <t>LJUNGBY</t>
        </is>
      </c>
      <c r="F3974" t="inlineStr">
        <is>
          <t>Kyrkan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34354-2025</t>
        </is>
      </c>
      <c r="B3975" s="1" t="n">
        <v>45846.47775462963</v>
      </c>
      <c r="C3975" s="1" t="n">
        <v>45957</v>
      </c>
      <c r="D3975" t="inlineStr">
        <is>
          <t>KRONOBERGS LÄN</t>
        </is>
      </c>
      <c r="E3975" t="inlineStr">
        <is>
          <t>VÄXJÖ</t>
        </is>
      </c>
      <c r="G3975" t="n">
        <v>0.7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65251-2020</t>
        </is>
      </c>
      <c r="B3976" s="1" t="n">
        <v>44172</v>
      </c>
      <c r="C3976" s="1" t="n">
        <v>45957</v>
      </c>
      <c r="D3976" t="inlineStr">
        <is>
          <t>KRONOBERGS LÄN</t>
        </is>
      </c>
      <c r="E3976" t="inlineStr">
        <is>
          <t>VÄXJÖ</t>
        </is>
      </c>
      <c r="G3976" t="n">
        <v>4.8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22684-2025</t>
        </is>
      </c>
      <c r="B3977" s="1" t="n">
        <v>45789.51069444444</v>
      </c>
      <c r="C3977" s="1" t="n">
        <v>45957</v>
      </c>
      <c r="D3977" t="inlineStr">
        <is>
          <t>KRONOBERGS LÄN</t>
        </is>
      </c>
      <c r="E3977" t="inlineStr">
        <is>
          <t>VÄXJÖ</t>
        </is>
      </c>
      <c r="G3977" t="n">
        <v>3.4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50344-2025</t>
        </is>
      </c>
      <c r="B3978" s="1" t="n">
        <v>45944.53962962963</v>
      </c>
      <c r="C3978" s="1" t="n">
        <v>45957</v>
      </c>
      <c r="D3978" t="inlineStr">
        <is>
          <t>KRONOBERGS LÄN</t>
        </is>
      </c>
      <c r="E3978" t="inlineStr">
        <is>
          <t>ÄLMHULT</t>
        </is>
      </c>
      <c r="G3978" t="n">
        <v>4.7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4828-2025</t>
        </is>
      </c>
      <c r="B3979" s="1" t="n">
        <v>45688.64172453704</v>
      </c>
      <c r="C3979" s="1" t="n">
        <v>45957</v>
      </c>
      <c r="D3979" t="inlineStr">
        <is>
          <t>KRONOBERGS LÄN</t>
        </is>
      </c>
      <c r="E3979" t="inlineStr">
        <is>
          <t>VÄXJÖ</t>
        </is>
      </c>
      <c r="G3979" t="n">
        <v>3.8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65894-2020</t>
        </is>
      </c>
      <c r="B3980" s="1" t="n">
        <v>44174</v>
      </c>
      <c r="C3980" s="1" t="n">
        <v>45957</v>
      </c>
      <c r="D3980" t="inlineStr">
        <is>
          <t>KRONOBERGS LÄN</t>
        </is>
      </c>
      <c r="E3980" t="inlineStr">
        <is>
          <t>ÄLMHULT</t>
        </is>
      </c>
      <c r="G3980" t="n">
        <v>0.2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26975-2025</t>
        </is>
      </c>
      <c r="B3981" s="1" t="n">
        <v>45811.48709490741</v>
      </c>
      <c r="C3981" s="1" t="n">
        <v>45957</v>
      </c>
      <c r="D3981" t="inlineStr">
        <is>
          <t>KRONOBERGS LÄN</t>
        </is>
      </c>
      <c r="E3981" t="inlineStr">
        <is>
          <t>LJUNGBY</t>
        </is>
      </c>
      <c r="G3981" t="n">
        <v>5.5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42074-2025</t>
        </is>
      </c>
      <c r="B3982" s="1" t="n">
        <v>45903.66820601852</v>
      </c>
      <c r="C3982" s="1" t="n">
        <v>45957</v>
      </c>
      <c r="D3982" t="inlineStr">
        <is>
          <t>KRONOBERGS LÄN</t>
        </is>
      </c>
      <c r="E3982" t="inlineStr">
        <is>
          <t>ALVESTA</t>
        </is>
      </c>
      <c r="G3982" t="n">
        <v>2.9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32024-2023</t>
        </is>
      </c>
      <c r="B3983" s="1" t="n">
        <v>45107</v>
      </c>
      <c r="C3983" s="1" t="n">
        <v>45957</v>
      </c>
      <c r="D3983" t="inlineStr">
        <is>
          <t>KRONOBERGS LÄN</t>
        </is>
      </c>
      <c r="E3983" t="inlineStr">
        <is>
          <t>MARKARYD</t>
        </is>
      </c>
      <c r="F3983" t="inlineStr">
        <is>
          <t>Kyrkan</t>
        </is>
      </c>
      <c r="G3983" t="n">
        <v>2.1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7266-2025</t>
        </is>
      </c>
      <c r="B3984" s="1" t="n">
        <v>45702.59452546296</v>
      </c>
      <c r="C3984" s="1" t="n">
        <v>45957</v>
      </c>
      <c r="D3984" t="inlineStr">
        <is>
          <t>KRONOBERGS LÄN</t>
        </is>
      </c>
      <c r="E3984" t="inlineStr">
        <is>
          <t>VÄXJÖ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60229-2020</t>
        </is>
      </c>
      <c r="B3985" s="1" t="n">
        <v>44152</v>
      </c>
      <c r="C3985" s="1" t="n">
        <v>45957</v>
      </c>
      <c r="D3985" t="inlineStr">
        <is>
          <t>KRONOBERGS LÄN</t>
        </is>
      </c>
      <c r="E3985" t="inlineStr">
        <is>
          <t>TINGSRYD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26225-2022</t>
        </is>
      </c>
      <c r="B3986" s="1" t="n">
        <v>44735.45429398148</v>
      </c>
      <c r="C3986" s="1" t="n">
        <v>45957</v>
      </c>
      <c r="D3986" t="inlineStr">
        <is>
          <t>KRONOBERGS LÄN</t>
        </is>
      </c>
      <c r="E3986" t="inlineStr">
        <is>
          <t>ALVESTA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34209-2023</t>
        </is>
      </c>
      <c r="B3987" s="1" t="n">
        <v>45138</v>
      </c>
      <c r="C3987" s="1" t="n">
        <v>45957</v>
      </c>
      <c r="D3987" t="inlineStr">
        <is>
          <t>KRONOBERGS LÄN</t>
        </is>
      </c>
      <c r="E3987" t="inlineStr">
        <is>
          <t>TINGSRYD</t>
        </is>
      </c>
      <c r="G3987" t="n">
        <v>1.2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50805-2025</t>
        </is>
      </c>
      <c r="B3988" s="1" t="n">
        <v>45946.5049074074</v>
      </c>
      <c r="C3988" s="1" t="n">
        <v>45957</v>
      </c>
      <c r="D3988" t="inlineStr">
        <is>
          <t>KRONOBERGS LÄN</t>
        </is>
      </c>
      <c r="E3988" t="inlineStr">
        <is>
          <t>ÄLMHULT</t>
        </is>
      </c>
      <c r="G3988" t="n">
        <v>1.8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29870-2023</t>
        </is>
      </c>
      <c r="B3989" s="1" t="n">
        <v>45107.61413194444</v>
      </c>
      <c r="C3989" s="1" t="n">
        <v>45957</v>
      </c>
      <c r="D3989" t="inlineStr">
        <is>
          <t>KRONOBERGS LÄN</t>
        </is>
      </c>
      <c r="E3989" t="inlineStr">
        <is>
          <t>UPPVIDINGE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45904-2023</t>
        </is>
      </c>
      <c r="B3990" s="1" t="n">
        <v>45195</v>
      </c>
      <c r="C3990" s="1" t="n">
        <v>45957</v>
      </c>
      <c r="D3990" t="inlineStr">
        <is>
          <t>KRONOBERGS LÄN</t>
        </is>
      </c>
      <c r="E3990" t="inlineStr">
        <is>
          <t>UPPVIDINGE</t>
        </is>
      </c>
      <c r="G3990" t="n">
        <v>10.3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8919-2025</t>
        </is>
      </c>
      <c r="B3991" s="1" t="n">
        <v>45713.43387731481</v>
      </c>
      <c r="C3991" s="1" t="n">
        <v>45957</v>
      </c>
      <c r="D3991" t="inlineStr">
        <is>
          <t>KRONOBERGS LÄN</t>
        </is>
      </c>
      <c r="E3991" t="inlineStr">
        <is>
          <t>TINGSRYD</t>
        </is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3879-2025</t>
        </is>
      </c>
      <c r="B3992" s="1" t="n">
        <v>45684.34594907407</v>
      </c>
      <c r="C3992" s="1" t="n">
        <v>45957</v>
      </c>
      <c r="D3992" t="inlineStr">
        <is>
          <t>KRONOBERGS LÄN</t>
        </is>
      </c>
      <c r="E3992" t="inlineStr">
        <is>
          <t>LJUNGBY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23654-2022</t>
        </is>
      </c>
      <c r="B3993" s="1" t="n">
        <v>44721.70876157407</v>
      </c>
      <c r="C3993" s="1" t="n">
        <v>45957</v>
      </c>
      <c r="D3993" t="inlineStr">
        <is>
          <t>KRONOBERGS LÄN</t>
        </is>
      </c>
      <c r="E3993" t="inlineStr">
        <is>
          <t>LJUNGBY</t>
        </is>
      </c>
      <c r="G3993" t="n">
        <v>1.7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24886-2024</t>
        </is>
      </c>
      <c r="B3994" s="1" t="n">
        <v>45461.56465277778</v>
      </c>
      <c r="C3994" s="1" t="n">
        <v>45957</v>
      </c>
      <c r="D3994" t="inlineStr">
        <is>
          <t>KRONOBERGS LÄN</t>
        </is>
      </c>
      <c r="E3994" t="inlineStr">
        <is>
          <t>TINGSRYD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21266-2022</t>
        </is>
      </c>
      <c r="B3995" s="1" t="n">
        <v>44705</v>
      </c>
      <c r="C3995" s="1" t="n">
        <v>45957</v>
      </c>
      <c r="D3995" t="inlineStr">
        <is>
          <t>KRONOBERGS LÄN</t>
        </is>
      </c>
      <c r="E3995" t="inlineStr">
        <is>
          <t>VÄXJÖ</t>
        </is>
      </c>
      <c r="G3995" t="n">
        <v>1.5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25937-2023</t>
        </is>
      </c>
      <c r="B3996" s="1" t="n">
        <v>45090.69125</v>
      </c>
      <c r="C3996" s="1" t="n">
        <v>45957</v>
      </c>
      <c r="D3996" t="inlineStr">
        <is>
          <t>KRONOBERGS LÄN</t>
        </is>
      </c>
      <c r="E3996" t="inlineStr">
        <is>
          <t>TINGSRYD</t>
        </is>
      </c>
      <c r="G3996" t="n">
        <v>0.5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20120-2022</t>
        </is>
      </c>
      <c r="B3997" s="1" t="n">
        <v>44698</v>
      </c>
      <c r="C3997" s="1" t="n">
        <v>45957</v>
      </c>
      <c r="D3997" t="inlineStr">
        <is>
          <t>KRONOBERGS LÄN</t>
        </is>
      </c>
      <c r="E3997" t="inlineStr">
        <is>
          <t>ÄLMHULT</t>
        </is>
      </c>
      <c r="G3997" t="n">
        <v>11.9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35913-2022</t>
        </is>
      </c>
      <c r="B3998" s="1" t="n">
        <v>44802.50060185185</v>
      </c>
      <c r="C3998" s="1" t="n">
        <v>45957</v>
      </c>
      <c r="D3998" t="inlineStr">
        <is>
          <t>KRONOBERGS LÄN</t>
        </is>
      </c>
      <c r="E3998" t="inlineStr">
        <is>
          <t>VÄXJÖ</t>
        </is>
      </c>
      <c r="G3998" t="n">
        <v>1.2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50862-2025</t>
        </is>
      </c>
      <c r="B3999" s="1" t="n">
        <v>45946.59506944445</v>
      </c>
      <c r="C3999" s="1" t="n">
        <v>45957</v>
      </c>
      <c r="D3999" t="inlineStr">
        <is>
          <t>KRONOBERGS LÄN</t>
        </is>
      </c>
      <c r="E3999" t="inlineStr">
        <is>
          <t>LJUNGBY</t>
        </is>
      </c>
      <c r="G3999" t="n">
        <v>0.2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40183-2022</t>
        </is>
      </c>
      <c r="B4000" s="1" t="n">
        <v>44820</v>
      </c>
      <c r="C4000" s="1" t="n">
        <v>45957</v>
      </c>
      <c r="D4000" t="inlineStr">
        <is>
          <t>KRONOBERGS LÄN</t>
        </is>
      </c>
      <c r="E4000" t="inlineStr">
        <is>
          <t>TINGSRYD</t>
        </is>
      </c>
      <c r="G4000" t="n">
        <v>4.9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50908-2025</t>
        </is>
      </c>
      <c r="B4001" s="1" t="n">
        <v>45946.654375</v>
      </c>
      <c r="C4001" s="1" t="n">
        <v>45957</v>
      </c>
      <c r="D4001" t="inlineStr">
        <is>
          <t>KRONOBERGS LÄN</t>
        </is>
      </c>
      <c r="E4001" t="inlineStr">
        <is>
          <t>VÄXJÖ</t>
        </is>
      </c>
      <c r="G4001" t="n">
        <v>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14496-2023</t>
        </is>
      </c>
      <c r="B4002" s="1" t="n">
        <v>45012</v>
      </c>
      <c r="C4002" s="1" t="n">
        <v>45957</v>
      </c>
      <c r="D4002" t="inlineStr">
        <is>
          <t>KRONOBERGS LÄN</t>
        </is>
      </c>
      <c r="E4002" t="inlineStr">
        <is>
          <t>LJUNGBY</t>
        </is>
      </c>
      <c r="G4002" t="n">
        <v>0.4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20926-2023</t>
        </is>
      </c>
      <c r="B4003" s="1" t="n">
        <v>45061</v>
      </c>
      <c r="C4003" s="1" t="n">
        <v>45957</v>
      </c>
      <c r="D4003" t="inlineStr">
        <is>
          <t>KRONOBERGS LÄN</t>
        </is>
      </c>
      <c r="E4003" t="inlineStr">
        <is>
          <t>TINGSRYD</t>
        </is>
      </c>
      <c r="F4003" t="inlineStr">
        <is>
          <t>Övriga Aktiebolag</t>
        </is>
      </c>
      <c r="G4003" t="n">
        <v>3.2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60103-2024</t>
        </is>
      </c>
      <c r="B4004" s="1" t="n">
        <v>45642.5609375</v>
      </c>
      <c r="C4004" s="1" t="n">
        <v>45957</v>
      </c>
      <c r="D4004" t="inlineStr">
        <is>
          <t>KRONOBERGS LÄN</t>
        </is>
      </c>
      <c r="E4004" t="inlineStr">
        <is>
          <t>ÄLMHULT</t>
        </is>
      </c>
      <c r="F4004" t="inlineStr">
        <is>
          <t>Sveaskog</t>
        </is>
      </c>
      <c r="G4004" t="n">
        <v>2.5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50803-2024</t>
        </is>
      </c>
      <c r="B4005" s="1" t="n">
        <v>45602</v>
      </c>
      <c r="C4005" s="1" t="n">
        <v>45957</v>
      </c>
      <c r="D4005" t="inlineStr">
        <is>
          <t>KRONOBERGS LÄN</t>
        </is>
      </c>
      <c r="E4005" t="inlineStr">
        <is>
          <t>LJUNGBY</t>
        </is>
      </c>
      <c r="G4005" t="n">
        <v>1.3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19803-2025</t>
        </is>
      </c>
      <c r="B4006" s="1" t="n">
        <v>45771.45237268518</v>
      </c>
      <c r="C4006" s="1" t="n">
        <v>45957</v>
      </c>
      <c r="D4006" t="inlineStr">
        <is>
          <t>KRONOBERGS LÄN</t>
        </is>
      </c>
      <c r="E4006" t="inlineStr">
        <is>
          <t>ÄLMHULT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60609-2021</t>
        </is>
      </c>
      <c r="B4007" s="1" t="n">
        <v>44496.58679398148</v>
      </c>
      <c r="C4007" s="1" t="n">
        <v>45957</v>
      </c>
      <c r="D4007" t="inlineStr">
        <is>
          <t>KRONOBERGS LÄN</t>
        </is>
      </c>
      <c r="E4007" t="inlineStr">
        <is>
          <t>UPPVIDINGE</t>
        </is>
      </c>
      <c r="G4007" t="n">
        <v>2.1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1142-2025</t>
        </is>
      </c>
      <c r="B4008" s="1" t="n">
        <v>45666.70684027778</v>
      </c>
      <c r="C4008" s="1" t="n">
        <v>45957</v>
      </c>
      <c r="D4008" t="inlineStr">
        <is>
          <t>KRONOBERGS LÄN</t>
        </is>
      </c>
      <c r="E4008" t="inlineStr">
        <is>
          <t>MARKARYD</t>
        </is>
      </c>
      <c r="G4008" t="n">
        <v>6.1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51191-2023</t>
        </is>
      </c>
      <c r="B4009" s="1" t="n">
        <v>45219.41258101852</v>
      </c>
      <c r="C4009" s="1" t="n">
        <v>45957</v>
      </c>
      <c r="D4009" t="inlineStr">
        <is>
          <t>KRONOBERGS LÄN</t>
        </is>
      </c>
      <c r="E4009" t="inlineStr">
        <is>
          <t>LESSEBO</t>
        </is>
      </c>
      <c r="G4009" t="n">
        <v>0.7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5980-2021</t>
        </is>
      </c>
      <c r="B4010" s="1" t="n">
        <v>44231</v>
      </c>
      <c r="C4010" s="1" t="n">
        <v>45957</v>
      </c>
      <c r="D4010" t="inlineStr">
        <is>
          <t>KRONOBERGS LÄN</t>
        </is>
      </c>
      <c r="E4010" t="inlineStr">
        <is>
          <t>ÄLMHULT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7777-2025</t>
        </is>
      </c>
      <c r="B4011" s="1" t="n">
        <v>45706.58024305556</v>
      </c>
      <c r="C4011" s="1" t="n">
        <v>45957</v>
      </c>
      <c r="D4011" t="inlineStr">
        <is>
          <t>KRONOBERGS LÄN</t>
        </is>
      </c>
      <c r="E4011" t="inlineStr">
        <is>
          <t>TINGSRYD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58571-2024</t>
        </is>
      </c>
      <c r="B4012" s="1" t="n">
        <v>45635.47998842593</v>
      </c>
      <c r="C4012" s="1" t="n">
        <v>45957</v>
      </c>
      <c r="D4012" t="inlineStr">
        <is>
          <t>KRONOBERGS LÄN</t>
        </is>
      </c>
      <c r="E4012" t="inlineStr">
        <is>
          <t>TINGSRYD</t>
        </is>
      </c>
      <c r="F4012" t="inlineStr">
        <is>
          <t>Övriga Aktiebolag</t>
        </is>
      </c>
      <c r="G4012" t="n">
        <v>1.1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34101-2025</t>
        </is>
      </c>
      <c r="B4013" s="1" t="n">
        <v>45845.48898148148</v>
      </c>
      <c r="C4013" s="1" t="n">
        <v>45957</v>
      </c>
      <c r="D4013" t="inlineStr">
        <is>
          <t>KRONOBERGS LÄN</t>
        </is>
      </c>
      <c r="E4013" t="inlineStr">
        <is>
          <t>LJUNGBY</t>
        </is>
      </c>
      <c r="G4013" t="n">
        <v>1.4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34818-2023</t>
        </is>
      </c>
      <c r="B4014" s="1" t="n">
        <v>45141.65546296296</v>
      </c>
      <c r="C4014" s="1" t="n">
        <v>45957</v>
      </c>
      <c r="D4014" t="inlineStr">
        <is>
          <t>KRONOBERGS LÄN</t>
        </is>
      </c>
      <c r="E4014" t="inlineStr">
        <is>
          <t>MARKARYD</t>
        </is>
      </c>
      <c r="G4014" t="n">
        <v>1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18058-2024</t>
        </is>
      </c>
      <c r="B4015" s="1" t="n">
        <v>45420.39758101852</v>
      </c>
      <c r="C4015" s="1" t="n">
        <v>45957</v>
      </c>
      <c r="D4015" t="inlineStr">
        <is>
          <t>KRONOBERGS LÄN</t>
        </is>
      </c>
      <c r="E4015" t="inlineStr">
        <is>
          <t>VÄXJÖ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46869-2022</t>
        </is>
      </c>
      <c r="B4016" s="1" t="n">
        <v>44851.61237268519</v>
      </c>
      <c r="C4016" s="1" t="n">
        <v>45957</v>
      </c>
      <c r="D4016" t="inlineStr">
        <is>
          <t>KRONOBERGS LÄN</t>
        </is>
      </c>
      <c r="E4016" t="inlineStr">
        <is>
          <t>LJUNGBY</t>
        </is>
      </c>
      <c r="F4016" t="inlineStr">
        <is>
          <t>Sveaskog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11071-2025</t>
        </is>
      </c>
      <c r="B4017" s="1" t="n">
        <v>45723.54547453704</v>
      </c>
      <c r="C4017" s="1" t="n">
        <v>45957</v>
      </c>
      <c r="D4017" t="inlineStr">
        <is>
          <t>KRONOBERGS LÄN</t>
        </is>
      </c>
      <c r="E4017" t="inlineStr">
        <is>
          <t>LJUNGBY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34345-2025</t>
        </is>
      </c>
      <c r="B4018" s="1" t="n">
        <v>45846</v>
      </c>
      <c r="C4018" s="1" t="n">
        <v>45957</v>
      </c>
      <c r="D4018" t="inlineStr">
        <is>
          <t>KRONOBERGS LÄN</t>
        </is>
      </c>
      <c r="E4018" t="inlineStr">
        <is>
          <t>VÄXJÖ</t>
        </is>
      </c>
      <c r="G4018" t="n">
        <v>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34357-2025</t>
        </is>
      </c>
      <c r="B4019" s="1" t="n">
        <v>45846.4825462963</v>
      </c>
      <c r="C4019" s="1" t="n">
        <v>45957</v>
      </c>
      <c r="D4019" t="inlineStr">
        <is>
          <t>KRONOBERGS LÄN</t>
        </is>
      </c>
      <c r="E4019" t="inlineStr">
        <is>
          <t>VÄXJÖ</t>
        </is>
      </c>
      <c r="G4019" t="n">
        <v>0.6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34103-2025</t>
        </is>
      </c>
      <c r="B4020" s="1" t="n">
        <v>45845</v>
      </c>
      <c r="C4020" s="1" t="n">
        <v>45957</v>
      </c>
      <c r="D4020" t="inlineStr">
        <is>
          <t>KRONOBERGS LÄN</t>
        </is>
      </c>
      <c r="E4020" t="inlineStr">
        <is>
          <t>ALVESTA</t>
        </is>
      </c>
      <c r="G4020" t="n">
        <v>2.6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7503-2023</t>
        </is>
      </c>
      <c r="B4021" s="1" t="n">
        <v>44971.76626157408</v>
      </c>
      <c r="C4021" s="1" t="n">
        <v>45957</v>
      </c>
      <c r="D4021" t="inlineStr">
        <is>
          <t>KRONOBERGS LÄN</t>
        </is>
      </c>
      <c r="E4021" t="inlineStr">
        <is>
          <t>UPPVIDINGE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34549-2023</t>
        </is>
      </c>
      <c r="B4022" s="1" t="n">
        <v>45140.49438657407</v>
      </c>
      <c r="C4022" s="1" t="n">
        <v>45957</v>
      </c>
      <c r="D4022" t="inlineStr">
        <is>
          <t>KRONOBERGS LÄN</t>
        </is>
      </c>
      <c r="E4022" t="inlineStr">
        <is>
          <t>VÄXJÖ</t>
        </is>
      </c>
      <c r="G4022" t="n">
        <v>1.6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39634-2025</t>
        </is>
      </c>
      <c r="B4023" s="1" t="n">
        <v>45890</v>
      </c>
      <c r="C4023" s="1" t="n">
        <v>45957</v>
      </c>
      <c r="D4023" t="inlineStr">
        <is>
          <t>KRONOBERGS LÄN</t>
        </is>
      </c>
      <c r="E4023" t="inlineStr">
        <is>
          <t>ALVESTA</t>
        </is>
      </c>
      <c r="G4023" t="n">
        <v>0.6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50849-2025</t>
        </is>
      </c>
      <c r="B4024" s="1" t="n">
        <v>45946.58215277778</v>
      </c>
      <c r="C4024" s="1" t="n">
        <v>45957</v>
      </c>
      <c r="D4024" t="inlineStr">
        <is>
          <t>KRONOBERGS LÄN</t>
        </is>
      </c>
      <c r="E4024" t="inlineStr">
        <is>
          <t>VÄXJÖ</t>
        </is>
      </c>
      <c r="G4024" t="n">
        <v>2.8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17136-2022</t>
        </is>
      </c>
      <c r="B4025" s="1" t="n">
        <v>44677.52666666666</v>
      </c>
      <c r="C4025" s="1" t="n">
        <v>45957</v>
      </c>
      <c r="D4025" t="inlineStr">
        <is>
          <t>KRONOBERGS LÄN</t>
        </is>
      </c>
      <c r="E4025" t="inlineStr">
        <is>
          <t>MARKARYD</t>
        </is>
      </c>
      <c r="G4025" t="n">
        <v>1.1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34169-2025</t>
        </is>
      </c>
      <c r="B4026" s="1" t="n">
        <v>45845</v>
      </c>
      <c r="C4026" s="1" t="n">
        <v>45957</v>
      </c>
      <c r="D4026" t="inlineStr">
        <is>
          <t>KRONOBERGS LÄN</t>
        </is>
      </c>
      <c r="E4026" t="inlineStr">
        <is>
          <t>LJUNGBY</t>
        </is>
      </c>
      <c r="G4026" t="n">
        <v>2.6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41849-2025</t>
        </is>
      </c>
      <c r="B4027" s="1" t="n">
        <v>45902.78745370371</v>
      </c>
      <c r="C4027" s="1" t="n">
        <v>45957</v>
      </c>
      <c r="D4027" t="inlineStr">
        <is>
          <t>KRONOBERGS LÄN</t>
        </is>
      </c>
      <c r="E4027" t="inlineStr">
        <is>
          <t>UPPVIDINGE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24323-2023</t>
        </is>
      </c>
      <c r="B4028" s="1" t="n">
        <v>45080</v>
      </c>
      <c r="C4028" s="1" t="n">
        <v>45957</v>
      </c>
      <c r="D4028" t="inlineStr">
        <is>
          <t>KRONOBERGS LÄN</t>
        </is>
      </c>
      <c r="E4028" t="inlineStr">
        <is>
          <t>MARKARYD</t>
        </is>
      </c>
      <c r="G4028" t="n">
        <v>0.9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34048-2025</t>
        </is>
      </c>
      <c r="B4029" s="1" t="n">
        <v>45845.39126157408</v>
      </c>
      <c r="C4029" s="1" t="n">
        <v>45957</v>
      </c>
      <c r="D4029" t="inlineStr">
        <is>
          <t>KRONOBERGS LÄN</t>
        </is>
      </c>
      <c r="E4029" t="inlineStr">
        <is>
          <t>ÄLMHULT</t>
        </is>
      </c>
      <c r="G4029" t="n">
        <v>0.5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72450-2021</t>
        </is>
      </c>
      <c r="B4030" s="1" t="n">
        <v>44545.69655092592</v>
      </c>
      <c r="C4030" s="1" t="n">
        <v>45957</v>
      </c>
      <c r="D4030" t="inlineStr">
        <is>
          <t>KRONOBERGS LÄN</t>
        </is>
      </c>
      <c r="E4030" t="inlineStr">
        <is>
          <t>TINGSRYD</t>
        </is>
      </c>
      <c r="G4030" t="n">
        <v>2.5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35248-2023</t>
        </is>
      </c>
      <c r="B4031" s="1" t="n">
        <v>45145.90166666666</v>
      </c>
      <c r="C4031" s="1" t="n">
        <v>45957</v>
      </c>
      <c r="D4031" t="inlineStr">
        <is>
          <t>KRONOBERGS LÄN</t>
        </is>
      </c>
      <c r="E4031" t="inlineStr">
        <is>
          <t>ÄLMHULT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50452-2025</t>
        </is>
      </c>
      <c r="B4032" s="1" t="n">
        <v>45945.32269675926</v>
      </c>
      <c r="C4032" s="1" t="n">
        <v>45957</v>
      </c>
      <c r="D4032" t="inlineStr">
        <is>
          <t>KRONOBERGS LÄN</t>
        </is>
      </c>
      <c r="E4032" t="inlineStr">
        <is>
          <t>ÄLMHULT</t>
        </is>
      </c>
      <c r="G4032" t="n">
        <v>1.7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32016-2023</t>
        </is>
      </c>
      <c r="B4033" s="1" t="n">
        <v>45119.4822337963</v>
      </c>
      <c r="C4033" s="1" t="n">
        <v>45957</v>
      </c>
      <c r="D4033" t="inlineStr">
        <is>
          <t>KRONOBERGS LÄN</t>
        </is>
      </c>
      <c r="E4033" t="inlineStr">
        <is>
          <t>TINGSRYD</t>
        </is>
      </c>
      <c r="G4033" t="n">
        <v>0.4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34270-2025</t>
        </is>
      </c>
      <c r="B4034" s="1" t="n">
        <v>45845.80144675926</v>
      </c>
      <c r="C4034" s="1" t="n">
        <v>45957</v>
      </c>
      <c r="D4034" t="inlineStr">
        <is>
          <t>KRONOBERGS LÄN</t>
        </is>
      </c>
      <c r="E4034" t="inlineStr">
        <is>
          <t>ALVESTA</t>
        </is>
      </c>
      <c r="G4034" t="n">
        <v>1.3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11065-2023</t>
        </is>
      </c>
      <c r="B4035" s="1" t="n">
        <v>44992</v>
      </c>
      <c r="C4035" s="1" t="n">
        <v>45957</v>
      </c>
      <c r="D4035" t="inlineStr">
        <is>
          <t>KRONOBERGS LÄN</t>
        </is>
      </c>
      <c r="E4035" t="inlineStr">
        <is>
          <t>MARKARYD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18191-2025</t>
        </is>
      </c>
      <c r="B4036" s="1" t="n">
        <v>45761.67469907407</v>
      </c>
      <c r="C4036" s="1" t="n">
        <v>45957</v>
      </c>
      <c r="D4036" t="inlineStr">
        <is>
          <t>KRONOBERGS LÄN</t>
        </is>
      </c>
      <c r="E4036" t="inlineStr">
        <is>
          <t>LESSEBO</t>
        </is>
      </c>
      <c r="F4036" t="inlineStr">
        <is>
          <t>Sveaskog</t>
        </is>
      </c>
      <c r="G4036" t="n">
        <v>14.7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40998-2023</t>
        </is>
      </c>
      <c r="B4037" s="1" t="n">
        <v>45173.53648148148</v>
      </c>
      <c r="C4037" s="1" t="n">
        <v>45957</v>
      </c>
      <c r="D4037" t="inlineStr">
        <is>
          <t>KRONOBERGS LÄN</t>
        </is>
      </c>
      <c r="E4037" t="inlineStr">
        <is>
          <t>ALVESTA</t>
        </is>
      </c>
      <c r="G4037" t="n">
        <v>1.7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34335-2025</t>
        </is>
      </c>
      <c r="B4038" s="1" t="n">
        <v>45846</v>
      </c>
      <c r="C4038" s="1" t="n">
        <v>45957</v>
      </c>
      <c r="D4038" t="inlineStr">
        <is>
          <t>KRONOBERGS LÄN</t>
        </is>
      </c>
      <c r="E4038" t="inlineStr">
        <is>
          <t>VÄXJÖ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34095-2025</t>
        </is>
      </c>
      <c r="B4039" s="1" t="n">
        <v>45845.48228009259</v>
      </c>
      <c r="C4039" s="1" t="n">
        <v>45957</v>
      </c>
      <c r="D4039" t="inlineStr">
        <is>
          <t>KRONOBERGS LÄN</t>
        </is>
      </c>
      <c r="E4039" t="inlineStr">
        <is>
          <t>LJUNGBY</t>
        </is>
      </c>
      <c r="G4039" t="n">
        <v>1.3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6934-2023</t>
        </is>
      </c>
      <c r="B4040" s="1" t="n">
        <v>44967</v>
      </c>
      <c r="C4040" s="1" t="n">
        <v>45957</v>
      </c>
      <c r="D4040" t="inlineStr">
        <is>
          <t>KRONOBERGS LÄN</t>
        </is>
      </c>
      <c r="E4040" t="inlineStr">
        <is>
          <t>VÄXJÖ</t>
        </is>
      </c>
      <c r="G4040" t="n">
        <v>4.3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18210-2025</t>
        </is>
      </c>
      <c r="B4041" s="1" t="n">
        <v>45761.69201388889</v>
      </c>
      <c r="C4041" s="1" t="n">
        <v>45957</v>
      </c>
      <c r="D4041" t="inlineStr">
        <is>
          <t>KRONOBERGS LÄN</t>
        </is>
      </c>
      <c r="E4041" t="inlineStr">
        <is>
          <t>LESSEBO</t>
        </is>
      </c>
      <c r="F4041" t="inlineStr">
        <is>
          <t>Sveaskog</t>
        </is>
      </c>
      <c r="G4041" t="n">
        <v>0.7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42001-2025</t>
        </is>
      </c>
      <c r="B4042" s="1" t="n">
        <v>45903.55363425926</v>
      </c>
      <c r="C4042" s="1" t="n">
        <v>45957</v>
      </c>
      <c r="D4042" t="inlineStr">
        <is>
          <t>KRONOBERGS LÄN</t>
        </is>
      </c>
      <c r="E4042" t="inlineStr">
        <is>
          <t>TINGSRYD</t>
        </is>
      </c>
      <c r="F4042" t="inlineStr">
        <is>
          <t>Övriga Aktiebolag</t>
        </is>
      </c>
      <c r="G4042" t="n">
        <v>2.4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42195-2025</t>
        </is>
      </c>
      <c r="B4043" s="1" t="n">
        <v>45904.48261574074</v>
      </c>
      <c r="C4043" s="1" t="n">
        <v>45957</v>
      </c>
      <c r="D4043" t="inlineStr">
        <is>
          <t>KRONOBERGS LÄN</t>
        </is>
      </c>
      <c r="E4043" t="inlineStr">
        <is>
          <t>ALVESTA</t>
        </is>
      </c>
      <c r="G4043" t="n">
        <v>0.5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4027-2024</t>
        </is>
      </c>
      <c r="B4044" s="1" t="n">
        <v>45323</v>
      </c>
      <c r="C4044" s="1" t="n">
        <v>45957</v>
      </c>
      <c r="D4044" t="inlineStr">
        <is>
          <t>KRONOBERGS LÄN</t>
        </is>
      </c>
      <c r="E4044" t="inlineStr">
        <is>
          <t>LJUNGBY</t>
        </is>
      </c>
      <c r="F4044" t="inlineStr">
        <is>
          <t>Kommuner</t>
        </is>
      </c>
      <c r="G4044" t="n">
        <v>1.4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4684-2025</t>
        </is>
      </c>
      <c r="B4045" s="1" t="n">
        <v>45687.94340277778</v>
      </c>
      <c r="C4045" s="1" t="n">
        <v>45957</v>
      </c>
      <c r="D4045" t="inlineStr">
        <is>
          <t>KRONOBERGS LÄN</t>
        </is>
      </c>
      <c r="E4045" t="inlineStr">
        <is>
          <t>VÄXJÖ</t>
        </is>
      </c>
      <c r="G4045" t="n">
        <v>0.9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8449-2024</t>
        </is>
      </c>
      <c r="B4046" s="1" t="n">
        <v>45354.72975694444</v>
      </c>
      <c r="C4046" s="1" t="n">
        <v>45957</v>
      </c>
      <c r="D4046" t="inlineStr">
        <is>
          <t>KRONOBERGS LÄN</t>
        </is>
      </c>
      <c r="E4046" t="inlineStr">
        <is>
          <t>UPPVIDINGE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34738-2025</t>
        </is>
      </c>
      <c r="B4047" s="1" t="n">
        <v>45848.6062962963</v>
      </c>
      <c r="C4047" s="1" t="n">
        <v>45957</v>
      </c>
      <c r="D4047" t="inlineStr">
        <is>
          <t>KRONOBERGS LÄN</t>
        </is>
      </c>
      <c r="E4047" t="inlineStr">
        <is>
          <t>LJUNGBY</t>
        </is>
      </c>
      <c r="G4047" t="n">
        <v>4.7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41998-2025</t>
        </is>
      </c>
      <c r="B4048" s="1" t="n">
        <v>45903.55202546297</v>
      </c>
      <c r="C4048" s="1" t="n">
        <v>45957</v>
      </c>
      <c r="D4048" t="inlineStr">
        <is>
          <t>KRONOBERGS LÄN</t>
        </is>
      </c>
      <c r="E4048" t="inlineStr">
        <is>
          <t>TINGSRYD</t>
        </is>
      </c>
      <c r="F4048" t="inlineStr">
        <is>
          <t>Övriga Aktiebolag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42014-2025</t>
        </is>
      </c>
      <c r="B4049" s="1" t="n">
        <v>45903.57832175926</v>
      </c>
      <c r="C4049" s="1" t="n">
        <v>45957</v>
      </c>
      <c r="D4049" t="inlineStr">
        <is>
          <t>KRONOBERGS LÄN</t>
        </is>
      </c>
      <c r="E4049" t="inlineStr">
        <is>
          <t>ÄLMHULT</t>
        </is>
      </c>
      <c r="G4049" t="n">
        <v>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50916-2025</t>
        </is>
      </c>
      <c r="B4050" s="1" t="n">
        <v>45946.66081018518</v>
      </c>
      <c r="C4050" s="1" t="n">
        <v>45957</v>
      </c>
      <c r="D4050" t="inlineStr">
        <is>
          <t>KRONOBERGS LÄN</t>
        </is>
      </c>
      <c r="E4050" t="inlineStr">
        <is>
          <t>VÄXJÖ</t>
        </is>
      </c>
      <c r="G4050" t="n">
        <v>3.7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50468-2025</t>
        </is>
      </c>
      <c r="B4051" s="1" t="n">
        <v>45945.35819444444</v>
      </c>
      <c r="C4051" s="1" t="n">
        <v>45957</v>
      </c>
      <c r="D4051" t="inlineStr">
        <is>
          <t>KRONOBERGS LÄN</t>
        </is>
      </c>
      <c r="E4051" t="inlineStr">
        <is>
          <t>ÄLMHULT</t>
        </is>
      </c>
      <c r="G4051" t="n">
        <v>3.8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50481-2025</t>
        </is>
      </c>
      <c r="B4052" s="1" t="n">
        <v>45945.37453703704</v>
      </c>
      <c r="C4052" s="1" t="n">
        <v>45957</v>
      </c>
      <c r="D4052" t="inlineStr">
        <is>
          <t>KRONOBERGS LÄN</t>
        </is>
      </c>
      <c r="E4052" t="inlineStr">
        <is>
          <t>ÄLMHULT</t>
        </is>
      </c>
      <c r="G4052" t="n">
        <v>3.3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34742-2025</t>
        </is>
      </c>
      <c r="B4053" s="1" t="n">
        <v>45848.61030092592</v>
      </c>
      <c r="C4053" s="1" t="n">
        <v>45957</v>
      </c>
      <c r="D4053" t="inlineStr">
        <is>
          <t>KRONOBERGS LÄN</t>
        </is>
      </c>
      <c r="E4053" t="inlineStr">
        <is>
          <t>LJUNGBY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42167-2025</t>
        </is>
      </c>
      <c r="B4054" s="1" t="n">
        <v>45904.42247685185</v>
      </c>
      <c r="C4054" s="1" t="n">
        <v>45957</v>
      </c>
      <c r="D4054" t="inlineStr">
        <is>
          <t>KRONOBERGS LÄN</t>
        </is>
      </c>
      <c r="E4054" t="inlineStr">
        <is>
          <t>TINGSRYD</t>
        </is>
      </c>
      <c r="G4054" t="n">
        <v>2.5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34712-2025</t>
        </is>
      </c>
      <c r="B4055" s="1" t="n">
        <v>45848.51086805556</v>
      </c>
      <c r="C4055" s="1" t="n">
        <v>45957</v>
      </c>
      <c r="D4055" t="inlineStr">
        <is>
          <t>KRONOBERGS LÄN</t>
        </is>
      </c>
      <c r="E4055" t="inlineStr">
        <is>
          <t>ALVESTA</t>
        </is>
      </c>
      <c r="G4055" t="n">
        <v>3.3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34743-2025</t>
        </is>
      </c>
      <c r="B4056" s="1" t="n">
        <v>45848.61209490741</v>
      </c>
      <c r="C4056" s="1" t="n">
        <v>45957</v>
      </c>
      <c r="D4056" t="inlineStr">
        <is>
          <t>KRONOBERGS LÄN</t>
        </is>
      </c>
      <c r="E4056" t="inlineStr">
        <is>
          <t>TINGSRYD</t>
        </is>
      </c>
      <c r="G4056" t="n">
        <v>1.7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34745-2025</t>
        </is>
      </c>
      <c r="B4057" s="1" t="n">
        <v>45848.61425925926</v>
      </c>
      <c r="C4057" s="1" t="n">
        <v>45957</v>
      </c>
      <c r="D4057" t="inlineStr">
        <is>
          <t>KRONOBERGS LÄN</t>
        </is>
      </c>
      <c r="E4057" t="inlineStr">
        <is>
          <t>TINGSRYD</t>
        </is>
      </c>
      <c r="G4057" t="n">
        <v>1.7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42193-2025</t>
        </is>
      </c>
      <c r="B4058" s="1" t="n">
        <v>45904.48038194444</v>
      </c>
      <c r="C4058" s="1" t="n">
        <v>45957</v>
      </c>
      <c r="D4058" t="inlineStr">
        <is>
          <t>KRONOBERGS LÄN</t>
        </is>
      </c>
      <c r="E4058" t="inlineStr">
        <is>
          <t>UPPVIDINGE</t>
        </is>
      </c>
      <c r="G4058" t="n">
        <v>2.2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21161-2023</t>
        </is>
      </c>
      <c r="B4059" s="1" t="n">
        <v>45062.41892361111</v>
      </c>
      <c r="C4059" s="1" t="n">
        <v>45957</v>
      </c>
      <c r="D4059" t="inlineStr">
        <is>
          <t>KRONOBERGS LÄN</t>
        </is>
      </c>
      <c r="E4059" t="inlineStr">
        <is>
          <t>TINGSRYD</t>
        </is>
      </c>
      <c r="G4059" t="n">
        <v>1.1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994-2025</t>
        </is>
      </c>
      <c r="B4060" s="1" t="n">
        <v>45666.45196759259</v>
      </c>
      <c r="C4060" s="1" t="n">
        <v>45957</v>
      </c>
      <c r="D4060" t="inlineStr">
        <is>
          <t>KRONOBERGS LÄN</t>
        </is>
      </c>
      <c r="E4060" t="inlineStr">
        <is>
          <t>ALVESTA</t>
        </is>
      </c>
      <c r="G4060" t="n">
        <v>2.7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24788-2024</t>
        </is>
      </c>
      <c r="B4061" s="1" t="n">
        <v>45460.82011574074</v>
      </c>
      <c r="C4061" s="1" t="n">
        <v>45957</v>
      </c>
      <c r="D4061" t="inlineStr">
        <is>
          <t>KRONOBERGS LÄN</t>
        </is>
      </c>
      <c r="E4061" t="inlineStr">
        <is>
          <t>UPPVIDINGE</t>
        </is>
      </c>
      <c r="G4061" t="n">
        <v>0.4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36862-2022</t>
        </is>
      </c>
      <c r="B4062" s="1" t="n">
        <v>44805</v>
      </c>
      <c r="C4062" s="1" t="n">
        <v>45957</v>
      </c>
      <c r="D4062" t="inlineStr">
        <is>
          <t>KRONOBERGS LÄN</t>
        </is>
      </c>
      <c r="E4062" t="inlineStr">
        <is>
          <t>ALVESTA</t>
        </is>
      </c>
      <c r="G4062" t="n">
        <v>1.3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50592-2025</t>
        </is>
      </c>
      <c r="B4063" s="1" t="n">
        <v>45945</v>
      </c>
      <c r="C4063" s="1" t="n">
        <v>45957</v>
      </c>
      <c r="D4063" t="inlineStr">
        <is>
          <t>KRONOBERGS LÄN</t>
        </is>
      </c>
      <c r="E4063" t="inlineStr">
        <is>
          <t>LJUNGBY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36365-2023</t>
        </is>
      </c>
      <c r="B4064" s="1" t="n">
        <v>45152</v>
      </c>
      <c r="C4064" s="1" t="n">
        <v>45957</v>
      </c>
      <c r="D4064" t="inlineStr">
        <is>
          <t>KRONOBERGS LÄN</t>
        </is>
      </c>
      <c r="E4064" t="inlineStr">
        <is>
          <t>LJUNGBY</t>
        </is>
      </c>
      <c r="G4064" t="n">
        <v>0.3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52525-2023</t>
        </is>
      </c>
      <c r="B4065" s="1" t="n">
        <v>45225.51216435185</v>
      </c>
      <c r="C4065" s="1" t="n">
        <v>45957</v>
      </c>
      <c r="D4065" t="inlineStr">
        <is>
          <t>KRONOBERGS LÄN</t>
        </is>
      </c>
      <c r="E4065" t="inlineStr">
        <is>
          <t>LESSEBO</t>
        </is>
      </c>
      <c r="G4065" t="n">
        <v>2.8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50581-2025</t>
        </is>
      </c>
      <c r="B4066" s="1" t="n">
        <v>45945.5862037037</v>
      </c>
      <c r="C4066" s="1" t="n">
        <v>45957</v>
      </c>
      <c r="D4066" t="inlineStr">
        <is>
          <t>KRONOBERGS LÄN</t>
        </is>
      </c>
      <c r="E4066" t="inlineStr">
        <is>
          <t>LJUNGBY</t>
        </is>
      </c>
      <c r="G4066" t="n">
        <v>2.7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14365-2023</t>
        </is>
      </c>
      <c r="B4067" s="1" t="n">
        <v>45012.4278587963</v>
      </c>
      <c r="C4067" s="1" t="n">
        <v>45957</v>
      </c>
      <c r="D4067" t="inlineStr">
        <is>
          <t>KRONOBERGS LÄN</t>
        </is>
      </c>
      <c r="E4067" t="inlineStr">
        <is>
          <t>VÄXJÖ</t>
        </is>
      </c>
      <c r="G4067" t="n">
        <v>2.5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34549-2025</t>
        </is>
      </c>
      <c r="B4068" s="1" t="n">
        <v>45847.5616087963</v>
      </c>
      <c r="C4068" s="1" t="n">
        <v>45957</v>
      </c>
      <c r="D4068" t="inlineStr">
        <is>
          <t>KRONOBERGS LÄN</t>
        </is>
      </c>
      <c r="E4068" t="inlineStr">
        <is>
          <t>VÄXJÖ</t>
        </is>
      </c>
      <c r="G4068" t="n">
        <v>0.5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40388-2025</t>
        </is>
      </c>
      <c r="B4069" s="1" t="n">
        <v>45895</v>
      </c>
      <c r="C4069" s="1" t="n">
        <v>45957</v>
      </c>
      <c r="D4069" t="inlineStr">
        <is>
          <t>KRONOBERGS LÄN</t>
        </is>
      </c>
      <c r="E4069" t="inlineStr">
        <is>
          <t>ALVESTA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27365-2024</t>
        </is>
      </c>
      <c r="B4070" s="1" t="n">
        <v>45473.77956018518</v>
      </c>
      <c r="C4070" s="1" t="n">
        <v>45957</v>
      </c>
      <c r="D4070" t="inlineStr">
        <is>
          <t>KRONOBERGS LÄN</t>
        </is>
      </c>
      <c r="E4070" t="inlineStr">
        <is>
          <t>MARKARYD</t>
        </is>
      </c>
      <c r="G4070" t="n">
        <v>0.5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37117-2023</t>
        </is>
      </c>
      <c r="B4071" s="1" t="n">
        <v>45155.55802083333</v>
      </c>
      <c r="C4071" s="1" t="n">
        <v>45957</v>
      </c>
      <c r="D4071" t="inlineStr">
        <is>
          <t>KRONOBERGS LÄN</t>
        </is>
      </c>
      <c r="E4071" t="inlineStr">
        <is>
          <t>ALVESTA</t>
        </is>
      </c>
      <c r="G4071" t="n">
        <v>1.1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42111-2025</t>
        </is>
      </c>
      <c r="B4072" s="1" t="n">
        <v>45904.31614583333</v>
      </c>
      <c r="C4072" s="1" t="n">
        <v>45957</v>
      </c>
      <c r="D4072" t="inlineStr">
        <is>
          <t>KRONOBERGS LÄN</t>
        </is>
      </c>
      <c r="E4072" t="inlineStr">
        <is>
          <t>TINGSRYD</t>
        </is>
      </c>
      <c r="F4072" t="inlineStr">
        <is>
          <t>Kommuner</t>
        </is>
      </c>
      <c r="G4072" t="n">
        <v>1.7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34530-2025</t>
        </is>
      </c>
      <c r="B4073" s="1" t="n">
        <v>45847.50042824074</v>
      </c>
      <c r="C4073" s="1" t="n">
        <v>45957</v>
      </c>
      <c r="D4073" t="inlineStr">
        <is>
          <t>KRONOBERGS LÄN</t>
        </is>
      </c>
      <c r="E4073" t="inlineStr">
        <is>
          <t>ALVESTA</t>
        </is>
      </c>
      <c r="G4073" t="n">
        <v>0.4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34532-2025</t>
        </is>
      </c>
      <c r="B4074" s="1" t="n">
        <v>45847.50482638889</v>
      </c>
      <c r="C4074" s="1" t="n">
        <v>45957</v>
      </c>
      <c r="D4074" t="inlineStr">
        <is>
          <t>KRONOBERGS LÄN</t>
        </is>
      </c>
      <c r="E4074" t="inlineStr">
        <is>
          <t>ALVESTA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17541-2025</t>
        </is>
      </c>
      <c r="B4075" s="1" t="n">
        <v>45757</v>
      </c>
      <c r="C4075" s="1" t="n">
        <v>45957</v>
      </c>
      <c r="D4075" t="inlineStr">
        <is>
          <t>KRONOBERGS LÄN</t>
        </is>
      </c>
      <c r="E4075" t="inlineStr">
        <is>
          <t>UPPVIDINGE</t>
        </is>
      </c>
      <c r="F4075" t="inlineStr">
        <is>
          <t>Kyrkan</t>
        </is>
      </c>
      <c r="G4075" t="n">
        <v>2.2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40803-2023</t>
        </is>
      </c>
      <c r="B4076" s="1" t="n">
        <v>45171.28196759259</v>
      </c>
      <c r="C4076" s="1" t="n">
        <v>45957</v>
      </c>
      <c r="D4076" t="inlineStr">
        <is>
          <t>KRONOBERGS LÄN</t>
        </is>
      </c>
      <c r="E4076" t="inlineStr">
        <is>
          <t>ALVESTA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18304-2023</t>
        </is>
      </c>
      <c r="B4077" s="1" t="n">
        <v>45041</v>
      </c>
      <c r="C4077" s="1" t="n">
        <v>45957</v>
      </c>
      <c r="D4077" t="inlineStr">
        <is>
          <t>KRONOBERGS LÄN</t>
        </is>
      </c>
      <c r="E4077" t="inlineStr">
        <is>
          <t>UPPVIDINGE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14247-2023</t>
        </is>
      </c>
      <c r="B4078" s="1" t="n">
        <v>45009.68813657408</v>
      </c>
      <c r="C4078" s="1" t="n">
        <v>45957</v>
      </c>
      <c r="D4078" t="inlineStr">
        <is>
          <t>KRONOBERGS LÄN</t>
        </is>
      </c>
      <c r="E4078" t="inlineStr">
        <is>
          <t>TINGSRYD</t>
        </is>
      </c>
      <c r="F4078" t="inlineStr">
        <is>
          <t>Sveaskog</t>
        </is>
      </c>
      <c r="G4078" t="n">
        <v>3.5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34512-2025</t>
        </is>
      </c>
      <c r="B4079" s="1" t="n">
        <v>45847</v>
      </c>
      <c r="C4079" s="1" t="n">
        <v>45957</v>
      </c>
      <c r="D4079" t="inlineStr">
        <is>
          <t>KRONOBERGS LÄN</t>
        </is>
      </c>
      <c r="E4079" t="inlineStr">
        <is>
          <t>ALVESTA</t>
        </is>
      </c>
      <c r="G4079" t="n">
        <v>1.3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17517-2023</t>
        </is>
      </c>
      <c r="B4080" s="1" t="n">
        <v>45036.43976851852</v>
      </c>
      <c r="C4080" s="1" t="n">
        <v>45957</v>
      </c>
      <c r="D4080" t="inlineStr">
        <is>
          <t>KRONOBERGS LÄN</t>
        </is>
      </c>
      <c r="E4080" t="inlineStr">
        <is>
          <t>LESSEBO</t>
        </is>
      </c>
      <c r="G4080" t="n">
        <v>2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33499-2023</t>
        </is>
      </c>
      <c r="B4081" s="1" t="n">
        <v>45131</v>
      </c>
      <c r="C4081" s="1" t="n">
        <v>45957</v>
      </c>
      <c r="D4081" t="inlineStr">
        <is>
          <t>KRONOBERGS LÄN</t>
        </is>
      </c>
      <c r="E4081" t="inlineStr">
        <is>
          <t>LJUNGBY</t>
        </is>
      </c>
      <c r="G4081" t="n">
        <v>1.3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9397-2023</t>
        </is>
      </c>
      <c r="B4082" s="1" t="n">
        <v>44981</v>
      </c>
      <c r="C4082" s="1" t="n">
        <v>45957</v>
      </c>
      <c r="D4082" t="inlineStr">
        <is>
          <t>KRONOBERGS LÄN</t>
        </is>
      </c>
      <c r="E4082" t="inlineStr">
        <is>
          <t>VÄXJÖ</t>
        </is>
      </c>
      <c r="G4082" t="n">
        <v>3.3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26312-2025</t>
        </is>
      </c>
      <c r="B4083" s="1" t="n">
        <v>45805.65649305555</v>
      </c>
      <c r="C4083" s="1" t="n">
        <v>45957</v>
      </c>
      <c r="D4083" t="inlineStr">
        <is>
          <t>KRONOBERGS LÄN</t>
        </is>
      </c>
      <c r="E4083" t="inlineStr">
        <is>
          <t>ÄLMHULT</t>
        </is>
      </c>
      <c r="F4083" t="inlineStr">
        <is>
          <t>Sveaskog</t>
        </is>
      </c>
      <c r="G4083" t="n">
        <v>6.5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11496-2023</t>
        </is>
      </c>
      <c r="B4084" s="1" t="n">
        <v>44993.65773148148</v>
      </c>
      <c r="C4084" s="1" t="n">
        <v>45957</v>
      </c>
      <c r="D4084" t="inlineStr">
        <is>
          <t>KRONOBERGS LÄN</t>
        </is>
      </c>
      <c r="E4084" t="inlineStr">
        <is>
          <t>TINGSRYD</t>
        </is>
      </c>
      <c r="G4084" t="n">
        <v>2.2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12499-2025</t>
        </is>
      </c>
      <c r="B4085" s="1" t="n">
        <v>45730.61275462963</v>
      </c>
      <c r="C4085" s="1" t="n">
        <v>45957</v>
      </c>
      <c r="D4085" t="inlineStr">
        <is>
          <t>KRONOBERGS LÄN</t>
        </is>
      </c>
      <c r="E4085" t="inlineStr">
        <is>
          <t>LJUNGBY</t>
        </is>
      </c>
      <c r="G4085" t="n">
        <v>1.2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34514-2025</t>
        </is>
      </c>
      <c r="B4086" s="1" t="n">
        <v>45847</v>
      </c>
      <c r="C4086" s="1" t="n">
        <v>45957</v>
      </c>
      <c r="D4086" t="inlineStr">
        <is>
          <t>KRONOBERGS LÄN</t>
        </is>
      </c>
      <c r="E4086" t="inlineStr">
        <is>
          <t>ALVESTA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34548-2025</t>
        </is>
      </c>
      <c r="B4087" s="1" t="n">
        <v>45847.56047453704</v>
      </c>
      <c r="C4087" s="1" t="n">
        <v>45957</v>
      </c>
      <c r="D4087" t="inlineStr">
        <is>
          <t>KRONOBERGS LÄN</t>
        </is>
      </c>
      <c r="E4087" t="inlineStr">
        <is>
          <t>VÄXJÖ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26979-2025</t>
        </is>
      </c>
      <c r="B4088" s="1" t="n">
        <v>45811.4892824074</v>
      </c>
      <c r="C4088" s="1" t="n">
        <v>45957</v>
      </c>
      <c r="D4088" t="inlineStr">
        <is>
          <t>KRONOBERGS LÄN</t>
        </is>
      </c>
      <c r="E4088" t="inlineStr">
        <is>
          <t>LJUNGBY</t>
        </is>
      </c>
      <c r="G4088" t="n">
        <v>2.6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3577-2025</t>
        </is>
      </c>
      <c r="B4089" s="1" t="n">
        <v>45680.72692129629</v>
      </c>
      <c r="C4089" s="1" t="n">
        <v>45957</v>
      </c>
      <c r="D4089" t="inlineStr">
        <is>
          <t>KRONOBERGS LÄN</t>
        </is>
      </c>
      <c r="E4089" t="inlineStr">
        <is>
          <t>ÄLMHULT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3583-2025</t>
        </is>
      </c>
      <c r="B4090" s="1" t="n">
        <v>45680.74355324074</v>
      </c>
      <c r="C4090" s="1" t="n">
        <v>45957</v>
      </c>
      <c r="D4090" t="inlineStr">
        <is>
          <t>KRONOBERGS LÄN</t>
        </is>
      </c>
      <c r="E4090" t="inlineStr">
        <is>
          <t>MARKARYD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39483-2022</t>
        </is>
      </c>
      <c r="B4091" s="1" t="n">
        <v>44818.43640046296</v>
      </c>
      <c r="C4091" s="1" t="n">
        <v>45957</v>
      </c>
      <c r="D4091" t="inlineStr">
        <is>
          <t>KRONOBERGS LÄN</t>
        </is>
      </c>
      <c r="E4091" t="inlineStr">
        <is>
          <t>MARKARYD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61138-2024</t>
        </is>
      </c>
      <c r="B4092" s="1" t="n">
        <v>45645.58436342593</v>
      </c>
      <c r="C4092" s="1" t="n">
        <v>45957</v>
      </c>
      <c r="D4092" t="inlineStr">
        <is>
          <t>KRONOBERGS LÄN</t>
        </is>
      </c>
      <c r="E4092" t="inlineStr">
        <is>
          <t>LJUNGBY</t>
        </is>
      </c>
      <c r="G4092" t="n">
        <v>1.2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27307-2023</t>
        </is>
      </c>
      <c r="B4093" s="1" t="n">
        <v>45096.65381944444</v>
      </c>
      <c r="C4093" s="1" t="n">
        <v>45957</v>
      </c>
      <c r="D4093" t="inlineStr">
        <is>
          <t>KRONOBERGS LÄN</t>
        </is>
      </c>
      <c r="E4093" t="inlineStr">
        <is>
          <t>TINGSRYD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39260-2023</t>
        </is>
      </c>
      <c r="B4094" s="1" t="n">
        <v>45166.48473379629</v>
      </c>
      <c r="C4094" s="1" t="n">
        <v>45957</v>
      </c>
      <c r="D4094" t="inlineStr">
        <is>
          <t>KRONOBERGS LÄN</t>
        </is>
      </c>
      <c r="E4094" t="inlineStr">
        <is>
          <t>VÄXJÖ</t>
        </is>
      </c>
      <c r="G4094" t="n">
        <v>2.5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39263-2023</t>
        </is>
      </c>
      <c r="B4095" s="1" t="n">
        <v>45166</v>
      </c>
      <c r="C4095" s="1" t="n">
        <v>45957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50445-2025</t>
        </is>
      </c>
      <c r="B4096" s="1" t="n">
        <v>45944.9649537037</v>
      </c>
      <c r="C4096" s="1" t="n">
        <v>45957</v>
      </c>
      <c r="D4096" t="inlineStr">
        <is>
          <t>KRONOBERGS LÄN</t>
        </is>
      </c>
      <c r="E4096" t="inlineStr">
        <is>
          <t>VÄXJÖ</t>
        </is>
      </c>
      <c r="G4096" t="n">
        <v>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57315-2023</t>
        </is>
      </c>
      <c r="B4097" s="1" t="n">
        <v>45240</v>
      </c>
      <c r="C4097" s="1" t="n">
        <v>45957</v>
      </c>
      <c r="D4097" t="inlineStr">
        <is>
          <t>KRONOBERGS LÄN</t>
        </is>
      </c>
      <c r="E4097" t="inlineStr">
        <is>
          <t>ÄLMHULT</t>
        </is>
      </c>
      <c r="F4097" t="inlineStr">
        <is>
          <t>Kyrkan</t>
        </is>
      </c>
      <c r="G4097" t="n">
        <v>0.5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50520-2025</t>
        </is>
      </c>
      <c r="B4098" s="1" t="n">
        <v>45945.46270833333</v>
      </c>
      <c r="C4098" s="1" t="n">
        <v>45957</v>
      </c>
      <c r="D4098" t="inlineStr">
        <is>
          <t>KRONOBERGS LÄN</t>
        </is>
      </c>
      <c r="E4098" t="inlineStr">
        <is>
          <t>UPPVIDINGE</t>
        </is>
      </c>
      <c r="G4098" t="n">
        <v>1.7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52694-2024</t>
        </is>
      </c>
      <c r="B4099" s="1" t="n">
        <v>45610.40166666666</v>
      </c>
      <c r="C4099" s="1" t="n">
        <v>45957</v>
      </c>
      <c r="D4099" t="inlineStr">
        <is>
          <t>KRONOBERGS LÄN</t>
        </is>
      </c>
      <c r="E4099" t="inlineStr">
        <is>
          <t>TINGSRYD</t>
        </is>
      </c>
      <c r="G4099" t="n">
        <v>4.1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35038-2025</t>
        </is>
      </c>
      <c r="B4100" s="1" t="n">
        <v>45852.33880787037</v>
      </c>
      <c r="C4100" s="1" t="n">
        <v>45957</v>
      </c>
      <c r="D4100" t="inlineStr">
        <is>
          <t>KRONOBERGS LÄN</t>
        </is>
      </c>
      <c r="E4100" t="inlineStr">
        <is>
          <t>LJUNGBY</t>
        </is>
      </c>
      <c r="G4100" t="n">
        <v>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41978-2025</t>
        </is>
      </c>
      <c r="B4101" s="1" t="n">
        <v>45903.51274305556</v>
      </c>
      <c r="C4101" s="1" t="n">
        <v>45957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41979-2025</t>
        </is>
      </c>
      <c r="B4102" s="1" t="n">
        <v>45903.51604166667</v>
      </c>
      <c r="C4102" s="1" t="n">
        <v>45957</v>
      </c>
      <c r="D4102" t="inlineStr">
        <is>
          <t>KRONOBERGS LÄN</t>
        </is>
      </c>
      <c r="E4102" t="inlineStr">
        <is>
          <t>LJUNGBY</t>
        </is>
      </c>
      <c r="G4102" t="n">
        <v>5.2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35074-2025</t>
        </is>
      </c>
      <c r="B4103" s="1" t="n">
        <v>45852.4811574074</v>
      </c>
      <c r="C4103" s="1" t="n">
        <v>45957</v>
      </c>
      <c r="D4103" t="inlineStr">
        <is>
          <t>KRONOBERGS LÄN</t>
        </is>
      </c>
      <c r="E4103" t="inlineStr">
        <is>
          <t>ALVESTA</t>
        </is>
      </c>
      <c r="G4103" t="n">
        <v>1.4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35009-2025</t>
        </is>
      </c>
      <c r="B4104" s="1" t="n">
        <v>45851.49091435185</v>
      </c>
      <c r="C4104" s="1" t="n">
        <v>45957</v>
      </c>
      <c r="D4104" t="inlineStr">
        <is>
          <t>KRONOBERGS LÄN</t>
        </is>
      </c>
      <c r="E4104" t="inlineStr">
        <is>
          <t>ALVESTA</t>
        </is>
      </c>
      <c r="G4104" t="n">
        <v>1.2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4575-2023</t>
        </is>
      </c>
      <c r="B4105" s="1" t="n">
        <v>44956</v>
      </c>
      <c r="C4105" s="1" t="n">
        <v>45957</v>
      </c>
      <c r="D4105" t="inlineStr">
        <is>
          <t>KRONOBERGS LÄN</t>
        </is>
      </c>
      <c r="E4105" t="inlineStr">
        <is>
          <t>MARKARYD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42194-2025</t>
        </is>
      </c>
      <c r="B4106" s="1" t="n">
        <v>45904.48097222222</v>
      </c>
      <c r="C4106" s="1" t="n">
        <v>45957</v>
      </c>
      <c r="D4106" t="inlineStr">
        <is>
          <t>KRONOBERGS LÄN</t>
        </is>
      </c>
      <c r="E4106" t="inlineStr">
        <is>
          <t>ALVESTA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3518-2025</t>
        </is>
      </c>
      <c r="B4107" s="1" t="n">
        <v>45680.60165509259</v>
      </c>
      <c r="C4107" s="1" t="n">
        <v>45957</v>
      </c>
      <c r="D4107" t="inlineStr">
        <is>
          <t>KRONOBERGS LÄN</t>
        </is>
      </c>
      <c r="E4107" t="inlineStr">
        <is>
          <t>ÄLMHULT</t>
        </is>
      </c>
      <c r="F4107" t="inlineStr">
        <is>
          <t>Sveaskog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12115-2023</t>
        </is>
      </c>
      <c r="B4108" s="1" t="n">
        <v>44998.41530092592</v>
      </c>
      <c r="C4108" s="1" t="n">
        <v>45957</v>
      </c>
      <c r="D4108" t="inlineStr">
        <is>
          <t>KRONOBERGS LÄN</t>
        </is>
      </c>
      <c r="E4108" t="inlineStr">
        <is>
          <t>VÄXJÖ</t>
        </is>
      </c>
      <c r="G4108" t="n">
        <v>1.2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39360-2023</t>
        </is>
      </c>
      <c r="B4109" s="1" t="n">
        <v>45166</v>
      </c>
      <c r="C4109" s="1" t="n">
        <v>45957</v>
      </c>
      <c r="D4109" t="inlineStr">
        <is>
          <t>KRONOBERGS LÄN</t>
        </is>
      </c>
      <c r="E4109" t="inlineStr">
        <is>
          <t>ÄLMHULT</t>
        </is>
      </c>
      <c r="G4109" t="n">
        <v>0.9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4457-2025</t>
        </is>
      </c>
      <c r="B4110" s="1" t="n">
        <v>45686.59162037037</v>
      </c>
      <c r="C4110" s="1" t="n">
        <v>45957</v>
      </c>
      <c r="D4110" t="inlineStr">
        <is>
          <t>KRONOBERGS LÄN</t>
        </is>
      </c>
      <c r="E4110" t="inlineStr">
        <is>
          <t>VÄXJÖ</t>
        </is>
      </c>
      <c r="G4110" t="n">
        <v>4.3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4464-2025</t>
        </is>
      </c>
      <c r="B4111" s="1" t="n">
        <v>45686.60648148148</v>
      </c>
      <c r="C4111" s="1" t="n">
        <v>45957</v>
      </c>
      <c r="D4111" t="inlineStr">
        <is>
          <t>KRONOBERGS LÄN</t>
        </is>
      </c>
      <c r="E4111" t="inlineStr">
        <is>
          <t>LJUNGBY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4468-2025</t>
        </is>
      </c>
      <c r="B4112" s="1" t="n">
        <v>45686.60993055555</v>
      </c>
      <c r="C4112" s="1" t="n">
        <v>45957</v>
      </c>
      <c r="D4112" t="inlineStr">
        <is>
          <t>KRONOBERGS LÄN</t>
        </is>
      </c>
      <c r="E4112" t="inlineStr">
        <is>
          <t>VÄXJÖ</t>
        </is>
      </c>
      <c r="G4112" t="n">
        <v>9.9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4477-2025</t>
        </is>
      </c>
      <c r="B4113" s="1" t="n">
        <v>45686.63332175926</v>
      </c>
      <c r="C4113" s="1" t="n">
        <v>45957</v>
      </c>
      <c r="D4113" t="inlineStr">
        <is>
          <t>KRONOBERGS LÄN</t>
        </is>
      </c>
      <c r="E4113" t="inlineStr">
        <is>
          <t>LJUNGBY</t>
        </is>
      </c>
      <c r="G4113" t="n">
        <v>9.5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13081-2023</t>
        </is>
      </c>
      <c r="B4114" s="1" t="n">
        <v>45002.41061342593</v>
      </c>
      <c r="C4114" s="1" t="n">
        <v>45957</v>
      </c>
      <c r="D4114" t="inlineStr">
        <is>
          <t>KRONOBERGS LÄN</t>
        </is>
      </c>
      <c r="E4114" t="inlineStr">
        <is>
          <t>TINGSRYD</t>
        </is>
      </c>
      <c r="G4114" t="n">
        <v>2.4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1367-2023</t>
        </is>
      </c>
      <c r="B4115" s="1" t="n">
        <v>44936.63445601852</v>
      </c>
      <c r="C4115" s="1" t="n">
        <v>45957</v>
      </c>
      <c r="D4115" t="inlineStr">
        <is>
          <t>KRONOBERGS LÄN</t>
        </is>
      </c>
      <c r="E4115" t="inlineStr">
        <is>
          <t>LESSEBO</t>
        </is>
      </c>
      <c r="G4115" t="n">
        <v>0.9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48639-2023</t>
        </is>
      </c>
      <c r="B4116" s="1" t="n">
        <v>45202</v>
      </c>
      <c r="C4116" s="1" t="n">
        <v>45957</v>
      </c>
      <c r="D4116" t="inlineStr">
        <is>
          <t>KRONOBERGS LÄN</t>
        </is>
      </c>
      <c r="E4116" t="inlineStr">
        <is>
          <t>LESSEBO</t>
        </is>
      </c>
      <c r="G4116" t="n">
        <v>2.3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3094-2025</t>
        </is>
      </c>
      <c r="B4117" s="1" t="n">
        <v>45678</v>
      </c>
      <c r="C4117" s="1" t="n">
        <v>45957</v>
      </c>
      <c r="D4117" t="inlineStr">
        <is>
          <t>KRONOBERGS LÄN</t>
        </is>
      </c>
      <c r="E4117" t="inlineStr">
        <is>
          <t>VÄXJÖ</t>
        </is>
      </c>
      <c r="G4117" t="n">
        <v>1.3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40392-2025</t>
        </is>
      </c>
      <c r="B4118" s="1" t="n">
        <v>45895</v>
      </c>
      <c r="C4118" s="1" t="n">
        <v>45957</v>
      </c>
      <c r="D4118" t="inlineStr">
        <is>
          <t>KRONOBERGS LÄN</t>
        </is>
      </c>
      <c r="E4118" t="inlineStr">
        <is>
          <t>ALVESTA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3109-2025</t>
        </is>
      </c>
      <c r="B4119" s="1" t="n">
        <v>45678</v>
      </c>
      <c r="C4119" s="1" t="n">
        <v>45957</v>
      </c>
      <c r="D4119" t="inlineStr">
        <is>
          <t>KRONOBERGS LÄN</t>
        </is>
      </c>
      <c r="E4119" t="inlineStr">
        <is>
          <t>VÄXJÖ</t>
        </is>
      </c>
      <c r="G4119" t="n">
        <v>0.7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3140-2025</t>
        </is>
      </c>
      <c r="B4120" s="1" t="n">
        <v>45678.7609375</v>
      </c>
      <c r="C4120" s="1" t="n">
        <v>45957</v>
      </c>
      <c r="D4120" t="inlineStr">
        <is>
          <t>KRONOBERGS LÄN</t>
        </is>
      </c>
      <c r="E4120" t="inlineStr">
        <is>
          <t>MARKARYD</t>
        </is>
      </c>
      <c r="G4120" t="n">
        <v>9.4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3141-2025</t>
        </is>
      </c>
      <c r="B4121" s="1" t="n">
        <v>45678.76287037037</v>
      </c>
      <c r="C4121" s="1" t="n">
        <v>45957</v>
      </c>
      <c r="D4121" t="inlineStr">
        <is>
          <t>KRONOBERGS LÄN</t>
        </is>
      </c>
      <c r="E4121" t="inlineStr">
        <is>
          <t>MARKARYD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3145-2025</t>
        </is>
      </c>
      <c r="B4122" s="1" t="n">
        <v>45678.77015046297</v>
      </c>
      <c r="C4122" s="1" t="n">
        <v>45957</v>
      </c>
      <c r="D4122" t="inlineStr">
        <is>
          <t>KRONOBERGS LÄN</t>
        </is>
      </c>
      <c r="E4122" t="inlineStr">
        <is>
          <t>MARKARYD</t>
        </is>
      </c>
      <c r="G4122" t="n">
        <v>3.4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50703-2025</t>
        </is>
      </c>
      <c r="B4123" s="1" t="n">
        <v>45946.2662037037</v>
      </c>
      <c r="C4123" s="1" t="n">
        <v>45957</v>
      </c>
      <c r="D4123" t="inlineStr">
        <is>
          <t>KRONOBERGS LÄN</t>
        </is>
      </c>
      <c r="E4123" t="inlineStr">
        <is>
          <t>VÄXJÖ</t>
        </is>
      </c>
      <c r="G4123" t="n">
        <v>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39309-2023</t>
        </is>
      </c>
      <c r="B4124" s="1" t="n">
        <v>45166</v>
      </c>
      <c r="C4124" s="1" t="n">
        <v>45957</v>
      </c>
      <c r="D4124" t="inlineStr">
        <is>
          <t>KRONOBERGS LÄN</t>
        </is>
      </c>
      <c r="E4124" t="inlineStr">
        <is>
          <t>ALVESTA</t>
        </is>
      </c>
      <c r="G4124" t="n">
        <v>2.7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56890-2023</t>
        </is>
      </c>
      <c r="B4125" s="1" t="n">
        <v>45244.5584375</v>
      </c>
      <c r="C4125" s="1" t="n">
        <v>45957</v>
      </c>
      <c r="D4125" t="inlineStr">
        <is>
          <t>KRONOBERGS LÄN</t>
        </is>
      </c>
      <c r="E4125" t="inlineStr">
        <is>
          <t>TINGSRYD</t>
        </is>
      </c>
      <c r="G4125" t="n">
        <v>14.7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44751-2024</t>
        </is>
      </c>
      <c r="B4126" s="1" t="n">
        <v>45574.6072337963</v>
      </c>
      <c r="C4126" s="1" t="n">
        <v>45957</v>
      </c>
      <c r="D4126" t="inlineStr">
        <is>
          <t>KRONOBERGS LÄN</t>
        </is>
      </c>
      <c r="E4126" t="inlineStr">
        <is>
          <t>TINGSRYD</t>
        </is>
      </c>
      <c r="G4126" t="n">
        <v>10.6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20148-2021</t>
        </is>
      </c>
      <c r="B4127" s="1" t="n">
        <v>44314</v>
      </c>
      <c r="C4127" s="1" t="n">
        <v>45957</v>
      </c>
      <c r="D4127" t="inlineStr">
        <is>
          <t>KRONOBERGS LÄN</t>
        </is>
      </c>
      <c r="E4127" t="inlineStr">
        <is>
          <t>VÄXJÖ</t>
        </is>
      </c>
      <c r="G4127" t="n">
        <v>2.7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2471-2025</t>
        </is>
      </c>
      <c r="B4128" s="1" t="n">
        <v>45674.4733449074</v>
      </c>
      <c r="C4128" s="1" t="n">
        <v>45957</v>
      </c>
      <c r="D4128" t="inlineStr">
        <is>
          <t>KRONOBERGS LÄN</t>
        </is>
      </c>
      <c r="E4128" t="inlineStr">
        <is>
          <t>TINGSRYD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27115-2023</t>
        </is>
      </c>
      <c r="B4129" s="1" t="n">
        <v>45093</v>
      </c>
      <c r="C4129" s="1" t="n">
        <v>45957</v>
      </c>
      <c r="D4129" t="inlineStr">
        <is>
          <t>KRONOBERGS LÄN</t>
        </is>
      </c>
      <c r="E4129" t="inlineStr">
        <is>
          <t>TINGSRYD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13859-2024</t>
        </is>
      </c>
      <c r="B4130" s="1" t="n">
        <v>45390</v>
      </c>
      <c r="C4130" s="1" t="n">
        <v>45957</v>
      </c>
      <c r="D4130" t="inlineStr">
        <is>
          <t>KRONOBERGS LÄN</t>
        </is>
      </c>
      <c r="E4130" t="inlineStr">
        <is>
          <t>VÄXJÖ</t>
        </is>
      </c>
      <c r="G4130" t="n">
        <v>1.8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48687-2021</t>
        </is>
      </c>
      <c r="B4131" s="1" t="n">
        <v>44452.5708912037</v>
      </c>
      <c r="C4131" s="1" t="n">
        <v>45957</v>
      </c>
      <c r="D4131" t="inlineStr">
        <is>
          <t>KRONOBERGS LÄN</t>
        </is>
      </c>
      <c r="E4131" t="inlineStr">
        <is>
          <t>TINGSRYD</t>
        </is>
      </c>
      <c r="G4131" t="n">
        <v>1.9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29332-2024</t>
        </is>
      </c>
      <c r="B4132" s="1" t="n">
        <v>45483</v>
      </c>
      <c r="C4132" s="1" t="n">
        <v>45957</v>
      </c>
      <c r="D4132" t="inlineStr">
        <is>
          <t>KRONOBERGS LÄN</t>
        </is>
      </c>
      <c r="E4132" t="inlineStr">
        <is>
          <t>LJUNGBY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13026-2024</t>
        </is>
      </c>
      <c r="B4133" s="1" t="n">
        <v>45385.58976851852</v>
      </c>
      <c r="C4133" s="1" t="n">
        <v>45957</v>
      </c>
      <c r="D4133" t="inlineStr">
        <is>
          <t>KRONOBERGS LÄN</t>
        </is>
      </c>
      <c r="E4133" t="inlineStr">
        <is>
          <t>VÄXJÖ</t>
        </is>
      </c>
      <c r="F4133" t="inlineStr">
        <is>
          <t>Sveaskog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43500-2023</t>
        </is>
      </c>
      <c r="B4134" s="1" t="n">
        <v>45184.46447916667</v>
      </c>
      <c r="C4134" s="1" t="n">
        <v>45957</v>
      </c>
      <c r="D4134" t="inlineStr">
        <is>
          <t>KRONOBERGS LÄN</t>
        </is>
      </c>
      <c r="E4134" t="inlineStr">
        <is>
          <t>UPPVIDINGE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13028-2024</t>
        </is>
      </c>
      <c r="B4135" s="1" t="n">
        <v>45385.59068287037</v>
      </c>
      <c r="C4135" s="1" t="n">
        <v>45957</v>
      </c>
      <c r="D4135" t="inlineStr">
        <is>
          <t>KRONOBERGS LÄN</t>
        </is>
      </c>
      <c r="E4135" t="inlineStr">
        <is>
          <t>VÄXJÖ</t>
        </is>
      </c>
      <c r="F4135" t="inlineStr">
        <is>
          <t>Sveaskog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32835-2025</t>
        </is>
      </c>
      <c r="B4136" s="1" t="n">
        <v>45839</v>
      </c>
      <c r="C4136" s="1" t="n">
        <v>45957</v>
      </c>
      <c r="D4136" t="inlineStr">
        <is>
          <t>KRONOBERGS LÄN</t>
        </is>
      </c>
      <c r="E4136" t="inlineStr">
        <is>
          <t>UPPVIDINGE</t>
        </is>
      </c>
      <c r="G4136" t="n">
        <v>3.2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  <c r="U4136">
        <f>HYPERLINK("https://klasma.github.io/Logging_0760/knärot/A 32835-2025 karta knärot.png", "A 32835-2025")</f>
        <v/>
      </c>
      <c r="V4136">
        <f>HYPERLINK("https://klasma.github.io/Logging_0760/klagomål/A 32835-2025 FSC-klagomål.docx", "A 32835-2025")</f>
        <v/>
      </c>
      <c r="W4136">
        <f>HYPERLINK("https://klasma.github.io/Logging_0760/klagomålsmail/A 32835-2025 FSC-klagomål mail.docx", "A 32835-2025")</f>
        <v/>
      </c>
      <c r="X4136">
        <f>HYPERLINK("https://klasma.github.io/Logging_0760/tillsyn/A 32835-2025 tillsynsbegäran.docx", "A 32835-2025")</f>
        <v/>
      </c>
      <c r="Y4136">
        <f>HYPERLINK("https://klasma.github.io/Logging_0760/tillsynsmail/A 32835-2025 tillsynsbegäran mail.docx", "A 32835-2025")</f>
        <v/>
      </c>
    </row>
    <row r="4137" ht="15" customHeight="1">
      <c r="A4137" t="inlineStr">
        <is>
          <t>A 50858-2025</t>
        </is>
      </c>
      <c r="B4137" s="1" t="n">
        <v>45946.59305555555</v>
      </c>
      <c r="C4137" s="1" t="n">
        <v>45957</v>
      </c>
      <c r="D4137" t="inlineStr">
        <is>
          <t>KRONOBERGS LÄN</t>
        </is>
      </c>
      <c r="E4137" t="inlineStr">
        <is>
          <t>ALVESTA</t>
        </is>
      </c>
      <c r="G4137" t="n">
        <v>0.6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13126-2024</t>
        </is>
      </c>
      <c r="B4138" s="1" t="n">
        <v>45385.93802083333</v>
      </c>
      <c r="C4138" s="1" t="n">
        <v>45957</v>
      </c>
      <c r="D4138" t="inlineStr">
        <is>
          <t>KRONOBERGS LÄN</t>
        </is>
      </c>
      <c r="E4138" t="inlineStr">
        <is>
          <t>ALVESTA</t>
        </is>
      </c>
      <c r="G4138" t="n">
        <v>3.9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35140-2025</t>
        </is>
      </c>
      <c r="B4139" s="1" t="n">
        <v>45852.65015046296</v>
      </c>
      <c r="C4139" s="1" t="n">
        <v>45957</v>
      </c>
      <c r="D4139" t="inlineStr">
        <is>
          <t>KRONOBERGS LÄN</t>
        </is>
      </c>
      <c r="E4139" t="inlineStr">
        <is>
          <t>ALVESTA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5889-2025</t>
        </is>
      </c>
      <c r="B4140" s="1" t="n">
        <v>45695.38024305556</v>
      </c>
      <c r="C4140" s="1" t="n">
        <v>45957</v>
      </c>
      <c r="D4140" t="inlineStr">
        <is>
          <t>KRONOBERGS LÄN</t>
        </is>
      </c>
      <c r="E4140" t="inlineStr">
        <is>
          <t>TINGSRYD</t>
        </is>
      </c>
      <c r="G4140" t="n">
        <v>1.1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6449-2021</t>
        </is>
      </c>
      <c r="B4141" s="1" t="n">
        <v>44235</v>
      </c>
      <c r="C4141" s="1" t="n">
        <v>45957</v>
      </c>
      <c r="D4141" t="inlineStr">
        <is>
          <t>KRONOBERGS LÄN</t>
        </is>
      </c>
      <c r="E4141" t="inlineStr">
        <is>
          <t>VÄXJÖ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12108-2023</t>
        </is>
      </c>
      <c r="B4142" s="1" t="n">
        <v>44998.39121527778</v>
      </c>
      <c r="C4142" s="1" t="n">
        <v>45957</v>
      </c>
      <c r="D4142" t="inlineStr">
        <is>
          <t>KRONOBERGS LÄN</t>
        </is>
      </c>
      <c r="E4142" t="inlineStr">
        <is>
          <t>TINGSRYD</t>
        </is>
      </c>
      <c r="G4142" t="n">
        <v>0.5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17398-2025</t>
        </is>
      </c>
      <c r="B4143" s="1" t="n">
        <v>45757.34662037037</v>
      </c>
      <c r="C4143" s="1" t="n">
        <v>45957</v>
      </c>
      <c r="D4143" t="inlineStr">
        <is>
          <t>KRONOBERGS LÄN</t>
        </is>
      </c>
      <c r="E4143" t="inlineStr">
        <is>
          <t>UPPVIDINGE</t>
        </is>
      </c>
      <c r="G4143" t="n">
        <v>6.2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6669-2025</t>
        </is>
      </c>
      <c r="B4144" s="1" t="n">
        <v>45700.4653587963</v>
      </c>
      <c r="C4144" s="1" t="n">
        <v>45957</v>
      </c>
      <c r="D4144" t="inlineStr">
        <is>
          <t>KRONOBERGS LÄN</t>
        </is>
      </c>
      <c r="E4144" t="inlineStr">
        <is>
          <t>TINGSRYD</t>
        </is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26602-2024</t>
        </is>
      </c>
      <c r="B4145" s="1" t="n">
        <v>45469.70945601852</v>
      </c>
      <c r="C4145" s="1" t="n">
        <v>45957</v>
      </c>
      <c r="D4145" t="inlineStr">
        <is>
          <t>KRONOBERGS LÄN</t>
        </is>
      </c>
      <c r="E4145" t="inlineStr">
        <is>
          <t>ÄLMHULT</t>
        </is>
      </c>
      <c r="F4145" t="inlineStr">
        <is>
          <t>Sveaskog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7103-2025</t>
        </is>
      </c>
      <c r="B4146" s="1" t="n">
        <v>45701.90762731482</v>
      </c>
      <c r="C4146" s="1" t="n">
        <v>45957</v>
      </c>
      <c r="D4146" t="inlineStr">
        <is>
          <t>KRONOBERGS LÄN</t>
        </is>
      </c>
      <c r="E4146" t="inlineStr">
        <is>
          <t>LJUNGBY</t>
        </is>
      </c>
      <c r="G4146" t="n">
        <v>1.6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6695-2025</t>
        </is>
      </c>
      <c r="B4147" s="1" t="n">
        <v>45700.51605324074</v>
      </c>
      <c r="C4147" s="1" t="n">
        <v>45957</v>
      </c>
      <c r="D4147" t="inlineStr">
        <is>
          <t>KRONOBERGS LÄN</t>
        </is>
      </c>
      <c r="E4147" t="inlineStr">
        <is>
          <t>LJUNGBY</t>
        </is>
      </c>
      <c r="G4147" t="n">
        <v>0.5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16377-2025</t>
        </is>
      </c>
      <c r="B4148" s="1" t="n">
        <v>45751.41162037037</v>
      </c>
      <c r="C4148" s="1" t="n">
        <v>45957</v>
      </c>
      <c r="D4148" t="inlineStr">
        <is>
          <t>KRONOBERGS LÄN</t>
        </is>
      </c>
      <c r="E4148" t="inlineStr">
        <is>
          <t>TINGSRYD</t>
        </is>
      </c>
      <c r="G4148" t="n">
        <v>1.4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28336-2022</t>
        </is>
      </c>
      <c r="B4149" s="1" t="n">
        <v>44747</v>
      </c>
      <c r="C4149" s="1" t="n">
        <v>45957</v>
      </c>
      <c r="D4149" t="inlineStr">
        <is>
          <t>KRONOBERGS LÄN</t>
        </is>
      </c>
      <c r="E4149" t="inlineStr">
        <is>
          <t>ALVESTA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57157-2023</t>
        </is>
      </c>
      <c r="B4150" s="1" t="n">
        <v>45245.43540509259</v>
      </c>
      <c r="C4150" s="1" t="n">
        <v>45957</v>
      </c>
      <c r="D4150" t="inlineStr">
        <is>
          <t>KRONOBERGS LÄN</t>
        </is>
      </c>
      <c r="E4150" t="inlineStr">
        <is>
          <t>TINGSRYD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31845-2024</t>
        </is>
      </c>
      <c r="B4151" s="1" t="n">
        <v>45509.66609953704</v>
      </c>
      <c r="C4151" s="1" t="n">
        <v>45957</v>
      </c>
      <c r="D4151" t="inlineStr">
        <is>
          <t>KRONOBERGS LÄN</t>
        </is>
      </c>
      <c r="E4151" t="inlineStr">
        <is>
          <t>LJUNGBY</t>
        </is>
      </c>
      <c r="F4151" t="inlineStr">
        <is>
          <t>Sveaskog</t>
        </is>
      </c>
      <c r="G4151" t="n">
        <v>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51274-2025</t>
        </is>
      </c>
      <c r="B4152" s="1" t="n">
        <v>45949.90959490741</v>
      </c>
      <c r="C4152" s="1" t="n">
        <v>45957</v>
      </c>
      <c r="D4152" t="inlineStr">
        <is>
          <t>KRONOBERGS LÄN</t>
        </is>
      </c>
      <c r="E4152" t="inlineStr">
        <is>
          <t>ALVESTA</t>
        </is>
      </c>
      <c r="G4152" t="n">
        <v>4.2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38856-2024</t>
        </is>
      </c>
      <c r="B4153" s="1" t="n">
        <v>45547.62553240741</v>
      </c>
      <c r="C4153" s="1" t="n">
        <v>45957</v>
      </c>
      <c r="D4153" t="inlineStr">
        <is>
          <t>KRONOBERGS LÄN</t>
        </is>
      </c>
      <c r="E4153" t="inlineStr">
        <is>
          <t>UPPVIDINGE</t>
        </is>
      </c>
      <c r="G4153" t="n">
        <v>0.4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38861-2024</t>
        </is>
      </c>
      <c r="B4154" s="1" t="n">
        <v>45547</v>
      </c>
      <c r="C4154" s="1" t="n">
        <v>45957</v>
      </c>
      <c r="D4154" t="inlineStr">
        <is>
          <t>KRONOBERGS LÄN</t>
        </is>
      </c>
      <c r="E4154" t="inlineStr">
        <is>
          <t>TINGSRYD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42679-2025</t>
        </is>
      </c>
      <c r="B4155" s="1" t="n">
        <v>45908.33508101852</v>
      </c>
      <c r="C4155" s="1" t="n">
        <v>45957</v>
      </c>
      <c r="D4155" t="inlineStr">
        <is>
          <t>KRONOBERGS LÄN</t>
        </is>
      </c>
      <c r="E4155" t="inlineStr">
        <is>
          <t>LJUNGBY</t>
        </is>
      </c>
      <c r="G4155" t="n">
        <v>0.4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42680-2025</t>
        </is>
      </c>
      <c r="B4156" s="1" t="n">
        <v>45908.3394675926</v>
      </c>
      <c r="C4156" s="1" t="n">
        <v>45957</v>
      </c>
      <c r="D4156" t="inlineStr">
        <is>
          <t>KRONOBERGS LÄN</t>
        </is>
      </c>
      <c r="E4156" t="inlineStr">
        <is>
          <t>LJUNGBY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24028-2023</t>
        </is>
      </c>
      <c r="B4157" s="1" t="n">
        <v>45078</v>
      </c>
      <c r="C4157" s="1" t="n">
        <v>45957</v>
      </c>
      <c r="D4157" t="inlineStr">
        <is>
          <t>KRONOBERGS LÄN</t>
        </is>
      </c>
      <c r="E4157" t="inlineStr">
        <is>
          <t>ÄLMHULT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13335-2025</t>
        </is>
      </c>
      <c r="B4158" s="1" t="n">
        <v>45735.61881944445</v>
      </c>
      <c r="C4158" s="1" t="n">
        <v>45957</v>
      </c>
      <c r="D4158" t="inlineStr">
        <is>
          <t>KRONOBERGS LÄN</t>
        </is>
      </c>
      <c r="E4158" t="inlineStr">
        <is>
          <t>ALVESTA</t>
        </is>
      </c>
      <c r="G4158" t="n">
        <v>1.4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10997-2022</t>
        </is>
      </c>
      <c r="B4159" s="1" t="n">
        <v>44628.47715277778</v>
      </c>
      <c r="C4159" s="1" t="n">
        <v>45957</v>
      </c>
      <c r="D4159" t="inlineStr">
        <is>
          <t>KRONOBERGS LÄN</t>
        </is>
      </c>
      <c r="E4159" t="inlineStr">
        <is>
          <t>LJUNGBY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30665-2024</t>
        </is>
      </c>
      <c r="B4160" s="1" t="n">
        <v>45495.70517361111</v>
      </c>
      <c r="C4160" s="1" t="n">
        <v>45957</v>
      </c>
      <c r="D4160" t="inlineStr">
        <is>
          <t>KRONOBERGS LÄN</t>
        </is>
      </c>
      <c r="E4160" t="inlineStr">
        <is>
          <t>VÄXJÖ</t>
        </is>
      </c>
      <c r="G4160" t="n">
        <v>1.4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49352-2023</t>
        </is>
      </c>
      <c r="B4161" s="1" t="n">
        <v>45211</v>
      </c>
      <c r="C4161" s="1" t="n">
        <v>45957</v>
      </c>
      <c r="D4161" t="inlineStr">
        <is>
          <t>KRONOBERGS LÄN</t>
        </is>
      </c>
      <c r="E4161" t="inlineStr">
        <is>
          <t>TINGSRYD</t>
        </is>
      </c>
      <c r="G4161" t="n">
        <v>0.9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49357-2023</t>
        </is>
      </c>
      <c r="B4162" s="1" t="n">
        <v>45211</v>
      </c>
      <c r="C4162" s="1" t="n">
        <v>45957</v>
      </c>
      <c r="D4162" t="inlineStr">
        <is>
          <t>KRONOBERGS LÄN</t>
        </is>
      </c>
      <c r="E4162" t="inlineStr">
        <is>
          <t>UPPVIDINGE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35321-2025</t>
        </is>
      </c>
      <c r="B4163" s="1" t="n">
        <v>45854</v>
      </c>
      <c r="C4163" s="1" t="n">
        <v>45957</v>
      </c>
      <c r="D4163" t="inlineStr">
        <is>
          <t>KRONOBERGS LÄN</t>
        </is>
      </c>
      <c r="E4163" t="inlineStr">
        <is>
          <t>ALVESTA</t>
        </is>
      </c>
      <c r="G4163" t="n">
        <v>1.9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11348-2025</t>
        </is>
      </c>
      <c r="B4164" s="1" t="n">
        <v>45726.50618055555</v>
      </c>
      <c r="C4164" s="1" t="n">
        <v>45957</v>
      </c>
      <c r="D4164" t="inlineStr">
        <is>
          <t>KRONOBERGS LÄN</t>
        </is>
      </c>
      <c r="E4164" t="inlineStr">
        <is>
          <t>ÄLMHULT</t>
        </is>
      </c>
      <c r="G4164" t="n">
        <v>1.9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11352-2025</t>
        </is>
      </c>
      <c r="B4165" s="1" t="n">
        <v>45726.52251157408</v>
      </c>
      <c r="C4165" s="1" t="n">
        <v>45957</v>
      </c>
      <c r="D4165" t="inlineStr">
        <is>
          <t>KRONOBERGS LÄN</t>
        </is>
      </c>
      <c r="E4165" t="inlineStr">
        <is>
          <t>ÄLMHULT</t>
        </is>
      </c>
      <c r="G4165" t="n">
        <v>2.6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1265-2025</t>
        </is>
      </c>
      <c r="B4166" s="1" t="n">
        <v>45667.4771412037</v>
      </c>
      <c r="C4166" s="1" t="n">
        <v>45957</v>
      </c>
      <c r="D4166" t="inlineStr">
        <is>
          <t>KRONOBERGS LÄN</t>
        </is>
      </c>
      <c r="E4166" t="inlineStr">
        <is>
          <t>LJUNGBY</t>
        </is>
      </c>
      <c r="G4166" t="n">
        <v>2.2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12405-2023</t>
        </is>
      </c>
      <c r="B4167" s="1" t="n">
        <v>44999.50461805556</v>
      </c>
      <c r="C4167" s="1" t="n">
        <v>45957</v>
      </c>
      <c r="D4167" t="inlineStr">
        <is>
          <t>KRONOBERGS LÄN</t>
        </is>
      </c>
      <c r="E4167" t="inlineStr">
        <is>
          <t>LJUNGBY</t>
        </is>
      </c>
      <c r="G4167" t="n">
        <v>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32637-2025</t>
        </is>
      </c>
      <c r="B4168" s="1" t="n">
        <v>45838.65708333333</v>
      </c>
      <c r="C4168" s="1" t="n">
        <v>45957</v>
      </c>
      <c r="D4168" t="inlineStr">
        <is>
          <t>KRONOBERGS LÄN</t>
        </is>
      </c>
      <c r="E4168" t="inlineStr">
        <is>
          <t>LJUNGBY</t>
        </is>
      </c>
      <c r="G4168" t="n">
        <v>1.9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35345-2025</t>
        </is>
      </c>
      <c r="B4169" s="1" t="n">
        <v>45854.61559027778</v>
      </c>
      <c r="C4169" s="1" t="n">
        <v>45957</v>
      </c>
      <c r="D4169" t="inlineStr">
        <is>
          <t>KRONOBERGS LÄN</t>
        </is>
      </c>
      <c r="E4169" t="inlineStr">
        <is>
          <t>ÄLMHULT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24905-2023</t>
        </is>
      </c>
      <c r="B4170" s="1" t="n">
        <v>45085.48240740741</v>
      </c>
      <c r="C4170" s="1" t="n">
        <v>45957</v>
      </c>
      <c r="D4170" t="inlineStr">
        <is>
          <t>KRONOBERGS LÄN</t>
        </is>
      </c>
      <c r="E4170" t="inlineStr">
        <is>
          <t>VÄXJÖ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67156-2021</t>
        </is>
      </c>
      <c r="B4171" s="1" t="n">
        <v>44523.4103587963</v>
      </c>
      <c r="C4171" s="1" t="n">
        <v>45957</v>
      </c>
      <c r="D4171" t="inlineStr">
        <is>
          <t>KRONOBERGS LÄN</t>
        </is>
      </c>
      <c r="E4171" t="inlineStr">
        <is>
          <t>UPPVIDINGE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35171-2025</t>
        </is>
      </c>
      <c r="B4172" s="1" t="n">
        <v>45852.78871527778</v>
      </c>
      <c r="C4172" s="1" t="n">
        <v>45957</v>
      </c>
      <c r="D4172" t="inlineStr">
        <is>
          <t>KRONOBERGS LÄN</t>
        </is>
      </c>
      <c r="E4172" t="inlineStr">
        <is>
          <t>ÄLMHULT</t>
        </is>
      </c>
      <c r="G4172" t="n">
        <v>2.2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24932-2023</t>
        </is>
      </c>
      <c r="B4173" s="1" t="n">
        <v>45085</v>
      </c>
      <c r="C4173" s="1" t="n">
        <v>45957</v>
      </c>
      <c r="D4173" t="inlineStr">
        <is>
          <t>KRONOBERGS LÄN</t>
        </is>
      </c>
      <c r="E4173" t="inlineStr">
        <is>
          <t>UPPVIDINGE</t>
        </is>
      </c>
      <c r="G4173" t="n">
        <v>0.8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35249-2025</t>
        </is>
      </c>
      <c r="B4174" s="1" t="n">
        <v>45853.67818287037</v>
      </c>
      <c r="C4174" s="1" t="n">
        <v>45957</v>
      </c>
      <c r="D4174" t="inlineStr">
        <is>
          <t>KRONOBERGS LÄN</t>
        </is>
      </c>
      <c r="E4174" t="inlineStr">
        <is>
          <t>ÄLMHULT</t>
        </is>
      </c>
      <c r="G4174" t="n">
        <v>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35251-2025</t>
        </is>
      </c>
      <c r="B4175" s="1" t="n">
        <v>45853.69938657407</v>
      </c>
      <c r="C4175" s="1" t="n">
        <v>45957</v>
      </c>
      <c r="D4175" t="inlineStr">
        <is>
          <t>KRONOBERGS LÄN</t>
        </is>
      </c>
      <c r="E4175" t="inlineStr">
        <is>
          <t>VÄXJÖ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28565-2023</t>
        </is>
      </c>
      <c r="B4176" s="1" t="n">
        <v>45103</v>
      </c>
      <c r="C4176" s="1" t="n">
        <v>45957</v>
      </c>
      <c r="D4176" t="inlineStr">
        <is>
          <t>KRONOBERGS LÄN</t>
        </is>
      </c>
      <c r="E4176" t="inlineStr">
        <is>
          <t>VÄXJÖ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28567-2023</t>
        </is>
      </c>
      <c r="B4177" s="1" t="n">
        <v>45103</v>
      </c>
      <c r="C4177" s="1" t="n">
        <v>45957</v>
      </c>
      <c r="D4177" t="inlineStr">
        <is>
          <t>KRONOBERGS LÄN</t>
        </is>
      </c>
      <c r="E4177" t="inlineStr">
        <is>
          <t>VÄXJÖ</t>
        </is>
      </c>
      <c r="G4177" t="n">
        <v>1.6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35341-2025</t>
        </is>
      </c>
      <c r="B4178" s="1" t="n">
        <v>45854.59864583334</v>
      </c>
      <c r="C4178" s="1" t="n">
        <v>45957</v>
      </c>
      <c r="D4178" t="inlineStr">
        <is>
          <t>KRONOBERGS LÄN</t>
        </is>
      </c>
      <c r="E4178" t="inlineStr">
        <is>
          <t>VÄXJÖ</t>
        </is>
      </c>
      <c r="G4178" t="n">
        <v>1.3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28576-2023</t>
        </is>
      </c>
      <c r="B4179" s="1" t="n">
        <v>45103.55109953704</v>
      </c>
      <c r="C4179" s="1" t="n">
        <v>45957</v>
      </c>
      <c r="D4179" t="inlineStr">
        <is>
          <t>KRONOBERGS LÄN</t>
        </is>
      </c>
      <c r="E4179" t="inlineStr">
        <is>
          <t>VÄXJÖ</t>
        </is>
      </c>
      <c r="G4179" t="n">
        <v>0.2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14918-2022</t>
        </is>
      </c>
      <c r="B4180" s="1" t="n">
        <v>44657.34813657407</v>
      </c>
      <c r="C4180" s="1" t="n">
        <v>45957</v>
      </c>
      <c r="D4180" t="inlineStr">
        <is>
          <t>KRONOBERGS LÄN</t>
        </is>
      </c>
      <c r="E4180" t="inlineStr">
        <is>
          <t>TINGSRYD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51187-2025</t>
        </is>
      </c>
      <c r="B4181" s="1" t="n">
        <v>45947.62369212963</v>
      </c>
      <c r="C4181" s="1" t="n">
        <v>45957</v>
      </c>
      <c r="D4181" t="inlineStr">
        <is>
          <t>KRONOBERGS LÄN</t>
        </is>
      </c>
      <c r="E4181" t="inlineStr">
        <is>
          <t>MARKARYD</t>
        </is>
      </c>
      <c r="G4181" t="n">
        <v>3.1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35346-2025</t>
        </is>
      </c>
      <c r="B4182" s="1" t="n">
        <v>45854.61896990741</v>
      </c>
      <c r="C4182" s="1" t="n">
        <v>45957</v>
      </c>
      <c r="D4182" t="inlineStr">
        <is>
          <t>KRONOBERGS LÄN</t>
        </is>
      </c>
      <c r="E4182" t="inlineStr">
        <is>
          <t>ÄLMHULT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35348-2025</t>
        </is>
      </c>
      <c r="B4183" s="1" t="n">
        <v>45854.62081018519</v>
      </c>
      <c r="C4183" s="1" t="n">
        <v>45957</v>
      </c>
      <c r="D4183" t="inlineStr">
        <is>
          <t>KRONOBERGS LÄN</t>
        </is>
      </c>
      <c r="E4183" t="inlineStr">
        <is>
          <t>UPPVIDINGE</t>
        </is>
      </c>
      <c r="G4183" t="n">
        <v>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59146-2024</t>
        </is>
      </c>
      <c r="B4184" s="1" t="n">
        <v>45637.45240740741</v>
      </c>
      <c r="C4184" s="1" t="n">
        <v>45957</v>
      </c>
      <c r="D4184" t="inlineStr">
        <is>
          <t>KRONOBERGS LÄN</t>
        </is>
      </c>
      <c r="E4184" t="inlineStr">
        <is>
          <t>VÄXJÖ</t>
        </is>
      </c>
      <c r="G4184" t="n">
        <v>2.3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412-2025</t>
        </is>
      </c>
      <c r="B4185" s="1" t="n">
        <v>45663</v>
      </c>
      <c r="C4185" s="1" t="n">
        <v>45957</v>
      </c>
      <c r="D4185" t="inlineStr">
        <is>
          <t>KRONOBERGS LÄN</t>
        </is>
      </c>
      <c r="E4185" t="inlineStr">
        <is>
          <t>MARKARYD</t>
        </is>
      </c>
      <c r="G4185" t="n">
        <v>0.3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42374-2025</t>
        </is>
      </c>
      <c r="B4186" s="1" t="n">
        <v>45905.33540509259</v>
      </c>
      <c r="C4186" s="1" t="n">
        <v>45957</v>
      </c>
      <c r="D4186" t="inlineStr">
        <is>
          <t>KRONOBERGS LÄN</t>
        </is>
      </c>
      <c r="E4186" t="inlineStr">
        <is>
          <t>VÄXJÖ</t>
        </is>
      </c>
      <c r="G4186" t="n">
        <v>1.3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9372-2025</t>
        </is>
      </c>
      <c r="B4187" s="1" t="n">
        <v>45715.32840277778</v>
      </c>
      <c r="C4187" s="1" t="n">
        <v>45957</v>
      </c>
      <c r="D4187" t="inlineStr">
        <is>
          <t>KRONOBERGS LÄN</t>
        </is>
      </c>
      <c r="E4187" t="inlineStr">
        <is>
          <t>ÄLMHULT</t>
        </is>
      </c>
      <c r="G4187" t="n">
        <v>0.4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16945-2022</t>
        </is>
      </c>
      <c r="B4188" s="1" t="n">
        <v>44676.47767361111</v>
      </c>
      <c r="C4188" s="1" t="n">
        <v>45957</v>
      </c>
      <c r="D4188" t="inlineStr">
        <is>
          <t>KRONOBERGS LÄN</t>
        </is>
      </c>
      <c r="E4188" t="inlineStr">
        <is>
          <t>VÄXJÖ</t>
        </is>
      </c>
      <c r="F4188" t="inlineStr">
        <is>
          <t>Sveaskog</t>
        </is>
      </c>
      <c r="G4188" t="n">
        <v>1.1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27887-2024</t>
        </is>
      </c>
      <c r="B4189" s="1" t="n">
        <v>45475</v>
      </c>
      <c r="C4189" s="1" t="n">
        <v>45957</v>
      </c>
      <c r="D4189" t="inlineStr">
        <is>
          <t>KRONOBERGS LÄN</t>
        </is>
      </c>
      <c r="E4189" t="inlineStr">
        <is>
          <t>UPPVIDINGE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40674-2024</t>
        </is>
      </c>
      <c r="B4190" s="1" t="n">
        <v>45558.36578703704</v>
      </c>
      <c r="C4190" s="1" t="n">
        <v>45957</v>
      </c>
      <c r="D4190" t="inlineStr">
        <is>
          <t>KRONOBERGS LÄN</t>
        </is>
      </c>
      <c r="E4190" t="inlineStr">
        <is>
          <t>VÄXJÖ</t>
        </is>
      </c>
      <c r="G4190" t="n">
        <v>1.6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36745-2024</t>
        </is>
      </c>
      <c r="B4191" s="1" t="n">
        <v>45538.33878472223</v>
      </c>
      <c r="C4191" s="1" t="n">
        <v>45957</v>
      </c>
      <c r="D4191" t="inlineStr">
        <is>
          <t>KRONOBERGS LÄN</t>
        </is>
      </c>
      <c r="E4191" t="inlineStr">
        <is>
          <t>VÄXJÖ</t>
        </is>
      </c>
      <c r="G4191" t="n">
        <v>1.2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27019-2025</t>
        </is>
      </c>
      <c r="B4192" s="1" t="n">
        <v>45811.57001157408</v>
      </c>
      <c r="C4192" s="1" t="n">
        <v>45957</v>
      </c>
      <c r="D4192" t="inlineStr">
        <is>
          <t>KRONOBERGS LÄN</t>
        </is>
      </c>
      <c r="E4192" t="inlineStr">
        <is>
          <t>LJUNGBY</t>
        </is>
      </c>
      <c r="G4192" t="n">
        <v>5.4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35369-2025</t>
        </is>
      </c>
      <c r="B4193" s="1" t="n">
        <v>45854.7780787037</v>
      </c>
      <c r="C4193" s="1" t="n">
        <v>45957</v>
      </c>
      <c r="D4193" t="inlineStr">
        <is>
          <t>KRONOBERGS LÄN</t>
        </is>
      </c>
      <c r="E4193" t="inlineStr">
        <is>
          <t>ALVESTA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24489-2024</t>
        </is>
      </c>
      <c r="B4194" s="1" t="n">
        <v>45459.71376157407</v>
      </c>
      <c r="C4194" s="1" t="n">
        <v>45957</v>
      </c>
      <c r="D4194" t="inlineStr">
        <is>
          <t>KRONOBERGS LÄN</t>
        </is>
      </c>
      <c r="E4194" t="inlineStr">
        <is>
          <t>UPPVIDINGE</t>
        </is>
      </c>
      <c r="G4194" t="n">
        <v>3.7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24503-2024</t>
        </is>
      </c>
      <c r="B4195" s="1" t="n">
        <v>45460</v>
      </c>
      <c r="C4195" s="1" t="n">
        <v>45957</v>
      </c>
      <c r="D4195" t="inlineStr">
        <is>
          <t>KRONOBERGS LÄN</t>
        </is>
      </c>
      <c r="E4195" t="inlineStr">
        <is>
          <t>ÄLMHULT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69236-2020</t>
        </is>
      </c>
      <c r="B4196" s="1" t="n">
        <v>44192</v>
      </c>
      <c r="C4196" s="1" t="n">
        <v>45957</v>
      </c>
      <c r="D4196" t="inlineStr">
        <is>
          <t>KRONOBERGS LÄN</t>
        </is>
      </c>
      <c r="E4196" t="inlineStr">
        <is>
          <t>ÄLMHULT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18749-2025</t>
        </is>
      </c>
      <c r="B4197" s="1" t="n">
        <v>45763.79082175926</v>
      </c>
      <c r="C4197" s="1" t="n">
        <v>45957</v>
      </c>
      <c r="D4197" t="inlineStr">
        <is>
          <t>KRONOBERGS LÄN</t>
        </is>
      </c>
      <c r="E4197" t="inlineStr">
        <is>
          <t>ÄLMHULT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18750-2025</t>
        </is>
      </c>
      <c r="B4198" s="1" t="n">
        <v>45763.7996412037</v>
      </c>
      <c r="C4198" s="1" t="n">
        <v>45957</v>
      </c>
      <c r="D4198" t="inlineStr">
        <is>
          <t>KRONOBERGS LÄN</t>
        </is>
      </c>
      <c r="E4198" t="inlineStr">
        <is>
          <t>ÄLMHULT</t>
        </is>
      </c>
      <c r="G4198" t="n">
        <v>2.1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46067-2024</t>
        </is>
      </c>
      <c r="B4199" s="1" t="n">
        <v>45581.29194444444</v>
      </c>
      <c r="C4199" s="1" t="n">
        <v>45957</v>
      </c>
      <c r="D4199" t="inlineStr">
        <is>
          <t>KRONOBERGS LÄN</t>
        </is>
      </c>
      <c r="E4199" t="inlineStr">
        <is>
          <t>ÄLMHULT</t>
        </is>
      </c>
      <c r="G4199" t="n">
        <v>5.7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53628-2024</t>
        </is>
      </c>
      <c r="B4200" s="1" t="n">
        <v>45614.80849537037</v>
      </c>
      <c r="C4200" s="1" t="n">
        <v>45957</v>
      </c>
      <c r="D4200" t="inlineStr">
        <is>
          <t>KRONOBERGS LÄN</t>
        </is>
      </c>
      <c r="E4200" t="inlineStr">
        <is>
          <t>MARKARYD</t>
        </is>
      </c>
      <c r="G4200" t="n">
        <v>3.2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53657-2024</t>
        </is>
      </c>
      <c r="B4201" s="1" t="n">
        <v>45615.30976851852</v>
      </c>
      <c r="C4201" s="1" t="n">
        <v>45957</v>
      </c>
      <c r="D4201" t="inlineStr">
        <is>
          <t>KRONOBERGS LÄN</t>
        </is>
      </c>
      <c r="E4201" t="inlineStr">
        <is>
          <t>ÄLMHULT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5579-2025</t>
        </is>
      </c>
      <c r="B4202" s="1" t="n">
        <v>45693.54733796296</v>
      </c>
      <c r="C4202" s="1" t="n">
        <v>45957</v>
      </c>
      <c r="D4202" t="inlineStr">
        <is>
          <t>KRONOBERGS LÄN</t>
        </is>
      </c>
      <c r="E4202" t="inlineStr">
        <is>
          <t>ÄLMHULT</t>
        </is>
      </c>
      <c r="G4202" t="n">
        <v>0.6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53658-2024</t>
        </is>
      </c>
      <c r="B4203" s="1" t="n">
        <v>45615.31185185185</v>
      </c>
      <c r="C4203" s="1" t="n">
        <v>45957</v>
      </c>
      <c r="D4203" t="inlineStr">
        <is>
          <t>KRONOBERGS LÄN</t>
        </is>
      </c>
      <c r="E4203" t="inlineStr">
        <is>
          <t>ÄLMHULT</t>
        </is>
      </c>
      <c r="G4203" t="n">
        <v>1.3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35903-2022</t>
        </is>
      </c>
      <c r="B4204" s="1" t="n">
        <v>44802</v>
      </c>
      <c r="C4204" s="1" t="n">
        <v>45957</v>
      </c>
      <c r="D4204" t="inlineStr">
        <is>
          <t>KRONOBERGS LÄN</t>
        </is>
      </c>
      <c r="E4204" t="inlineStr">
        <is>
          <t>LJUNGBY</t>
        </is>
      </c>
      <c r="G4204" t="n">
        <v>2.1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31363-2023</t>
        </is>
      </c>
      <c r="B4205" s="1" t="n">
        <v>45114</v>
      </c>
      <c r="C4205" s="1" t="n">
        <v>45957</v>
      </c>
      <c r="D4205" t="inlineStr">
        <is>
          <t>KRONOBERGS LÄN</t>
        </is>
      </c>
      <c r="E4205" t="inlineStr">
        <is>
          <t>VÄXJÖ</t>
        </is>
      </c>
      <c r="G4205" t="n">
        <v>2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31364-2023</t>
        </is>
      </c>
      <c r="B4206" s="1" t="n">
        <v>45114</v>
      </c>
      <c r="C4206" s="1" t="n">
        <v>45957</v>
      </c>
      <c r="D4206" t="inlineStr">
        <is>
          <t>KRONOBERGS LÄN</t>
        </is>
      </c>
      <c r="E4206" t="inlineStr">
        <is>
          <t>VÄXJÖ</t>
        </is>
      </c>
      <c r="G4206" t="n">
        <v>1.9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9960-2022</t>
        </is>
      </c>
      <c r="B4207" s="1" t="n">
        <v>44620</v>
      </c>
      <c r="C4207" s="1" t="n">
        <v>45957</v>
      </c>
      <c r="D4207" t="inlineStr">
        <is>
          <t>KRONOBERGS LÄN</t>
        </is>
      </c>
      <c r="E4207" t="inlineStr">
        <is>
          <t>VÄXJÖ</t>
        </is>
      </c>
      <c r="G4207" t="n">
        <v>12.2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50853-2025</t>
        </is>
      </c>
      <c r="B4208" s="1" t="n">
        <v>45946</v>
      </c>
      <c r="C4208" s="1" t="n">
        <v>45957</v>
      </c>
      <c r="D4208" t="inlineStr">
        <is>
          <t>KRONOBERGS LÄN</t>
        </is>
      </c>
      <c r="E4208" t="inlineStr">
        <is>
          <t>ALVESTA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35523-2025</t>
        </is>
      </c>
      <c r="B4209" s="1" t="n">
        <v>45856.42827546296</v>
      </c>
      <c r="C4209" s="1" t="n">
        <v>45957</v>
      </c>
      <c r="D4209" t="inlineStr">
        <is>
          <t>KRONOBERGS LÄN</t>
        </is>
      </c>
      <c r="E4209" t="inlineStr">
        <is>
          <t>ALVESTA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61150-2024</t>
        </is>
      </c>
      <c r="B4210" s="1" t="n">
        <v>45645.58762731482</v>
      </c>
      <c r="C4210" s="1" t="n">
        <v>45957</v>
      </c>
      <c r="D4210" t="inlineStr">
        <is>
          <t>KRONOBERGS LÄN</t>
        </is>
      </c>
      <c r="E4210" t="inlineStr">
        <is>
          <t>LJUNGBY</t>
        </is>
      </c>
      <c r="G4210" t="n">
        <v>2.2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27843-2022</t>
        </is>
      </c>
      <c r="B4211" s="1" t="n">
        <v>44743.61965277778</v>
      </c>
      <c r="C4211" s="1" t="n">
        <v>45957</v>
      </c>
      <c r="D4211" t="inlineStr">
        <is>
          <t>KRONOBERGS LÄN</t>
        </is>
      </c>
      <c r="E4211" t="inlineStr">
        <is>
          <t>LJUNGBY</t>
        </is>
      </c>
      <c r="G4211" t="n">
        <v>1.4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14226-2025</t>
        </is>
      </c>
      <c r="B4212" s="1" t="n">
        <v>45740.59585648148</v>
      </c>
      <c r="C4212" s="1" t="n">
        <v>45957</v>
      </c>
      <c r="D4212" t="inlineStr">
        <is>
          <t>KRONOBERGS LÄN</t>
        </is>
      </c>
      <c r="E4212" t="inlineStr">
        <is>
          <t>VÄXJÖ</t>
        </is>
      </c>
      <c r="G4212" t="n">
        <v>2.7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30018-2023</t>
        </is>
      </c>
      <c r="B4213" s="1" t="n">
        <v>45109</v>
      </c>
      <c r="C4213" s="1" t="n">
        <v>45957</v>
      </c>
      <c r="D4213" t="inlineStr">
        <is>
          <t>KRONOBERGS LÄN</t>
        </is>
      </c>
      <c r="E4213" t="inlineStr">
        <is>
          <t>LJUNGBY</t>
        </is>
      </c>
      <c r="G4213" t="n">
        <v>13.6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22383-2024</t>
        </is>
      </c>
      <c r="B4214" s="1" t="n">
        <v>45446</v>
      </c>
      <c r="C4214" s="1" t="n">
        <v>45957</v>
      </c>
      <c r="D4214" t="inlineStr">
        <is>
          <t>KRONOBERGS LÄN</t>
        </is>
      </c>
      <c r="E4214" t="inlineStr">
        <is>
          <t>LJUNGBY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23538-2025</t>
        </is>
      </c>
      <c r="B4215" s="1" t="n">
        <v>45792.55155092593</v>
      </c>
      <c r="C4215" s="1" t="n">
        <v>45957</v>
      </c>
      <c r="D4215" t="inlineStr">
        <is>
          <t>KRONOBERGS LÄN</t>
        </is>
      </c>
      <c r="E4215" t="inlineStr">
        <is>
          <t>ÄLMHULT</t>
        </is>
      </c>
      <c r="G4215" t="n">
        <v>1.1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3987-2025</t>
        </is>
      </c>
      <c r="B4216" s="1" t="n">
        <v>45684.55307870371</v>
      </c>
      <c r="C4216" s="1" t="n">
        <v>45957</v>
      </c>
      <c r="D4216" t="inlineStr">
        <is>
          <t>KRONOBERGS LÄN</t>
        </is>
      </c>
      <c r="E4216" t="inlineStr">
        <is>
          <t>TINGSRYD</t>
        </is>
      </c>
      <c r="G4216" t="n">
        <v>3.9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26645-2022</t>
        </is>
      </c>
      <c r="B4217" s="1" t="n">
        <v>44739.6016087963</v>
      </c>
      <c r="C4217" s="1" t="n">
        <v>45957</v>
      </c>
      <c r="D4217" t="inlineStr">
        <is>
          <t>KRONOBERGS LÄN</t>
        </is>
      </c>
      <c r="E4217" t="inlineStr">
        <is>
          <t>VÄXJÖ</t>
        </is>
      </c>
      <c r="G4217" t="n">
        <v>0.4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35317-2024</t>
        </is>
      </c>
      <c r="B4218" s="1" t="n">
        <v>45530.69050925926</v>
      </c>
      <c r="C4218" s="1" t="n">
        <v>45957</v>
      </c>
      <c r="D4218" t="inlineStr">
        <is>
          <t>KRONOBERGS LÄN</t>
        </is>
      </c>
      <c r="E4218" t="inlineStr">
        <is>
          <t>LJUNGBY</t>
        </is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28665-2025</t>
        </is>
      </c>
      <c r="B4219" s="1" t="n">
        <v>45819.6612962963</v>
      </c>
      <c r="C4219" s="1" t="n">
        <v>45957</v>
      </c>
      <c r="D4219" t="inlineStr">
        <is>
          <t>KRONOBERGS LÄN</t>
        </is>
      </c>
      <c r="E4219" t="inlineStr">
        <is>
          <t>ÄLMHULT</t>
        </is>
      </c>
      <c r="G4219" t="n">
        <v>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8887-2023</t>
        </is>
      </c>
      <c r="B4220" s="1" t="n">
        <v>44979.31732638889</v>
      </c>
      <c r="C4220" s="1" t="n">
        <v>45957</v>
      </c>
      <c r="D4220" t="inlineStr">
        <is>
          <t>KRONOBERGS LÄN</t>
        </is>
      </c>
      <c r="E4220" t="inlineStr">
        <is>
          <t>ÄLMHULT</t>
        </is>
      </c>
      <c r="G4220" t="n">
        <v>1.9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6206-2025</t>
        </is>
      </c>
      <c r="B4221" s="1" t="n">
        <v>45698.48871527778</v>
      </c>
      <c r="C4221" s="1" t="n">
        <v>45957</v>
      </c>
      <c r="D4221" t="inlineStr">
        <is>
          <t>KRONOBERGS LÄN</t>
        </is>
      </c>
      <c r="E4221" t="inlineStr">
        <is>
          <t>ÄLMHULT</t>
        </is>
      </c>
      <c r="G4221" t="n">
        <v>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50162-2023</t>
        </is>
      </c>
      <c r="B4222" s="1" t="n">
        <v>45215</v>
      </c>
      <c r="C4222" s="1" t="n">
        <v>45957</v>
      </c>
      <c r="D4222" t="inlineStr">
        <is>
          <t>KRONOBERGS LÄN</t>
        </is>
      </c>
      <c r="E4222" t="inlineStr">
        <is>
          <t>LESSEBO</t>
        </is>
      </c>
      <c r="F4222" t="inlineStr">
        <is>
          <t>Sveaskog</t>
        </is>
      </c>
      <c r="G4222" t="n">
        <v>0.2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28673-2023</t>
        </is>
      </c>
      <c r="B4223" s="1" t="n">
        <v>45103</v>
      </c>
      <c r="C4223" s="1" t="n">
        <v>45957</v>
      </c>
      <c r="D4223" t="inlineStr">
        <is>
          <t>KRONOBERGS LÄN</t>
        </is>
      </c>
      <c r="E4223" t="inlineStr">
        <is>
          <t>LJUNGBY</t>
        </is>
      </c>
      <c r="G4223" t="n">
        <v>3.1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32860-2025</t>
        </is>
      </c>
      <c r="B4224" s="1" t="n">
        <v>45839.58186342593</v>
      </c>
      <c r="C4224" s="1" t="n">
        <v>45957</v>
      </c>
      <c r="D4224" t="inlineStr">
        <is>
          <t>KRONOBERGS LÄN</t>
        </is>
      </c>
      <c r="E4224" t="inlineStr">
        <is>
          <t>ÄLMHULT</t>
        </is>
      </c>
      <c r="G4224" t="n">
        <v>2.2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12052-2025</t>
        </is>
      </c>
      <c r="B4225" s="1" t="n">
        <v>45728.67893518518</v>
      </c>
      <c r="C4225" s="1" t="n">
        <v>45957</v>
      </c>
      <c r="D4225" t="inlineStr">
        <is>
          <t>KRONOBERGS LÄN</t>
        </is>
      </c>
      <c r="E4225" t="inlineStr">
        <is>
          <t>ÄLMHULT</t>
        </is>
      </c>
      <c r="G4225" t="n">
        <v>2.8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8372-2025</t>
        </is>
      </c>
      <c r="B4226" s="1" t="n">
        <v>45709.32859953704</v>
      </c>
      <c r="C4226" s="1" t="n">
        <v>45957</v>
      </c>
      <c r="D4226" t="inlineStr">
        <is>
          <t>KRONOBERGS LÄN</t>
        </is>
      </c>
      <c r="E4226" t="inlineStr">
        <is>
          <t>UPPVIDINGE</t>
        </is>
      </c>
      <c r="F4226" t="inlineStr">
        <is>
          <t>Sveaskog</t>
        </is>
      </c>
      <c r="G4226" t="n">
        <v>5.5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3818-2023</t>
        </is>
      </c>
      <c r="B4227" s="1" t="n">
        <v>44951</v>
      </c>
      <c r="C4227" s="1" t="n">
        <v>45957</v>
      </c>
      <c r="D4227" t="inlineStr">
        <is>
          <t>KRONOBERGS LÄN</t>
        </is>
      </c>
      <c r="E4227" t="inlineStr">
        <is>
          <t>TINGSRYD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27686-2021</t>
        </is>
      </c>
      <c r="B4228" s="1" t="n">
        <v>44354</v>
      </c>
      <c r="C4228" s="1" t="n">
        <v>45957</v>
      </c>
      <c r="D4228" t="inlineStr">
        <is>
          <t>KRONOBERGS LÄN</t>
        </is>
      </c>
      <c r="E4228" t="inlineStr">
        <is>
          <t>VÄXJÖ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51272-2025</t>
        </is>
      </c>
      <c r="B4229" s="1" t="n">
        <v>45949.85663194444</v>
      </c>
      <c r="C4229" s="1" t="n">
        <v>45957</v>
      </c>
      <c r="D4229" t="inlineStr">
        <is>
          <t>KRONOBERGS LÄN</t>
        </is>
      </c>
      <c r="E4229" t="inlineStr">
        <is>
          <t>LJUNGBY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8423-2025</t>
        </is>
      </c>
      <c r="B4230" s="1" t="n">
        <v>45709.40761574074</v>
      </c>
      <c r="C4230" s="1" t="n">
        <v>45957</v>
      </c>
      <c r="D4230" t="inlineStr">
        <is>
          <t>KRONOBERGS LÄN</t>
        </is>
      </c>
      <c r="E4230" t="inlineStr">
        <is>
          <t>UPPVIDINGE</t>
        </is>
      </c>
      <c r="F4230" t="inlineStr">
        <is>
          <t>Sveaskog</t>
        </is>
      </c>
      <c r="G4230" t="n">
        <v>5.9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8421-2025</t>
        </is>
      </c>
      <c r="B4231" s="1" t="n">
        <v>45709.40560185185</v>
      </c>
      <c r="C4231" s="1" t="n">
        <v>45957</v>
      </c>
      <c r="D4231" t="inlineStr">
        <is>
          <t>KRONOBERGS LÄN</t>
        </is>
      </c>
      <c r="E4231" t="inlineStr">
        <is>
          <t>UPPVIDINGE</t>
        </is>
      </c>
      <c r="F4231" t="inlineStr">
        <is>
          <t>Sveaskog</t>
        </is>
      </c>
      <c r="G4231" t="n">
        <v>3.7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19330-2021</t>
        </is>
      </c>
      <c r="B4232" s="1" t="n">
        <v>44309.56733796297</v>
      </c>
      <c r="C4232" s="1" t="n">
        <v>45957</v>
      </c>
      <c r="D4232" t="inlineStr">
        <is>
          <t>KRONOBERGS LÄN</t>
        </is>
      </c>
      <c r="E4232" t="inlineStr">
        <is>
          <t>ALVESTA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51459-2025</t>
        </is>
      </c>
      <c r="B4233" s="1" t="n">
        <v>45950.59846064815</v>
      </c>
      <c r="C4233" s="1" t="n">
        <v>45957</v>
      </c>
      <c r="D4233" t="inlineStr">
        <is>
          <t>KRONOBERGS LÄN</t>
        </is>
      </c>
      <c r="E4233" t="inlineStr">
        <is>
          <t>LJUNGBY</t>
        </is>
      </c>
      <c r="G4233" t="n">
        <v>1.5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51487-2025</t>
        </is>
      </c>
      <c r="B4234" s="1" t="n">
        <v>45950.62329861111</v>
      </c>
      <c r="C4234" s="1" t="n">
        <v>45957</v>
      </c>
      <c r="D4234" t="inlineStr">
        <is>
          <t>KRONOBERGS LÄN</t>
        </is>
      </c>
      <c r="E4234" t="inlineStr">
        <is>
          <t>LESSEBO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35601-2025</t>
        </is>
      </c>
      <c r="B4235" s="1" t="n">
        <v>45858.99248842592</v>
      </c>
      <c r="C4235" s="1" t="n">
        <v>45957</v>
      </c>
      <c r="D4235" t="inlineStr">
        <is>
          <t>KRONOBERGS LÄN</t>
        </is>
      </c>
      <c r="E4235" t="inlineStr">
        <is>
          <t>ALVESTA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50852-2025</t>
        </is>
      </c>
      <c r="B4236" s="1" t="n">
        <v>45946</v>
      </c>
      <c r="C4236" s="1" t="n">
        <v>45957</v>
      </c>
      <c r="D4236" t="inlineStr">
        <is>
          <t>KRONOBERGS LÄN</t>
        </is>
      </c>
      <c r="E4236" t="inlineStr">
        <is>
          <t>ALVESTA</t>
        </is>
      </c>
      <c r="G4236" t="n">
        <v>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58047-2024</t>
        </is>
      </c>
      <c r="B4237" s="1" t="n">
        <v>45631.80012731482</v>
      </c>
      <c r="C4237" s="1" t="n">
        <v>45957</v>
      </c>
      <c r="D4237" t="inlineStr">
        <is>
          <t>KRONOBERGS LÄN</t>
        </is>
      </c>
      <c r="E4237" t="inlineStr">
        <is>
          <t>ÄLMHULT</t>
        </is>
      </c>
      <c r="G4237" t="n">
        <v>1.3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42536-2023</t>
        </is>
      </c>
      <c r="B4238" s="1" t="n">
        <v>45181.35542824074</v>
      </c>
      <c r="C4238" s="1" t="n">
        <v>45957</v>
      </c>
      <c r="D4238" t="inlineStr">
        <is>
          <t>KRONOBERGS LÄN</t>
        </is>
      </c>
      <c r="E4238" t="inlineStr">
        <is>
          <t>MARKARYD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53458-2024</t>
        </is>
      </c>
      <c r="B4239" s="1" t="n">
        <v>45614.54958333333</v>
      </c>
      <c r="C4239" s="1" t="n">
        <v>45957</v>
      </c>
      <c r="D4239" t="inlineStr">
        <is>
          <t>KRONOBERGS LÄN</t>
        </is>
      </c>
      <c r="E4239" t="inlineStr">
        <is>
          <t>ALVESTA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53459-2024</t>
        </is>
      </c>
      <c r="B4240" s="1" t="n">
        <v>45614.54966435185</v>
      </c>
      <c r="C4240" s="1" t="n">
        <v>45957</v>
      </c>
      <c r="D4240" t="inlineStr">
        <is>
          <t>KRONOBERGS LÄN</t>
        </is>
      </c>
      <c r="E4240" t="inlineStr">
        <is>
          <t>ALVESTA</t>
        </is>
      </c>
      <c r="G4240" t="n">
        <v>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51361-2025</t>
        </is>
      </c>
      <c r="B4241" s="1" t="n">
        <v>45950.44451388889</v>
      </c>
      <c r="C4241" s="1" t="n">
        <v>45957</v>
      </c>
      <c r="D4241" t="inlineStr">
        <is>
          <t>KRONOBERGS LÄN</t>
        </is>
      </c>
      <c r="E4241" t="inlineStr">
        <is>
          <t>LJUNGBY</t>
        </is>
      </c>
      <c r="G4241" t="n">
        <v>0.9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42782-2025</t>
        </is>
      </c>
      <c r="B4242" s="1" t="n">
        <v>45908.50746527778</v>
      </c>
      <c r="C4242" s="1" t="n">
        <v>45957</v>
      </c>
      <c r="D4242" t="inlineStr">
        <is>
          <t>KRONOBERGS LÄN</t>
        </is>
      </c>
      <c r="E4242" t="inlineStr">
        <is>
          <t>ALVESTA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51276-2025</t>
        </is>
      </c>
      <c r="B4243" s="1" t="n">
        <v>45949</v>
      </c>
      <c r="C4243" s="1" t="n">
        <v>45957</v>
      </c>
      <c r="D4243" t="inlineStr">
        <is>
          <t>KRONOBERGS LÄN</t>
        </is>
      </c>
      <c r="E4243" t="inlineStr">
        <is>
          <t>LJUNGBY</t>
        </is>
      </c>
      <c r="G4243" t="n">
        <v>1.8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51320-2025</t>
        </is>
      </c>
      <c r="B4244" s="1" t="n">
        <v>45950.38597222222</v>
      </c>
      <c r="C4244" s="1" t="n">
        <v>45957</v>
      </c>
      <c r="D4244" t="inlineStr">
        <is>
          <t>KRONOBERGS LÄN</t>
        </is>
      </c>
      <c r="E4244" t="inlineStr">
        <is>
          <t>LJUNGBY</t>
        </is>
      </c>
      <c r="G4244" t="n">
        <v>0.6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42615-2023</t>
        </is>
      </c>
      <c r="B4245" s="1" t="n">
        <v>45181</v>
      </c>
      <c r="C4245" s="1" t="n">
        <v>45957</v>
      </c>
      <c r="D4245" t="inlineStr">
        <is>
          <t>KRONOBERGS LÄN</t>
        </is>
      </c>
      <c r="E4245" t="inlineStr">
        <is>
          <t>LJUNGBY</t>
        </is>
      </c>
      <c r="G4245" t="n">
        <v>0.8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35790-2025</t>
        </is>
      </c>
      <c r="B4246" s="1" t="n">
        <v>45860</v>
      </c>
      <c r="C4246" s="1" t="n">
        <v>45957</v>
      </c>
      <c r="D4246" t="inlineStr">
        <is>
          <t>KRONOBERGS LÄN</t>
        </is>
      </c>
      <c r="E4246" t="inlineStr">
        <is>
          <t>LJUNGBY</t>
        </is>
      </c>
      <c r="G4246" t="n">
        <v>3.6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27424-2025</t>
        </is>
      </c>
      <c r="B4247" s="1" t="n">
        <v>45812.94432870371</v>
      </c>
      <c r="C4247" s="1" t="n">
        <v>45957</v>
      </c>
      <c r="D4247" t="inlineStr">
        <is>
          <t>KRONOBERGS LÄN</t>
        </is>
      </c>
      <c r="E4247" t="inlineStr">
        <is>
          <t>ÄLMHULT</t>
        </is>
      </c>
      <c r="G4247" t="n">
        <v>0.9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35687-2025</t>
        </is>
      </c>
      <c r="B4248" s="1" t="n">
        <v>45860.10805555555</v>
      </c>
      <c r="C4248" s="1" t="n">
        <v>45957</v>
      </c>
      <c r="D4248" t="inlineStr">
        <is>
          <t>KRONOBERGS LÄN</t>
        </is>
      </c>
      <c r="E4248" t="inlineStr">
        <is>
          <t>ALVESTA</t>
        </is>
      </c>
      <c r="G4248" t="n">
        <v>3.3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39747-2024</t>
        </is>
      </c>
      <c r="B4249" s="1" t="n">
        <v>45552.66143518518</v>
      </c>
      <c r="C4249" s="1" t="n">
        <v>45957</v>
      </c>
      <c r="D4249" t="inlineStr">
        <is>
          <t>KRONOBERGS LÄN</t>
        </is>
      </c>
      <c r="E4249" t="inlineStr">
        <is>
          <t>TINGSRYD</t>
        </is>
      </c>
      <c r="G4249" t="n">
        <v>4.4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34130-2023</t>
        </is>
      </c>
      <c r="B4250" s="1" t="n">
        <v>45135.67082175926</v>
      </c>
      <c r="C4250" s="1" t="n">
        <v>45957</v>
      </c>
      <c r="D4250" t="inlineStr">
        <is>
          <t>KRONOBERGS LÄN</t>
        </is>
      </c>
      <c r="E4250" t="inlineStr">
        <is>
          <t>ALVESTA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6664-2025</t>
        </is>
      </c>
      <c r="B4251" s="1" t="n">
        <v>45700.4577199074</v>
      </c>
      <c r="C4251" s="1" t="n">
        <v>45957</v>
      </c>
      <c r="D4251" t="inlineStr">
        <is>
          <t>KRONOBERGS LÄN</t>
        </is>
      </c>
      <c r="E4251" t="inlineStr">
        <is>
          <t>TINGSRYD</t>
        </is>
      </c>
      <c r="G4251" t="n">
        <v>1.4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14865-2024</t>
        </is>
      </c>
      <c r="B4252" s="1" t="n">
        <v>45398</v>
      </c>
      <c r="C4252" s="1" t="n">
        <v>45957</v>
      </c>
      <c r="D4252" t="inlineStr">
        <is>
          <t>KRONOBERGS LÄN</t>
        </is>
      </c>
      <c r="E4252" t="inlineStr">
        <is>
          <t>ALVESTA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33391-2023</t>
        </is>
      </c>
      <c r="B4253" s="1" t="n">
        <v>45128</v>
      </c>
      <c r="C4253" s="1" t="n">
        <v>45957</v>
      </c>
      <c r="D4253" t="inlineStr">
        <is>
          <t>KRONOBERGS LÄN</t>
        </is>
      </c>
      <c r="E4253" t="inlineStr">
        <is>
          <t>VÄXJÖ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51481-2025</t>
        </is>
      </c>
      <c r="B4254" s="1" t="n">
        <v>45950.62017361111</v>
      </c>
      <c r="C4254" s="1" t="n">
        <v>45957</v>
      </c>
      <c r="D4254" t="inlineStr">
        <is>
          <t>KRONOBERGS LÄN</t>
        </is>
      </c>
      <c r="E4254" t="inlineStr">
        <is>
          <t>LJUNGBY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60202-2021</t>
        </is>
      </c>
      <c r="B4255" s="1" t="n">
        <v>44495</v>
      </c>
      <c r="C4255" s="1" t="n">
        <v>45957</v>
      </c>
      <c r="D4255" t="inlineStr">
        <is>
          <t>KRONOBERGS LÄN</t>
        </is>
      </c>
      <c r="E4255" t="inlineStr">
        <is>
          <t>ALVESTA</t>
        </is>
      </c>
      <c r="G4255" t="n">
        <v>8.800000000000001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51371-2025</t>
        </is>
      </c>
      <c r="B4256" s="1" t="n">
        <v>45950.44819444444</v>
      </c>
      <c r="C4256" s="1" t="n">
        <v>45957</v>
      </c>
      <c r="D4256" t="inlineStr">
        <is>
          <t>KRONOBERGS LÄN</t>
        </is>
      </c>
      <c r="E4256" t="inlineStr">
        <is>
          <t>LJUNGBY</t>
        </is>
      </c>
      <c r="G4256" t="n">
        <v>0.8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51410-2025</t>
        </is>
      </c>
      <c r="B4257" s="1" t="n">
        <v>45950.49357638889</v>
      </c>
      <c r="C4257" s="1" t="n">
        <v>45957</v>
      </c>
      <c r="D4257" t="inlineStr">
        <is>
          <t>KRONOBERGS LÄN</t>
        </is>
      </c>
      <c r="E4257" t="inlineStr">
        <is>
          <t>VÄXJÖ</t>
        </is>
      </c>
      <c r="G4257" t="n">
        <v>1.7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38909-2024</t>
        </is>
      </c>
      <c r="B4258" s="1" t="n">
        <v>45547.72253472222</v>
      </c>
      <c r="C4258" s="1" t="n">
        <v>45957</v>
      </c>
      <c r="D4258" t="inlineStr">
        <is>
          <t>KRONOBERGS LÄN</t>
        </is>
      </c>
      <c r="E4258" t="inlineStr">
        <is>
          <t>ALVESTA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56832-2024</t>
        </is>
      </c>
      <c r="B4259" s="1" t="n">
        <v>45628.49865740741</v>
      </c>
      <c r="C4259" s="1" t="n">
        <v>45957</v>
      </c>
      <c r="D4259" t="inlineStr">
        <is>
          <t>KRONOBERGS LÄN</t>
        </is>
      </c>
      <c r="E4259" t="inlineStr">
        <is>
          <t>ALVESTA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51347-2025</t>
        </is>
      </c>
      <c r="B4260" s="1" t="n">
        <v>45950.43387731481</v>
      </c>
      <c r="C4260" s="1" t="n">
        <v>45957</v>
      </c>
      <c r="D4260" t="inlineStr">
        <is>
          <t>KRONOBERGS LÄN</t>
        </is>
      </c>
      <c r="E4260" t="inlineStr">
        <is>
          <t>LJUNGBY</t>
        </is>
      </c>
      <c r="G4260" t="n">
        <v>6.1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42082-2025</t>
        </is>
      </c>
      <c r="B4261" s="1" t="n">
        <v>45903</v>
      </c>
      <c r="C4261" s="1" t="n">
        <v>45957</v>
      </c>
      <c r="D4261" t="inlineStr">
        <is>
          <t>KRONOBERGS LÄN</t>
        </is>
      </c>
      <c r="E4261" t="inlineStr">
        <is>
          <t>MARKARYD</t>
        </is>
      </c>
      <c r="G4261" t="n">
        <v>8.300000000000001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23530-2025</t>
        </is>
      </c>
      <c r="B4262" s="1" t="n">
        <v>45792.53266203704</v>
      </c>
      <c r="C4262" s="1" t="n">
        <v>45957</v>
      </c>
      <c r="D4262" t="inlineStr">
        <is>
          <t>KRONOBERGS LÄN</t>
        </is>
      </c>
      <c r="E4262" t="inlineStr">
        <is>
          <t>TINGSRYD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46864-2022</t>
        </is>
      </c>
      <c r="B4263" s="1" t="n">
        <v>44851.60855324074</v>
      </c>
      <c r="C4263" s="1" t="n">
        <v>45957</v>
      </c>
      <c r="D4263" t="inlineStr">
        <is>
          <t>KRONOBERGS LÄN</t>
        </is>
      </c>
      <c r="E4263" t="inlineStr">
        <is>
          <t>LJUNGBY</t>
        </is>
      </c>
      <c r="F4263" t="inlineStr">
        <is>
          <t>Sveaskog</t>
        </is>
      </c>
      <c r="G4263" t="n">
        <v>0.5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54924-2023</t>
        </is>
      </c>
      <c r="B4264" s="1" t="n">
        <v>45236.68318287037</v>
      </c>
      <c r="C4264" s="1" t="n">
        <v>45957</v>
      </c>
      <c r="D4264" t="inlineStr">
        <is>
          <t>KRONOBERGS LÄN</t>
        </is>
      </c>
      <c r="E4264" t="inlineStr">
        <is>
          <t>LJUNGBY</t>
        </is>
      </c>
      <c r="G4264" t="n">
        <v>1.6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50968-2025</t>
        </is>
      </c>
      <c r="B4265" s="1" t="n">
        <v>45947.28266203704</v>
      </c>
      <c r="C4265" s="1" t="n">
        <v>45957</v>
      </c>
      <c r="D4265" t="inlineStr">
        <is>
          <t>KRONOBERGS LÄN</t>
        </is>
      </c>
      <c r="E4265" t="inlineStr">
        <is>
          <t>ÄLMHULT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39016-2023</t>
        </is>
      </c>
      <c r="B4266" s="1" t="n">
        <v>45163.72633101852</v>
      </c>
      <c r="C4266" s="1" t="n">
        <v>45957</v>
      </c>
      <c r="D4266" t="inlineStr">
        <is>
          <t>KRONOBERGS LÄN</t>
        </is>
      </c>
      <c r="E4266" t="inlineStr">
        <is>
          <t>UPPVIDINGE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59294-2023</t>
        </is>
      </c>
      <c r="B4267" s="1" t="n">
        <v>45253.57648148148</v>
      </c>
      <c r="C4267" s="1" t="n">
        <v>45957</v>
      </c>
      <c r="D4267" t="inlineStr">
        <is>
          <t>KRONOBERGS LÄN</t>
        </is>
      </c>
      <c r="E4267" t="inlineStr">
        <is>
          <t>VÄXJÖ</t>
        </is>
      </c>
      <c r="G4267" t="n">
        <v>1.7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57750-2023</t>
        </is>
      </c>
      <c r="B4268" s="1" t="n">
        <v>45246.77350694445</v>
      </c>
      <c r="C4268" s="1" t="n">
        <v>45957</v>
      </c>
      <c r="D4268" t="inlineStr">
        <is>
          <t>KRONOBERGS LÄN</t>
        </is>
      </c>
      <c r="E4268" t="inlineStr">
        <is>
          <t>LJUNGBY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43315-2023</t>
        </is>
      </c>
      <c r="B4269" s="1" t="n">
        <v>45183</v>
      </c>
      <c r="C4269" s="1" t="n">
        <v>45957</v>
      </c>
      <c r="D4269" t="inlineStr">
        <is>
          <t>KRONOBERGS LÄN</t>
        </is>
      </c>
      <c r="E4269" t="inlineStr">
        <is>
          <t>TINGSRYD</t>
        </is>
      </c>
      <c r="G4269" t="n">
        <v>2.3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43319-2023</t>
        </is>
      </c>
      <c r="B4270" s="1" t="n">
        <v>45183</v>
      </c>
      <c r="C4270" s="1" t="n">
        <v>45957</v>
      </c>
      <c r="D4270" t="inlineStr">
        <is>
          <t>KRONOBERGS LÄN</t>
        </is>
      </c>
      <c r="E4270" t="inlineStr">
        <is>
          <t>TINGSRYD</t>
        </is>
      </c>
      <c r="G4270" t="n">
        <v>1.1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58046-2023</t>
        </is>
      </c>
      <c r="B4271" s="1" t="n">
        <v>45247</v>
      </c>
      <c r="C4271" s="1" t="n">
        <v>45957</v>
      </c>
      <c r="D4271" t="inlineStr">
        <is>
          <t>KRONOBERGS LÄN</t>
        </is>
      </c>
      <c r="E4271" t="inlineStr">
        <is>
          <t>VÄXJÖ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35843-2025</t>
        </is>
      </c>
      <c r="B4272" s="1" t="n">
        <v>45861.555</v>
      </c>
      <c r="C4272" s="1" t="n">
        <v>45957</v>
      </c>
      <c r="D4272" t="inlineStr">
        <is>
          <t>KRONOBERGS LÄN</t>
        </is>
      </c>
      <c r="E4272" t="inlineStr">
        <is>
          <t>MARKARYD</t>
        </is>
      </c>
      <c r="G4272" t="n">
        <v>2.7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51296-2025</t>
        </is>
      </c>
      <c r="B4273" s="1" t="n">
        <v>45950.35805555555</v>
      </c>
      <c r="C4273" s="1" t="n">
        <v>45957</v>
      </c>
      <c r="D4273" t="inlineStr">
        <is>
          <t>KRONOBERGS LÄN</t>
        </is>
      </c>
      <c r="E4273" t="inlineStr">
        <is>
          <t>LJUNGBY</t>
        </is>
      </c>
      <c r="G4273" t="n">
        <v>0.8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27710-2022</t>
        </is>
      </c>
      <c r="B4274" s="1" t="n">
        <v>44743</v>
      </c>
      <c r="C4274" s="1" t="n">
        <v>45957</v>
      </c>
      <c r="D4274" t="inlineStr">
        <is>
          <t>KRONOBERGS LÄN</t>
        </is>
      </c>
      <c r="E4274" t="inlineStr">
        <is>
          <t>ALVESTA</t>
        </is>
      </c>
      <c r="G4274" t="n">
        <v>3.9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27731-2022</t>
        </is>
      </c>
      <c r="B4275" s="1" t="n">
        <v>44743</v>
      </c>
      <c r="C4275" s="1" t="n">
        <v>45957</v>
      </c>
      <c r="D4275" t="inlineStr">
        <is>
          <t>KRONOBERGS LÄN</t>
        </is>
      </c>
      <c r="E4275" t="inlineStr">
        <is>
          <t>ALVESTA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43580-2023</t>
        </is>
      </c>
      <c r="B4276" s="1" t="n">
        <v>45181</v>
      </c>
      <c r="C4276" s="1" t="n">
        <v>45957</v>
      </c>
      <c r="D4276" t="inlineStr">
        <is>
          <t>KRONOBERGS LÄN</t>
        </is>
      </c>
      <c r="E4276" t="inlineStr">
        <is>
          <t>UPPVIDINGE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35813-2025</t>
        </is>
      </c>
      <c r="B4277" s="1" t="n">
        <v>45861.43393518519</v>
      </c>
      <c r="C4277" s="1" t="n">
        <v>45957</v>
      </c>
      <c r="D4277" t="inlineStr">
        <is>
          <t>KRONOBERGS LÄN</t>
        </is>
      </c>
      <c r="E4277" t="inlineStr">
        <is>
          <t>UPPVIDINGE</t>
        </is>
      </c>
      <c r="G4277" t="n">
        <v>6.8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33354-2023</t>
        </is>
      </c>
      <c r="B4278" s="1" t="n">
        <v>45117</v>
      </c>
      <c r="C4278" s="1" t="n">
        <v>45957</v>
      </c>
      <c r="D4278" t="inlineStr">
        <is>
          <t>KRONOBERGS LÄN</t>
        </is>
      </c>
      <c r="E4278" t="inlineStr">
        <is>
          <t>TINGSRYD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35894-2025</t>
        </is>
      </c>
      <c r="B4279" s="1" t="n">
        <v>45862.48116898148</v>
      </c>
      <c r="C4279" s="1" t="n">
        <v>45957</v>
      </c>
      <c r="D4279" t="inlineStr">
        <is>
          <t>KRONOBERGS LÄN</t>
        </is>
      </c>
      <c r="E4279" t="inlineStr">
        <is>
          <t>LESSEBO</t>
        </is>
      </c>
      <c r="F4279" t="inlineStr">
        <is>
          <t>Sveaskog</t>
        </is>
      </c>
      <c r="G4279" t="n">
        <v>1.8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48692-2024</t>
        </is>
      </c>
      <c r="B4280" s="1" t="n">
        <v>45593</v>
      </c>
      <c r="C4280" s="1" t="n">
        <v>45957</v>
      </c>
      <c r="D4280" t="inlineStr">
        <is>
          <t>KRONOBERGS LÄN</t>
        </is>
      </c>
      <c r="E4280" t="inlineStr">
        <is>
          <t>ALVESTA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51309-2025</t>
        </is>
      </c>
      <c r="B4281" s="1" t="n">
        <v>45950.36810185185</v>
      </c>
      <c r="C4281" s="1" t="n">
        <v>45957</v>
      </c>
      <c r="D4281" t="inlineStr">
        <is>
          <t>KRONOBERGS LÄN</t>
        </is>
      </c>
      <c r="E4281" t="inlineStr">
        <is>
          <t>LJUNGBY</t>
        </is>
      </c>
      <c r="G4281" t="n">
        <v>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19722-2023</t>
        </is>
      </c>
      <c r="B4282" s="1" t="n">
        <v>45051</v>
      </c>
      <c r="C4282" s="1" t="n">
        <v>45957</v>
      </c>
      <c r="D4282" t="inlineStr">
        <is>
          <t>KRONOBERGS LÄN</t>
        </is>
      </c>
      <c r="E4282" t="inlineStr">
        <is>
          <t>ÄLMHULT</t>
        </is>
      </c>
      <c r="G4282" t="n">
        <v>2.6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42494-2025</t>
        </is>
      </c>
      <c r="B4283" s="1" t="n">
        <v>45905.50523148148</v>
      </c>
      <c r="C4283" s="1" t="n">
        <v>45957</v>
      </c>
      <c r="D4283" t="inlineStr">
        <is>
          <t>KRONOBERGS LÄN</t>
        </is>
      </c>
      <c r="E4283" t="inlineStr">
        <is>
          <t>LJUNGBY</t>
        </is>
      </c>
      <c r="G4283" t="n">
        <v>0.5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35809-2025</t>
        </is>
      </c>
      <c r="B4284" s="1" t="n">
        <v>45861.42532407407</v>
      </c>
      <c r="C4284" s="1" t="n">
        <v>45957</v>
      </c>
      <c r="D4284" t="inlineStr">
        <is>
          <t>KRONOBERGS LÄN</t>
        </is>
      </c>
      <c r="E4284" t="inlineStr">
        <is>
          <t>UPPVIDINGE</t>
        </is>
      </c>
      <c r="G4284" t="n">
        <v>5.8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18077-2021</t>
        </is>
      </c>
      <c r="B4285" s="1" t="n">
        <v>44302</v>
      </c>
      <c r="C4285" s="1" t="n">
        <v>45957</v>
      </c>
      <c r="D4285" t="inlineStr">
        <is>
          <t>KRONOBERGS LÄN</t>
        </is>
      </c>
      <c r="E4285" t="inlineStr">
        <is>
          <t>TINGSRYD</t>
        </is>
      </c>
      <c r="G4285" t="n">
        <v>20.4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51188-2025</t>
        </is>
      </c>
      <c r="B4286" s="1" t="n">
        <v>45947.62429398148</v>
      </c>
      <c r="C4286" s="1" t="n">
        <v>45957</v>
      </c>
      <c r="D4286" t="inlineStr">
        <is>
          <t>KRONOBERGS LÄN</t>
        </is>
      </c>
      <c r="E4286" t="inlineStr">
        <is>
          <t>VÄXJÖ</t>
        </is>
      </c>
      <c r="G4286" t="n">
        <v>1.2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4107-2025</t>
        </is>
      </c>
      <c r="B4287" s="1" t="n">
        <v>45684.69141203703</v>
      </c>
      <c r="C4287" s="1" t="n">
        <v>45957</v>
      </c>
      <c r="D4287" t="inlineStr">
        <is>
          <t>KRONOBERGS LÄN</t>
        </is>
      </c>
      <c r="E4287" t="inlineStr">
        <is>
          <t>LESSEBO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33841-2025</t>
        </is>
      </c>
      <c r="B4288" s="1" t="n">
        <v>45842.48019675926</v>
      </c>
      <c r="C4288" s="1" t="n">
        <v>45957</v>
      </c>
      <c r="D4288" t="inlineStr">
        <is>
          <t>KRONOBERGS LÄN</t>
        </is>
      </c>
      <c r="E4288" t="inlineStr">
        <is>
          <t>UPPVIDINGE</t>
        </is>
      </c>
      <c r="G4288" t="n">
        <v>0.7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28953-2022</t>
        </is>
      </c>
      <c r="B4289" s="1" t="n">
        <v>44749.61423611111</v>
      </c>
      <c r="C4289" s="1" t="n">
        <v>45957</v>
      </c>
      <c r="D4289" t="inlineStr">
        <is>
          <t>KRONOBERGS LÄN</t>
        </is>
      </c>
      <c r="E4289" t="inlineStr">
        <is>
          <t>TINGSRYD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45918-2023</t>
        </is>
      </c>
      <c r="B4290" s="1" t="n">
        <v>45195.85546296297</v>
      </c>
      <c r="C4290" s="1" t="n">
        <v>45957</v>
      </c>
      <c r="D4290" t="inlineStr">
        <is>
          <t>KRONOBERGS LÄN</t>
        </is>
      </c>
      <c r="E4290" t="inlineStr">
        <is>
          <t>LJUNGBY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35909-2025</t>
        </is>
      </c>
      <c r="B4291" s="1" t="n">
        <v>45862.5112037037</v>
      </c>
      <c r="C4291" s="1" t="n">
        <v>45957</v>
      </c>
      <c r="D4291" t="inlineStr">
        <is>
          <t>KRONOBERGS LÄN</t>
        </is>
      </c>
      <c r="E4291" t="inlineStr">
        <is>
          <t>LESSEBO</t>
        </is>
      </c>
      <c r="F4291" t="inlineStr">
        <is>
          <t>Sveaskog</t>
        </is>
      </c>
      <c r="G4291" t="n">
        <v>2.7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14412-2025</t>
        </is>
      </c>
      <c r="B4292" s="1" t="n">
        <v>45741.47434027777</v>
      </c>
      <c r="C4292" s="1" t="n">
        <v>45957</v>
      </c>
      <c r="D4292" t="inlineStr">
        <is>
          <t>KRONOBERGS LÄN</t>
        </is>
      </c>
      <c r="E4292" t="inlineStr">
        <is>
          <t>LJUNGBY</t>
        </is>
      </c>
      <c r="G4292" t="n">
        <v>3.1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32760-2022</t>
        </is>
      </c>
      <c r="B4293" s="1" t="n">
        <v>44783.91583333333</v>
      </c>
      <c r="C4293" s="1" t="n">
        <v>45957</v>
      </c>
      <c r="D4293" t="inlineStr">
        <is>
          <t>KRONOBERGS LÄN</t>
        </is>
      </c>
      <c r="E4293" t="inlineStr">
        <is>
          <t>ALVESTA</t>
        </is>
      </c>
      <c r="G4293" t="n">
        <v>0.4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36603-2023</t>
        </is>
      </c>
      <c r="B4294" s="1" t="n">
        <v>45153</v>
      </c>
      <c r="C4294" s="1" t="n">
        <v>45957</v>
      </c>
      <c r="D4294" t="inlineStr">
        <is>
          <t>KRONOBERGS LÄN</t>
        </is>
      </c>
      <c r="E4294" t="inlineStr">
        <is>
          <t>UPPVIDINGE</t>
        </is>
      </c>
      <c r="G4294" t="n">
        <v>0.4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36625-2023</t>
        </is>
      </c>
      <c r="B4295" s="1" t="n">
        <v>45153.51409722222</v>
      </c>
      <c r="C4295" s="1" t="n">
        <v>45957</v>
      </c>
      <c r="D4295" t="inlineStr">
        <is>
          <t>KRONOBERGS LÄN</t>
        </is>
      </c>
      <c r="E4295" t="inlineStr">
        <is>
          <t>ALVESTA</t>
        </is>
      </c>
      <c r="G4295" t="n">
        <v>0.7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36627-2023</t>
        </is>
      </c>
      <c r="B4296" s="1" t="n">
        <v>45153.51726851852</v>
      </c>
      <c r="C4296" s="1" t="n">
        <v>45957</v>
      </c>
      <c r="D4296" t="inlineStr">
        <is>
          <t>KRONOBERGS LÄN</t>
        </is>
      </c>
      <c r="E4296" t="inlineStr">
        <is>
          <t>ALVESTA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42860-2025</t>
        </is>
      </c>
      <c r="B4297" s="1" t="n">
        <v>45908.6147337963</v>
      </c>
      <c r="C4297" s="1" t="n">
        <v>45957</v>
      </c>
      <c r="D4297" t="inlineStr">
        <is>
          <t>KRONOBERGS LÄN</t>
        </is>
      </c>
      <c r="E4297" t="inlineStr">
        <is>
          <t>TINGSRYD</t>
        </is>
      </c>
      <c r="G4297" t="n">
        <v>0.6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36815-2023</t>
        </is>
      </c>
      <c r="B4298" s="1" t="n">
        <v>45154.43976851852</v>
      </c>
      <c r="C4298" s="1" t="n">
        <v>45957</v>
      </c>
      <c r="D4298" t="inlineStr">
        <is>
          <t>KRONOBERGS LÄN</t>
        </is>
      </c>
      <c r="E4298" t="inlineStr">
        <is>
          <t>ÄLMHULT</t>
        </is>
      </c>
      <c r="G4298" t="n">
        <v>1.5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42707-2025</t>
        </is>
      </c>
      <c r="B4299" s="1" t="n">
        <v>45905</v>
      </c>
      <c r="C4299" s="1" t="n">
        <v>45957</v>
      </c>
      <c r="D4299" t="inlineStr">
        <is>
          <t>KRONOBERGS LÄN</t>
        </is>
      </c>
      <c r="E4299" t="inlineStr">
        <is>
          <t>LJUNGBY</t>
        </is>
      </c>
      <c r="G4299" t="n">
        <v>2.2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57834-2024</t>
        </is>
      </c>
      <c r="B4300" s="1" t="n">
        <v>45631.39725694444</v>
      </c>
      <c r="C4300" s="1" t="n">
        <v>45957</v>
      </c>
      <c r="D4300" t="inlineStr">
        <is>
          <t>KRONOBERGS LÄN</t>
        </is>
      </c>
      <c r="E4300" t="inlineStr">
        <is>
          <t>VÄXJÖ</t>
        </is>
      </c>
      <c r="G4300" t="n">
        <v>0.9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41973-2023</t>
        </is>
      </c>
      <c r="B4301" s="1" t="n">
        <v>45174</v>
      </c>
      <c r="C4301" s="1" t="n">
        <v>45957</v>
      </c>
      <c r="D4301" t="inlineStr">
        <is>
          <t>KRONOBERGS LÄN</t>
        </is>
      </c>
      <c r="E4301" t="inlineStr">
        <is>
          <t>UPPVIDINGE</t>
        </is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35899-2025</t>
        </is>
      </c>
      <c r="B4302" s="1" t="n">
        <v>45862.48950231481</v>
      </c>
      <c r="C4302" s="1" t="n">
        <v>45957</v>
      </c>
      <c r="D4302" t="inlineStr">
        <is>
          <t>KRONOBERGS LÄN</t>
        </is>
      </c>
      <c r="E4302" t="inlineStr">
        <is>
          <t>LESSEBO</t>
        </is>
      </c>
      <c r="F4302" t="inlineStr">
        <is>
          <t>Sveaskog</t>
        </is>
      </c>
      <c r="G4302" t="n">
        <v>1.4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23662-2025</t>
        </is>
      </c>
      <c r="B4303" s="1" t="n">
        <v>45792.81104166667</v>
      </c>
      <c r="C4303" s="1" t="n">
        <v>45957</v>
      </c>
      <c r="D4303" t="inlineStr">
        <is>
          <t>KRONOBERGS LÄN</t>
        </is>
      </c>
      <c r="E4303" t="inlineStr">
        <is>
          <t>UPPVIDINGE</t>
        </is>
      </c>
      <c r="G4303" t="n">
        <v>1.2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25466-2025</t>
        </is>
      </c>
      <c r="B4304" s="1" t="n">
        <v>45802.48922453704</v>
      </c>
      <c r="C4304" s="1" t="n">
        <v>45957</v>
      </c>
      <c r="D4304" t="inlineStr">
        <is>
          <t>KRONOBERGS LÄN</t>
        </is>
      </c>
      <c r="E4304" t="inlineStr">
        <is>
          <t>MARKARYD</t>
        </is>
      </c>
      <c r="G4304" t="n">
        <v>2.2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16948-2022</t>
        </is>
      </c>
      <c r="B4305" s="1" t="n">
        <v>44676</v>
      </c>
      <c r="C4305" s="1" t="n">
        <v>45957</v>
      </c>
      <c r="D4305" t="inlineStr">
        <is>
          <t>KRONOBERGS LÄN</t>
        </is>
      </c>
      <c r="E4305" t="inlineStr">
        <is>
          <t>VÄXJÖ</t>
        </is>
      </c>
      <c r="F4305" t="inlineStr">
        <is>
          <t>Sveaskog</t>
        </is>
      </c>
      <c r="G4305" t="n">
        <v>0.8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24774-2022</t>
        </is>
      </c>
      <c r="B4306" s="1" t="n">
        <v>44728</v>
      </c>
      <c r="C4306" s="1" t="n">
        <v>45957</v>
      </c>
      <c r="D4306" t="inlineStr">
        <is>
          <t>KRONOBERGS LÄN</t>
        </is>
      </c>
      <c r="E4306" t="inlineStr">
        <is>
          <t>TINGSRYD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24786-2022</t>
        </is>
      </c>
      <c r="B4307" s="1" t="n">
        <v>44728</v>
      </c>
      <c r="C4307" s="1" t="n">
        <v>45957</v>
      </c>
      <c r="D4307" t="inlineStr">
        <is>
          <t>KRONOBERGS LÄN</t>
        </is>
      </c>
      <c r="E4307" t="inlineStr">
        <is>
          <t>TINGSRYD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19001-2025</t>
        </is>
      </c>
      <c r="B4308" s="1" t="n">
        <v>45764.57984953704</v>
      </c>
      <c r="C4308" s="1" t="n">
        <v>45957</v>
      </c>
      <c r="D4308" t="inlineStr">
        <is>
          <t>KRONOBERGS LÄN</t>
        </is>
      </c>
      <c r="E4308" t="inlineStr">
        <is>
          <t>VÄXJÖ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58045-2024</t>
        </is>
      </c>
      <c r="B4309" s="1" t="n">
        <v>45631.78876157408</v>
      </c>
      <c r="C4309" s="1" t="n">
        <v>45957</v>
      </c>
      <c r="D4309" t="inlineStr">
        <is>
          <t>KRONOBERGS LÄN</t>
        </is>
      </c>
      <c r="E4309" t="inlineStr">
        <is>
          <t>ÄLMHULT</t>
        </is>
      </c>
      <c r="G4309" t="n">
        <v>0.8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36037-2025</t>
        </is>
      </c>
      <c r="B4310" s="1" t="n">
        <v>45865.67818287037</v>
      </c>
      <c r="C4310" s="1" t="n">
        <v>45957</v>
      </c>
      <c r="D4310" t="inlineStr">
        <is>
          <t>KRONOBERGS LÄN</t>
        </is>
      </c>
      <c r="E4310" t="inlineStr">
        <is>
          <t>UPPVIDINGE</t>
        </is>
      </c>
      <c r="G4310" t="n">
        <v>0.6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8926-2024</t>
        </is>
      </c>
      <c r="B4311" s="1" t="n">
        <v>45357.39202546296</v>
      </c>
      <c r="C4311" s="1" t="n">
        <v>45957</v>
      </c>
      <c r="D4311" t="inlineStr">
        <is>
          <t>KRONOBERGS LÄN</t>
        </is>
      </c>
      <c r="E4311" t="inlineStr">
        <is>
          <t>UPPVIDINGE</t>
        </is>
      </c>
      <c r="G4311" t="n">
        <v>1.7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22576-2025</t>
        </is>
      </c>
      <c r="B4312" s="1" t="n">
        <v>45789.36847222222</v>
      </c>
      <c r="C4312" s="1" t="n">
        <v>45957</v>
      </c>
      <c r="D4312" t="inlineStr">
        <is>
          <t>KRONOBERGS LÄN</t>
        </is>
      </c>
      <c r="E4312" t="inlineStr">
        <is>
          <t>TINGSRYD</t>
        </is>
      </c>
      <c r="G4312" t="n">
        <v>2.7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42585-2025</t>
        </is>
      </c>
      <c r="B4313" s="1" t="n">
        <v>45905.62797453703</v>
      </c>
      <c r="C4313" s="1" t="n">
        <v>45957</v>
      </c>
      <c r="D4313" t="inlineStr">
        <is>
          <t>KRONOBERGS LÄN</t>
        </is>
      </c>
      <c r="E4313" t="inlineStr">
        <is>
          <t>UPPVIDINGE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42598-2025</t>
        </is>
      </c>
      <c r="B4314" s="1" t="n">
        <v>45905.66465277778</v>
      </c>
      <c r="C4314" s="1" t="n">
        <v>45957</v>
      </c>
      <c r="D4314" t="inlineStr">
        <is>
          <t>KRONOBERGS LÄN</t>
        </is>
      </c>
      <c r="E4314" t="inlineStr">
        <is>
          <t>TINGSRYD</t>
        </is>
      </c>
      <c r="G4314" t="n">
        <v>0.5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40882-2023</t>
        </is>
      </c>
      <c r="B4315" s="1" t="n">
        <v>45173.37136574074</v>
      </c>
      <c r="C4315" s="1" t="n">
        <v>45957</v>
      </c>
      <c r="D4315" t="inlineStr">
        <is>
          <t>KRONOBERGS LÄN</t>
        </is>
      </c>
      <c r="E4315" t="inlineStr">
        <is>
          <t>TINGSRYD</t>
        </is>
      </c>
      <c r="G4315" t="n">
        <v>2.9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3929-2025</t>
        </is>
      </c>
      <c r="B4316" s="1" t="n">
        <v>45684.45225694445</v>
      </c>
      <c r="C4316" s="1" t="n">
        <v>45957</v>
      </c>
      <c r="D4316" t="inlineStr">
        <is>
          <t>KRONOBERGS LÄN</t>
        </is>
      </c>
      <c r="E4316" t="inlineStr">
        <is>
          <t>LJUNGBY</t>
        </is>
      </c>
      <c r="F4316" t="inlineStr">
        <is>
          <t>Sveaskog</t>
        </is>
      </c>
      <c r="G4316" t="n">
        <v>3.3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3991-2025</t>
        </is>
      </c>
      <c r="B4317" s="1" t="n">
        <v>45684.55832175926</v>
      </c>
      <c r="C4317" s="1" t="n">
        <v>45957</v>
      </c>
      <c r="D4317" t="inlineStr">
        <is>
          <t>KRONOBERGS LÄN</t>
        </is>
      </c>
      <c r="E4317" t="inlineStr">
        <is>
          <t>TINGSRYD</t>
        </is>
      </c>
      <c r="G4317" t="n">
        <v>5.2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47425-2023</t>
        </is>
      </c>
      <c r="B4318" s="1" t="n">
        <v>45202</v>
      </c>
      <c r="C4318" s="1" t="n">
        <v>45957</v>
      </c>
      <c r="D4318" t="inlineStr">
        <is>
          <t>KRONOBERGS LÄN</t>
        </is>
      </c>
      <c r="E4318" t="inlineStr">
        <is>
          <t>ÄLMHULT</t>
        </is>
      </c>
      <c r="G4318" t="n">
        <v>2.9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42671-2023</t>
        </is>
      </c>
      <c r="B4319" s="1" t="n">
        <v>45181.56402777778</v>
      </c>
      <c r="C4319" s="1" t="n">
        <v>45957</v>
      </c>
      <c r="D4319" t="inlineStr">
        <is>
          <t>KRONOBERGS LÄN</t>
        </is>
      </c>
      <c r="E4319" t="inlineStr">
        <is>
          <t>MARKARYD</t>
        </is>
      </c>
      <c r="F4319" t="inlineStr">
        <is>
          <t>Sveaskog</t>
        </is>
      </c>
      <c r="G4319" t="n">
        <v>0.6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35955-2025</t>
        </is>
      </c>
      <c r="B4320" s="1" t="n">
        <v>45863.32291666666</v>
      </c>
      <c r="C4320" s="1" t="n">
        <v>45957</v>
      </c>
      <c r="D4320" t="inlineStr">
        <is>
          <t>KRONOBERGS LÄN</t>
        </is>
      </c>
      <c r="E4320" t="inlineStr">
        <is>
          <t>MARKARYD</t>
        </is>
      </c>
      <c r="G4320" t="n">
        <v>0.7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12645-2024</t>
        </is>
      </c>
      <c r="B4321" s="1" t="n">
        <v>45384.34543981482</v>
      </c>
      <c r="C4321" s="1" t="n">
        <v>45957</v>
      </c>
      <c r="D4321" t="inlineStr">
        <is>
          <t>KRONOBERGS LÄN</t>
        </is>
      </c>
      <c r="E4321" t="inlineStr">
        <is>
          <t>VÄXJÖ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51189-2025</t>
        </is>
      </c>
      <c r="B4322" s="1" t="n">
        <v>45947.62445601852</v>
      </c>
      <c r="C4322" s="1" t="n">
        <v>45957</v>
      </c>
      <c r="D4322" t="inlineStr">
        <is>
          <t>KRONOBERGS LÄN</t>
        </is>
      </c>
      <c r="E4322" t="inlineStr">
        <is>
          <t>TINGSRYD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54757-2023</t>
        </is>
      </c>
      <c r="B4323" s="1" t="n">
        <v>45236.44059027778</v>
      </c>
      <c r="C4323" s="1" t="n">
        <v>45957</v>
      </c>
      <c r="D4323" t="inlineStr">
        <is>
          <t>KRONOBERGS LÄN</t>
        </is>
      </c>
      <c r="E4323" t="inlineStr">
        <is>
          <t>VÄXJÖ</t>
        </is>
      </c>
      <c r="G4323" t="n">
        <v>2.2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54759-2023</t>
        </is>
      </c>
      <c r="B4324" s="1" t="n">
        <v>45236.44439814815</v>
      </c>
      <c r="C4324" s="1" t="n">
        <v>45957</v>
      </c>
      <c r="D4324" t="inlineStr">
        <is>
          <t>KRONOBERGS LÄN</t>
        </is>
      </c>
      <c r="E4324" t="inlineStr">
        <is>
          <t>VÄXJÖ</t>
        </is>
      </c>
      <c r="G4324" t="n">
        <v>5.5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42465-2025</t>
        </is>
      </c>
      <c r="B4325" s="1" t="n">
        <v>45905.45804398148</v>
      </c>
      <c r="C4325" s="1" t="n">
        <v>45957</v>
      </c>
      <c r="D4325" t="inlineStr">
        <is>
          <t>KRONOBERGS LÄN</t>
        </is>
      </c>
      <c r="E4325" t="inlineStr">
        <is>
          <t>LJUNGBY</t>
        </is>
      </c>
      <c r="G4325" t="n">
        <v>7.1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42858-2025</t>
        </is>
      </c>
      <c r="B4326" s="1" t="n">
        <v>45908.61346064815</v>
      </c>
      <c r="C4326" s="1" t="n">
        <v>45957</v>
      </c>
      <c r="D4326" t="inlineStr">
        <is>
          <t>KRONOBERGS LÄN</t>
        </is>
      </c>
      <c r="E4326" t="inlineStr">
        <is>
          <t>TINGSRYD</t>
        </is>
      </c>
      <c r="G4326" t="n">
        <v>0.5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29165-2023</t>
        </is>
      </c>
      <c r="B4327" s="1" t="n">
        <v>45097</v>
      </c>
      <c r="C4327" s="1" t="n">
        <v>45957</v>
      </c>
      <c r="D4327" t="inlineStr">
        <is>
          <t>KRONOBERGS LÄN</t>
        </is>
      </c>
      <c r="E4327" t="inlineStr">
        <is>
          <t>VÄXJÖ</t>
        </is>
      </c>
      <c r="F4327" t="inlineStr">
        <is>
          <t>Kyrkan</t>
        </is>
      </c>
      <c r="G4327" t="n">
        <v>6.8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25941-2023</t>
        </is>
      </c>
      <c r="B4328" s="1" t="n">
        <v>45090.69401620371</v>
      </c>
      <c r="C4328" s="1" t="n">
        <v>45957</v>
      </c>
      <c r="D4328" t="inlineStr">
        <is>
          <t>KRONOBERGS LÄN</t>
        </is>
      </c>
      <c r="E4328" t="inlineStr">
        <is>
          <t>TINGSRYD</t>
        </is>
      </c>
      <c r="G4328" t="n">
        <v>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42537-2025</t>
        </is>
      </c>
      <c r="B4329" s="1" t="n">
        <v>45905.56949074074</v>
      </c>
      <c r="C4329" s="1" t="n">
        <v>45957</v>
      </c>
      <c r="D4329" t="inlineStr">
        <is>
          <t>KRONOBERGS LÄN</t>
        </is>
      </c>
      <c r="E4329" t="inlineStr">
        <is>
          <t>VÄXJÖ</t>
        </is>
      </c>
      <c r="G4329" t="n">
        <v>1.7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60010-2024</t>
        </is>
      </c>
      <c r="B4330" s="1" t="n">
        <v>45642.42981481482</v>
      </c>
      <c r="C4330" s="1" t="n">
        <v>45957</v>
      </c>
      <c r="D4330" t="inlineStr">
        <is>
          <t>KRONOBERGS LÄN</t>
        </is>
      </c>
      <c r="E4330" t="inlineStr">
        <is>
          <t>VÄXJÖ</t>
        </is>
      </c>
      <c r="G4330" t="n">
        <v>2.6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42490-2023</t>
        </is>
      </c>
      <c r="B4331" s="1" t="n">
        <v>45180.87385416667</v>
      </c>
      <c r="C4331" s="1" t="n">
        <v>45957</v>
      </c>
      <c r="D4331" t="inlineStr">
        <is>
          <t>KRONOBERGS LÄN</t>
        </is>
      </c>
      <c r="E4331" t="inlineStr">
        <is>
          <t>ÄLMHULT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36036-2025</t>
        </is>
      </c>
      <c r="B4332" s="1" t="n">
        <v>45865</v>
      </c>
      <c r="C4332" s="1" t="n">
        <v>45957</v>
      </c>
      <c r="D4332" t="inlineStr">
        <is>
          <t>KRONOBERGS LÄN</t>
        </is>
      </c>
      <c r="E4332" t="inlineStr">
        <is>
          <t>UPPVIDINGE</t>
        </is>
      </c>
      <c r="G4332" t="n">
        <v>3.9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43254-2024</t>
        </is>
      </c>
      <c r="B4333" s="1" t="n">
        <v>45568.34643518519</v>
      </c>
      <c r="C4333" s="1" t="n">
        <v>45957</v>
      </c>
      <c r="D4333" t="inlineStr">
        <is>
          <t>KRONOBERGS LÄN</t>
        </is>
      </c>
      <c r="E4333" t="inlineStr">
        <is>
          <t>VÄXJÖ</t>
        </is>
      </c>
      <c r="G4333" t="n">
        <v>0.5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37884-2023</t>
        </is>
      </c>
      <c r="B4334" s="1" t="n">
        <v>45160</v>
      </c>
      <c r="C4334" s="1" t="n">
        <v>45957</v>
      </c>
      <c r="D4334" t="inlineStr">
        <is>
          <t>KRONOBERGS LÄN</t>
        </is>
      </c>
      <c r="E4334" t="inlineStr">
        <is>
          <t>MARKARYD</t>
        </is>
      </c>
      <c r="G4334" t="n">
        <v>13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53701-2023</t>
        </is>
      </c>
      <c r="B4335" s="1" t="n">
        <v>45230</v>
      </c>
      <c r="C4335" s="1" t="n">
        <v>45957</v>
      </c>
      <c r="D4335" t="inlineStr">
        <is>
          <t>KRONOBERGS LÄN</t>
        </is>
      </c>
      <c r="E4335" t="inlineStr">
        <is>
          <t>UPPVIDINGE</t>
        </is>
      </c>
      <c r="F4335" t="inlineStr">
        <is>
          <t>Sveaskog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42747-2025</t>
        </is>
      </c>
      <c r="B4336" s="1" t="n">
        <v>45908.43336805556</v>
      </c>
      <c r="C4336" s="1" t="n">
        <v>45957</v>
      </c>
      <c r="D4336" t="inlineStr">
        <is>
          <t>KRONOBERGS LÄN</t>
        </is>
      </c>
      <c r="E4336" t="inlineStr">
        <is>
          <t>LJUNGBY</t>
        </is>
      </c>
      <c r="G4336" t="n">
        <v>3.4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62123-2023</t>
        </is>
      </c>
      <c r="B4337" s="1" t="n">
        <v>45267.31300925926</v>
      </c>
      <c r="C4337" s="1" t="n">
        <v>45957</v>
      </c>
      <c r="D4337" t="inlineStr">
        <is>
          <t>KRONOBERGS LÄN</t>
        </is>
      </c>
      <c r="E4337" t="inlineStr">
        <is>
          <t>VÄXJÖ</t>
        </is>
      </c>
      <c r="G4337" t="n">
        <v>1.5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5893-2025</t>
        </is>
      </c>
      <c r="B4338" s="1" t="n">
        <v>45695.38659722222</v>
      </c>
      <c r="C4338" s="1" t="n">
        <v>45957</v>
      </c>
      <c r="D4338" t="inlineStr">
        <is>
          <t>KRONOBERGS LÄN</t>
        </is>
      </c>
      <c r="E4338" t="inlineStr">
        <is>
          <t>TINGSRYD</t>
        </is>
      </c>
      <c r="G4338" t="n">
        <v>2.6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36035-2025</t>
        </is>
      </c>
      <c r="B4339" s="1" t="n">
        <v>45865.66577546296</v>
      </c>
      <c r="C4339" s="1" t="n">
        <v>45957</v>
      </c>
      <c r="D4339" t="inlineStr">
        <is>
          <t>KRONOBERGS LÄN</t>
        </is>
      </c>
      <c r="E4339" t="inlineStr">
        <is>
          <t>UPPVIDINGE</t>
        </is>
      </c>
      <c r="G4339" t="n">
        <v>0.9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36062-2025</t>
        </is>
      </c>
      <c r="B4340" s="1" t="n">
        <v>45866.39836805555</v>
      </c>
      <c r="C4340" s="1" t="n">
        <v>45957</v>
      </c>
      <c r="D4340" t="inlineStr">
        <is>
          <t>KRONOBERGS LÄN</t>
        </is>
      </c>
      <c r="E4340" t="inlineStr">
        <is>
          <t>ÄLMHULT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14559-2022</t>
        </is>
      </c>
      <c r="B4341" s="1" t="n">
        <v>44655.47528935185</v>
      </c>
      <c r="C4341" s="1" t="n">
        <v>45957</v>
      </c>
      <c r="D4341" t="inlineStr">
        <is>
          <t>KRONOBERGS LÄN</t>
        </is>
      </c>
      <c r="E4341" t="inlineStr">
        <is>
          <t>TINGSRYD</t>
        </is>
      </c>
      <c r="G4341" t="n">
        <v>1.5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66756-2020</t>
        </is>
      </c>
      <c r="B4342" s="1" t="n">
        <v>44179</v>
      </c>
      <c r="C4342" s="1" t="n">
        <v>45957</v>
      </c>
      <c r="D4342" t="inlineStr">
        <is>
          <t>KRONOBERGS LÄN</t>
        </is>
      </c>
      <c r="E4342" t="inlineStr">
        <is>
          <t>TINGSRYD</t>
        </is>
      </c>
      <c r="G4342" t="n">
        <v>0.9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52945-2023</t>
        </is>
      </c>
      <c r="B4343" s="1" t="n">
        <v>45226.57850694445</v>
      </c>
      <c r="C4343" s="1" t="n">
        <v>45957</v>
      </c>
      <c r="D4343" t="inlineStr">
        <is>
          <t>KRONOBERGS LÄN</t>
        </is>
      </c>
      <c r="E4343" t="inlineStr">
        <is>
          <t>TINGSRYD</t>
        </is>
      </c>
      <c r="G4343" t="n">
        <v>5.1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67181-2020</t>
        </is>
      </c>
      <c r="B4344" s="1" t="n">
        <v>44180</v>
      </c>
      <c r="C4344" s="1" t="n">
        <v>45957</v>
      </c>
      <c r="D4344" t="inlineStr">
        <is>
          <t>KRONOBERGS LÄN</t>
        </is>
      </c>
      <c r="E4344" t="inlineStr">
        <is>
          <t>VÄXJÖ</t>
        </is>
      </c>
      <c r="G4344" t="n">
        <v>3.7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31343-2022</t>
        </is>
      </c>
      <c r="B4345" s="1" t="n">
        <v>44774.52144675926</v>
      </c>
      <c r="C4345" s="1" t="n">
        <v>45957</v>
      </c>
      <c r="D4345" t="inlineStr">
        <is>
          <t>KRONOBERGS LÄN</t>
        </is>
      </c>
      <c r="E4345" t="inlineStr">
        <is>
          <t>VÄXJÖ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42718-2025</t>
        </is>
      </c>
      <c r="B4346" s="1" t="n">
        <v>45908.39239583333</v>
      </c>
      <c r="C4346" s="1" t="n">
        <v>45957</v>
      </c>
      <c r="D4346" t="inlineStr">
        <is>
          <t>KRONOBERGS LÄN</t>
        </is>
      </c>
      <c r="E4346" t="inlineStr">
        <is>
          <t>UPPVIDINGE</t>
        </is>
      </c>
      <c r="G4346" t="n">
        <v>2.4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64572-2020</t>
        </is>
      </c>
      <c r="B4347" s="1" t="n">
        <v>44168</v>
      </c>
      <c r="C4347" s="1" t="n">
        <v>45957</v>
      </c>
      <c r="D4347" t="inlineStr">
        <is>
          <t>KRONOBERGS LÄN</t>
        </is>
      </c>
      <c r="E4347" t="inlineStr">
        <is>
          <t>VÄXJÖ</t>
        </is>
      </c>
      <c r="G4347" t="n">
        <v>6.3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13711-2025</t>
        </is>
      </c>
      <c r="B4348" s="1" t="n">
        <v>45737</v>
      </c>
      <c r="C4348" s="1" t="n">
        <v>45957</v>
      </c>
      <c r="D4348" t="inlineStr">
        <is>
          <t>KRONOBERGS LÄN</t>
        </is>
      </c>
      <c r="E4348" t="inlineStr">
        <is>
          <t>UPPVIDINGE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5352-2025</t>
        </is>
      </c>
      <c r="B4349" s="1" t="n">
        <v>45692.56483796296</v>
      </c>
      <c r="C4349" s="1" t="n">
        <v>45957</v>
      </c>
      <c r="D4349" t="inlineStr">
        <is>
          <t>KRONOBERGS LÄN</t>
        </is>
      </c>
      <c r="E4349" t="inlineStr">
        <is>
          <t>VÄXJÖ</t>
        </is>
      </c>
      <c r="G4349" t="n">
        <v>0.9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38736-2023</t>
        </is>
      </c>
      <c r="B4350" s="1" t="n">
        <v>45163.37561342592</v>
      </c>
      <c r="C4350" s="1" t="n">
        <v>45957</v>
      </c>
      <c r="D4350" t="inlineStr">
        <is>
          <t>KRONOBERGS LÄN</t>
        </is>
      </c>
      <c r="E4350" t="inlineStr">
        <is>
          <t>LJUNGBY</t>
        </is>
      </c>
      <c r="G4350" t="n">
        <v>0.3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54072-2024</t>
        </is>
      </c>
      <c r="B4351" s="1" t="n">
        <v>45615</v>
      </c>
      <c r="C4351" s="1" t="n">
        <v>45957</v>
      </c>
      <c r="D4351" t="inlineStr">
        <is>
          <t>KRONOBERGS LÄN</t>
        </is>
      </c>
      <c r="E4351" t="inlineStr">
        <is>
          <t>UPPVIDINGE</t>
        </is>
      </c>
      <c r="G4351" t="n">
        <v>1.8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42765-2025</t>
        </is>
      </c>
      <c r="B4352" s="1" t="n">
        <v>45908.47</v>
      </c>
      <c r="C4352" s="1" t="n">
        <v>45957</v>
      </c>
      <c r="D4352" t="inlineStr">
        <is>
          <t>KRONOBERGS LÄN</t>
        </is>
      </c>
      <c r="E4352" t="inlineStr">
        <is>
          <t>TINGSRYD</t>
        </is>
      </c>
      <c r="G4352" t="n">
        <v>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42787-2025</t>
        </is>
      </c>
      <c r="B4353" s="1" t="n">
        <v>45908.51197916667</v>
      </c>
      <c r="C4353" s="1" t="n">
        <v>45957</v>
      </c>
      <c r="D4353" t="inlineStr">
        <is>
          <t>KRONOBERGS LÄN</t>
        </is>
      </c>
      <c r="E4353" t="inlineStr">
        <is>
          <t>UPPVIDINGE</t>
        </is>
      </c>
      <c r="G4353" t="n">
        <v>2.2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21724-2022</t>
        </is>
      </c>
      <c r="B4354" s="1" t="n">
        <v>44706</v>
      </c>
      <c r="C4354" s="1" t="n">
        <v>45957</v>
      </c>
      <c r="D4354" t="inlineStr">
        <is>
          <t>KRONOBERGS LÄN</t>
        </is>
      </c>
      <c r="E4354" t="inlineStr">
        <is>
          <t>LJUNGBY</t>
        </is>
      </c>
      <c r="G4354" t="n">
        <v>2.1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11341-2025</t>
        </is>
      </c>
      <c r="B4355" s="1" t="n">
        <v>45726.49561342593</v>
      </c>
      <c r="C4355" s="1" t="n">
        <v>45957</v>
      </c>
      <c r="D4355" t="inlineStr">
        <is>
          <t>KRONOBERGS LÄN</t>
        </is>
      </c>
      <c r="E4355" t="inlineStr">
        <is>
          <t>ÄLMHULT</t>
        </is>
      </c>
      <c r="G4355" t="n">
        <v>2.9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54106-2024</t>
        </is>
      </c>
      <c r="B4356" s="1" t="n">
        <v>45616.53303240741</v>
      </c>
      <c r="C4356" s="1" t="n">
        <v>45957</v>
      </c>
      <c r="D4356" t="inlineStr">
        <is>
          <t>KRONOBERGS LÄN</t>
        </is>
      </c>
      <c r="E4356" t="inlineStr">
        <is>
          <t>ÄLMHULT</t>
        </is>
      </c>
      <c r="G4356" t="n">
        <v>5.1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57379-2024</t>
        </is>
      </c>
      <c r="B4357" s="1" t="n">
        <v>45629.67857638889</v>
      </c>
      <c r="C4357" s="1" t="n">
        <v>45957</v>
      </c>
      <c r="D4357" t="inlineStr">
        <is>
          <t>KRONOBERGS LÄN</t>
        </is>
      </c>
      <c r="E4357" t="inlineStr">
        <is>
          <t>TINGSRYD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57382-2024</t>
        </is>
      </c>
      <c r="B4358" s="1" t="n">
        <v>45629.68018518519</v>
      </c>
      <c r="C4358" s="1" t="n">
        <v>45957</v>
      </c>
      <c r="D4358" t="inlineStr">
        <is>
          <t>KRONOBERGS LÄN</t>
        </is>
      </c>
      <c r="E4358" t="inlineStr">
        <is>
          <t>TINGSRYD</t>
        </is>
      </c>
      <c r="G4358" t="n">
        <v>1.3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51557-2025</t>
        </is>
      </c>
      <c r="B4359" s="1" t="n">
        <v>45950.91234953704</v>
      </c>
      <c r="C4359" s="1" t="n">
        <v>45957</v>
      </c>
      <c r="D4359" t="inlineStr">
        <is>
          <t>KRONOBERGS LÄN</t>
        </is>
      </c>
      <c r="E4359" t="inlineStr">
        <is>
          <t>TINGSRYD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36383-2025</t>
        </is>
      </c>
      <c r="B4360" s="1" t="n">
        <v>45868.58482638889</v>
      </c>
      <c r="C4360" s="1" t="n">
        <v>45957</v>
      </c>
      <c r="D4360" t="inlineStr">
        <is>
          <t>KRONOBERGS LÄN</t>
        </is>
      </c>
      <c r="E4360" t="inlineStr">
        <is>
          <t>MARKARYD</t>
        </is>
      </c>
      <c r="G4360" t="n">
        <v>1.7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49564-2023</t>
        </is>
      </c>
      <c r="B4361" s="1" t="n">
        <v>45211.64909722222</v>
      </c>
      <c r="C4361" s="1" t="n">
        <v>45957</v>
      </c>
      <c r="D4361" t="inlineStr">
        <is>
          <t>KRONOBERGS LÄN</t>
        </is>
      </c>
      <c r="E4361" t="inlineStr">
        <is>
          <t>ÄLMHULT</t>
        </is>
      </c>
      <c r="G4361" t="n">
        <v>2.6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57467-2024</t>
        </is>
      </c>
      <c r="B4362" s="1" t="n">
        <v>45630.32984953704</v>
      </c>
      <c r="C4362" s="1" t="n">
        <v>45957</v>
      </c>
      <c r="D4362" t="inlineStr">
        <is>
          <t>KRONOBERGS LÄN</t>
        </is>
      </c>
      <c r="E4362" t="inlineStr">
        <is>
          <t>LJUNGBY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35285-2022</t>
        </is>
      </c>
      <c r="B4363" s="1" t="n">
        <v>44798.41548611111</v>
      </c>
      <c r="C4363" s="1" t="n">
        <v>45957</v>
      </c>
      <c r="D4363" t="inlineStr">
        <is>
          <t>KRONOBERGS LÄN</t>
        </is>
      </c>
      <c r="E4363" t="inlineStr">
        <is>
          <t>MARKARYD</t>
        </is>
      </c>
      <c r="G4363" t="n">
        <v>1.1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51390-2025</t>
        </is>
      </c>
      <c r="B4364" s="1" t="n">
        <v>45950.46835648148</v>
      </c>
      <c r="C4364" s="1" t="n">
        <v>45957</v>
      </c>
      <c r="D4364" t="inlineStr">
        <is>
          <t>KRONOBERGS LÄN</t>
        </is>
      </c>
      <c r="E4364" t="inlineStr">
        <is>
          <t>LJUNGBY</t>
        </is>
      </c>
      <c r="G4364" t="n">
        <v>1.4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36375-2025</t>
        </is>
      </c>
      <c r="B4365" s="1" t="n">
        <v>45868.56194444445</v>
      </c>
      <c r="C4365" s="1" t="n">
        <v>45957</v>
      </c>
      <c r="D4365" t="inlineStr">
        <is>
          <t>KRONOBERGS LÄN</t>
        </is>
      </c>
      <c r="E4365" t="inlineStr">
        <is>
          <t>MARKARYD</t>
        </is>
      </c>
      <c r="G4365" t="n">
        <v>0.6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60746-2024</t>
        </is>
      </c>
      <c r="B4366" s="1" t="n">
        <v>45644.55795138889</v>
      </c>
      <c r="C4366" s="1" t="n">
        <v>45957</v>
      </c>
      <c r="D4366" t="inlineStr">
        <is>
          <t>KRONOBERGS LÄN</t>
        </is>
      </c>
      <c r="E4366" t="inlineStr">
        <is>
          <t>TINGSRYD</t>
        </is>
      </c>
      <c r="G4366" t="n">
        <v>3.8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42367-2025</t>
        </is>
      </c>
      <c r="B4367" s="1" t="n">
        <v>45905.32910879629</v>
      </c>
      <c r="C4367" s="1" t="n">
        <v>45957</v>
      </c>
      <c r="D4367" t="inlineStr">
        <is>
          <t>KRONOBERGS LÄN</t>
        </is>
      </c>
      <c r="E4367" t="inlineStr">
        <is>
          <t>VÄXJÖ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6151-2025</t>
        </is>
      </c>
      <c r="B4368" s="1" t="n">
        <v>45698.40377314815</v>
      </c>
      <c r="C4368" s="1" t="n">
        <v>45957</v>
      </c>
      <c r="D4368" t="inlineStr">
        <is>
          <t>KRONOBERGS LÄN</t>
        </is>
      </c>
      <c r="E4368" t="inlineStr">
        <is>
          <t>TINGSRYD</t>
        </is>
      </c>
      <c r="G4368" t="n">
        <v>4.6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36340-2025</t>
        </is>
      </c>
      <c r="B4369" s="1" t="n">
        <v>45868.46616898148</v>
      </c>
      <c r="C4369" s="1" t="n">
        <v>45957</v>
      </c>
      <c r="D4369" t="inlineStr">
        <is>
          <t>KRONOBERGS LÄN</t>
        </is>
      </c>
      <c r="E4369" t="inlineStr">
        <is>
          <t>ALVESTA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36345-2025</t>
        </is>
      </c>
      <c r="B4370" s="1" t="n">
        <v>45868</v>
      </c>
      <c r="C4370" s="1" t="n">
        <v>45957</v>
      </c>
      <c r="D4370" t="inlineStr">
        <is>
          <t>KRONOBERGS LÄN</t>
        </is>
      </c>
      <c r="E4370" t="inlineStr">
        <is>
          <t>ALVESTA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27013-2025</t>
        </is>
      </c>
      <c r="B4371" s="1" t="n">
        <v>45811.56517361111</v>
      </c>
      <c r="C4371" s="1" t="n">
        <v>45957</v>
      </c>
      <c r="D4371" t="inlineStr">
        <is>
          <t>KRONOBERGS LÄN</t>
        </is>
      </c>
      <c r="E4371" t="inlineStr">
        <is>
          <t>LJUNGBY</t>
        </is>
      </c>
      <c r="G4371" t="n">
        <v>1.7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11742-2025</t>
        </is>
      </c>
      <c r="B4372" s="1" t="n">
        <v>45727.63328703704</v>
      </c>
      <c r="C4372" s="1" t="n">
        <v>45957</v>
      </c>
      <c r="D4372" t="inlineStr">
        <is>
          <t>KRONOBERGS LÄN</t>
        </is>
      </c>
      <c r="E4372" t="inlineStr">
        <is>
          <t>VÄXJÖ</t>
        </is>
      </c>
      <c r="G4372" t="n">
        <v>3.2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28506-2022</t>
        </is>
      </c>
      <c r="B4373" s="1" t="n">
        <v>44748.32376157407</v>
      </c>
      <c r="C4373" s="1" t="n">
        <v>45957</v>
      </c>
      <c r="D4373" t="inlineStr">
        <is>
          <t>KRONOBERGS LÄN</t>
        </is>
      </c>
      <c r="E4373" t="inlineStr">
        <is>
          <t>TINGSRYD</t>
        </is>
      </c>
      <c r="G4373" t="n">
        <v>1.1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51178-2025</t>
        </is>
      </c>
      <c r="B4374" s="1" t="n">
        <v>45947.61274305556</v>
      </c>
      <c r="C4374" s="1" t="n">
        <v>45957</v>
      </c>
      <c r="D4374" t="inlineStr">
        <is>
          <t>KRONOBERGS LÄN</t>
        </is>
      </c>
      <c r="E4374" t="inlineStr">
        <is>
          <t>ÄLMHULT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51190-2025</t>
        </is>
      </c>
      <c r="B4375" s="1" t="n">
        <v>45947.62452546296</v>
      </c>
      <c r="C4375" s="1" t="n">
        <v>45957</v>
      </c>
      <c r="D4375" t="inlineStr">
        <is>
          <t>KRONOBERGS LÄN</t>
        </is>
      </c>
      <c r="E4375" t="inlineStr">
        <is>
          <t>ÄLMHULT</t>
        </is>
      </c>
      <c r="G4375" t="n">
        <v>1.8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49903-2023</t>
        </is>
      </c>
      <c r="B4376" s="1" t="n">
        <v>45214.44184027778</v>
      </c>
      <c r="C4376" s="1" t="n">
        <v>45957</v>
      </c>
      <c r="D4376" t="inlineStr">
        <is>
          <t>KRONOBERGS LÄN</t>
        </is>
      </c>
      <c r="E4376" t="inlineStr">
        <is>
          <t>ÄLMHULT</t>
        </is>
      </c>
      <c r="G4376" t="n">
        <v>0.6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20662-2022</t>
        </is>
      </c>
      <c r="B4377" s="1" t="n">
        <v>44700.65032407407</v>
      </c>
      <c r="C4377" s="1" t="n">
        <v>45957</v>
      </c>
      <c r="D4377" t="inlineStr">
        <is>
          <t>KRONOBERGS LÄN</t>
        </is>
      </c>
      <c r="E4377" t="inlineStr">
        <is>
          <t>TINGSRYD</t>
        </is>
      </c>
      <c r="G4377" t="n">
        <v>2.7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44144-2023</t>
        </is>
      </c>
      <c r="B4378" s="1" t="n">
        <v>45188.4716550926</v>
      </c>
      <c r="C4378" s="1" t="n">
        <v>45957</v>
      </c>
      <c r="D4378" t="inlineStr">
        <is>
          <t>KRONOBERGS LÄN</t>
        </is>
      </c>
      <c r="E4378" t="inlineStr">
        <is>
          <t>LJUNGBY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42654-2023</t>
        </is>
      </c>
      <c r="B4379" s="1" t="n">
        <v>45181.53826388889</v>
      </c>
      <c r="C4379" s="1" t="n">
        <v>45957</v>
      </c>
      <c r="D4379" t="inlineStr">
        <is>
          <t>KRONOBERGS LÄN</t>
        </is>
      </c>
      <c r="E4379" t="inlineStr">
        <is>
          <t>TINGSRYD</t>
        </is>
      </c>
      <c r="G4379" t="n">
        <v>2.7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51463-2025</t>
        </is>
      </c>
      <c r="B4380" s="1" t="n">
        <v>45950.60980324074</v>
      </c>
      <c r="C4380" s="1" t="n">
        <v>45957</v>
      </c>
      <c r="D4380" t="inlineStr">
        <is>
          <t>KRONOBERGS LÄN</t>
        </is>
      </c>
      <c r="E4380" t="inlineStr">
        <is>
          <t>LJUNGBY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39573-2023</t>
        </is>
      </c>
      <c r="B4381" s="1" t="n">
        <v>45167.41748842593</v>
      </c>
      <c r="C4381" s="1" t="n">
        <v>45957</v>
      </c>
      <c r="D4381" t="inlineStr">
        <is>
          <t>KRONOBERGS LÄN</t>
        </is>
      </c>
      <c r="E4381" t="inlineStr">
        <is>
          <t>ÄLMHULT</t>
        </is>
      </c>
      <c r="G4381" t="n">
        <v>4.5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21515-2025</t>
        </is>
      </c>
      <c r="B4382" s="1" t="n">
        <v>45782.63381944445</v>
      </c>
      <c r="C4382" s="1" t="n">
        <v>45957</v>
      </c>
      <c r="D4382" t="inlineStr">
        <is>
          <t>KRONOBERGS LÄN</t>
        </is>
      </c>
      <c r="E4382" t="inlineStr">
        <is>
          <t>VÄXJÖ</t>
        </is>
      </c>
      <c r="G4382" t="n">
        <v>1.7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31469-2023</t>
        </is>
      </c>
      <c r="B4383" s="1" t="n">
        <v>45114.70386574074</v>
      </c>
      <c r="C4383" s="1" t="n">
        <v>45957</v>
      </c>
      <c r="D4383" t="inlineStr">
        <is>
          <t>KRONOBERGS LÄN</t>
        </is>
      </c>
      <c r="E4383" t="inlineStr">
        <is>
          <t>VÄXJÖ</t>
        </is>
      </c>
      <c r="G4383" t="n">
        <v>0.6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38859-2023</t>
        </is>
      </c>
      <c r="B4384" s="1" t="n">
        <v>45163.49982638889</v>
      </c>
      <c r="C4384" s="1" t="n">
        <v>45957</v>
      </c>
      <c r="D4384" t="inlineStr">
        <is>
          <t>KRONOBERGS LÄN</t>
        </is>
      </c>
      <c r="E4384" t="inlineStr">
        <is>
          <t>ALVESTA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51488-2025</t>
        </is>
      </c>
      <c r="B4385" s="1" t="n">
        <v>45950.62487268518</v>
      </c>
      <c r="C4385" s="1" t="n">
        <v>45957</v>
      </c>
      <c r="D4385" t="inlineStr">
        <is>
          <t>KRONOBERGS LÄN</t>
        </is>
      </c>
      <c r="E4385" t="inlineStr">
        <is>
          <t>LJUNGBY</t>
        </is>
      </c>
      <c r="G4385" t="n">
        <v>0.6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30370-2022</t>
        </is>
      </c>
      <c r="B4386" s="1" t="n">
        <v>44760.615</v>
      </c>
      <c r="C4386" s="1" t="n">
        <v>45957</v>
      </c>
      <c r="D4386" t="inlineStr">
        <is>
          <t>KRONOBERGS LÄN</t>
        </is>
      </c>
      <c r="E4386" t="inlineStr">
        <is>
          <t>ÄLMHULT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2292-2025</t>
        </is>
      </c>
      <c r="B4387" s="1" t="n">
        <v>45673.59208333334</v>
      </c>
      <c r="C4387" s="1" t="n">
        <v>45957</v>
      </c>
      <c r="D4387" t="inlineStr">
        <is>
          <t>KRONOBERGS LÄN</t>
        </is>
      </c>
      <c r="E4387" t="inlineStr">
        <is>
          <t>ALVESTA</t>
        </is>
      </c>
      <c r="G4387" t="n">
        <v>2.1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35436-2025</t>
        </is>
      </c>
      <c r="B4388" s="1" t="n">
        <v>45855.4741087963</v>
      </c>
      <c r="C4388" s="1" t="n">
        <v>45957</v>
      </c>
      <c r="D4388" t="inlineStr">
        <is>
          <t>KRONOBERGS LÄN</t>
        </is>
      </c>
      <c r="E4388" t="inlineStr">
        <is>
          <t>ÄLMHULT</t>
        </is>
      </c>
      <c r="G4388" t="n">
        <v>1.3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2302-2025</t>
        </is>
      </c>
      <c r="B4389" s="1" t="n">
        <v>45673.59799768519</v>
      </c>
      <c r="C4389" s="1" t="n">
        <v>45957</v>
      </c>
      <c r="D4389" t="inlineStr">
        <is>
          <t>KRONOBERGS LÄN</t>
        </is>
      </c>
      <c r="E4389" t="inlineStr">
        <is>
          <t>ALVESTA</t>
        </is>
      </c>
      <c r="G4389" t="n">
        <v>0.5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34165-2025</t>
        </is>
      </c>
      <c r="B4390" s="1" t="n">
        <v>45845</v>
      </c>
      <c r="C4390" s="1" t="n">
        <v>45957</v>
      </c>
      <c r="D4390" t="inlineStr">
        <is>
          <t>KRONOBERGS LÄN</t>
        </is>
      </c>
      <c r="E4390" t="inlineStr">
        <is>
          <t>LJUNGBY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25929-2024</t>
        </is>
      </c>
      <c r="B4391" s="1" t="n">
        <v>45467</v>
      </c>
      <c r="C4391" s="1" t="n">
        <v>45957</v>
      </c>
      <c r="D4391" t="inlineStr">
        <is>
          <t>KRONOBERGS LÄN</t>
        </is>
      </c>
      <c r="E4391" t="inlineStr">
        <is>
          <t>ALVESTA</t>
        </is>
      </c>
      <c r="G4391" t="n">
        <v>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36157-2025</t>
        </is>
      </c>
      <c r="B4392" s="1" t="n">
        <v>45867.34890046297</v>
      </c>
      <c r="C4392" s="1" t="n">
        <v>45957</v>
      </c>
      <c r="D4392" t="inlineStr">
        <is>
          <t>KRONOBERGS LÄN</t>
        </is>
      </c>
      <c r="E4392" t="inlineStr">
        <is>
          <t>ÄLMHULT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54015-2023</t>
        </is>
      </c>
      <c r="B4393" s="1" t="n">
        <v>45231</v>
      </c>
      <c r="C4393" s="1" t="n">
        <v>45957</v>
      </c>
      <c r="D4393" t="inlineStr">
        <is>
          <t>KRONOBERGS LÄN</t>
        </is>
      </c>
      <c r="E4393" t="inlineStr">
        <is>
          <t>ALVESTA</t>
        </is>
      </c>
      <c r="G4393" t="n">
        <v>0.7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43267-2025</t>
        </is>
      </c>
      <c r="B4394" s="1" t="n">
        <v>45910.57600694444</v>
      </c>
      <c r="C4394" s="1" t="n">
        <v>45957</v>
      </c>
      <c r="D4394" t="inlineStr">
        <is>
          <t>KRONOBERGS LÄN</t>
        </is>
      </c>
      <c r="E4394" t="inlineStr">
        <is>
          <t>LJUNGBY</t>
        </is>
      </c>
      <c r="G4394" t="n">
        <v>1.7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46065-2024</t>
        </is>
      </c>
      <c r="B4395" s="1" t="n">
        <v>45581.28953703704</v>
      </c>
      <c r="C4395" s="1" t="n">
        <v>45957</v>
      </c>
      <c r="D4395" t="inlineStr">
        <is>
          <t>KRONOBERGS LÄN</t>
        </is>
      </c>
      <c r="E4395" t="inlineStr">
        <is>
          <t>ÄLMHULT</t>
        </is>
      </c>
      <c r="G4395" t="n">
        <v>3.3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2755-2025</t>
        </is>
      </c>
      <c r="B4396" s="1" t="n">
        <v>45677.47734953704</v>
      </c>
      <c r="C4396" s="1" t="n">
        <v>45957</v>
      </c>
      <c r="D4396" t="inlineStr">
        <is>
          <t>KRONOBERGS LÄN</t>
        </is>
      </c>
      <c r="E4396" t="inlineStr">
        <is>
          <t>LESSEBO</t>
        </is>
      </c>
      <c r="G4396" t="n">
        <v>0.5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3277-2025</t>
        </is>
      </c>
      <c r="B4397" s="1" t="n">
        <v>45679.60049768518</v>
      </c>
      <c r="C4397" s="1" t="n">
        <v>45957</v>
      </c>
      <c r="D4397" t="inlineStr">
        <is>
          <t>KRONOBERGS LÄN</t>
        </is>
      </c>
      <c r="E4397" t="inlineStr">
        <is>
          <t>ÄLMHULT</t>
        </is>
      </c>
      <c r="G4397" t="n">
        <v>1.8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3278-2025</t>
        </is>
      </c>
      <c r="B4398" s="1" t="n">
        <v>45679.60159722222</v>
      </c>
      <c r="C4398" s="1" t="n">
        <v>45957</v>
      </c>
      <c r="D4398" t="inlineStr">
        <is>
          <t>KRONOBERGS LÄN</t>
        </is>
      </c>
      <c r="E4398" t="inlineStr">
        <is>
          <t>VÄXJÖ</t>
        </is>
      </c>
      <c r="G4398" t="n">
        <v>0.2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36514-2025</t>
        </is>
      </c>
      <c r="B4399" s="1" t="n">
        <v>45869</v>
      </c>
      <c r="C4399" s="1" t="n">
        <v>45957</v>
      </c>
      <c r="D4399" t="inlineStr">
        <is>
          <t>KRONOBERGS LÄN</t>
        </is>
      </c>
      <c r="E4399" t="inlineStr">
        <is>
          <t>LJUNGBY</t>
        </is>
      </c>
      <c r="F4399" t="inlineStr">
        <is>
          <t>Kyrkan</t>
        </is>
      </c>
      <c r="G4399" t="n">
        <v>6.2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42983-2025</t>
        </is>
      </c>
      <c r="B4400" s="1" t="n">
        <v>45909</v>
      </c>
      <c r="C4400" s="1" t="n">
        <v>45957</v>
      </c>
      <c r="D4400" t="inlineStr">
        <is>
          <t>KRONOBERGS LÄN</t>
        </is>
      </c>
      <c r="E4400" t="inlineStr">
        <is>
          <t>VÄXJÖ</t>
        </is>
      </c>
      <c r="G4400" t="n">
        <v>2.1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42998-2025</t>
        </is>
      </c>
      <c r="B4401" s="1" t="n">
        <v>45909.46054398148</v>
      </c>
      <c r="C4401" s="1" t="n">
        <v>45957</v>
      </c>
      <c r="D4401" t="inlineStr">
        <is>
          <t>KRONOBERGS LÄN</t>
        </is>
      </c>
      <c r="E4401" t="inlineStr">
        <is>
          <t>LJUNGBY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33105-2023</t>
        </is>
      </c>
      <c r="B4402" s="1" t="n">
        <v>45126</v>
      </c>
      <c r="C4402" s="1" t="n">
        <v>45957</v>
      </c>
      <c r="D4402" t="inlineStr">
        <is>
          <t>KRONOBERGS LÄN</t>
        </is>
      </c>
      <c r="E4402" t="inlineStr">
        <is>
          <t>LJUNGBY</t>
        </is>
      </c>
      <c r="G4402" t="n">
        <v>1.4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19336-2021</t>
        </is>
      </c>
      <c r="B4403" s="1" t="n">
        <v>44309</v>
      </c>
      <c r="C4403" s="1" t="n">
        <v>45957</v>
      </c>
      <c r="D4403" t="inlineStr">
        <is>
          <t>KRONOBERGS LÄN</t>
        </is>
      </c>
      <c r="E4403" t="inlineStr">
        <is>
          <t>ALVESTA</t>
        </is>
      </c>
      <c r="G4403" t="n">
        <v>1.9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18823-2022</t>
        </is>
      </c>
      <c r="B4404" s="1" t="n">
        <v>44690.40230324074</v>
      </c>
      <c r="C4404" s="1" t="n">
        <v>45957</v>
      </c>
      <c r="D4404" t="inlineStr">
        <is>
          <t>KRONOBERGS LÄN</t>
        </is>
      </c>
      <c r="E4404" t="inlineStr">
        <is>
          <t>VÄXJÖ</t>
        </is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43311-2025</t>
        </is>
      </c>
      <c r="B4405" s="1" t="n">
        <v>45910.64783564815</v>
      </c>
      <c r="C4405" s="1" t="n">
        <v>45957</v>
      </c>
      <c r="D4405" t="inlineStr">
        <is>
          <t>KRONOBERGS LÄN</t>
        </is>
      </c>
      <c r="E4405" t="inlineStr">
        <is>
          <t>VÄXJÖ</t>
        </is>
      </c>
      <c r="G4405" t="n">
        <v>0.7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43316-2025</t>
        </is>
      </c>
      <c r="B4406" s="1" t="n">
        <v>45910.65425925926</v>
      </c>
      <c r="C4406" s="1" t="n">
        <v>45957</v>
      </c>
      <c r="D4406" t="inlineStr">
        <is>
          <t>KRONOBERGS LÄN</t>
        </is>
      </c>
      <c r="E4406" t="inlineStr">
        <is>
          <t>VÄXJÖ</t>
        </is>
      </c>
      <c r="G4406" t="n">
        <v>3.2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63668-2020</t>
        </is>
      </c>
      <c r="B4407" s="1" t="n">
        <v>44166.36160879629</v>
      </c>
      <c r="C4407" s="1" t="n">
        <v>45957</v>
      </c>
      <c r="D4407" t="inlineStr">
        <is>
          <t>KRONOBERGS LÄN</t>
        </is>
      </c>
      <c r="E4407" t="inlineStr">
        <is>
          <t>LESSEBO</t>
        </is>
      </c>
      <c r="G4407" t="n">
        <v>2.7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63674-2020</t>
        </is>
      </c>
      <c r="B4408" s="1" t="n">
        <v>44166</v>
      </c>
      <c r="C4408" s="1" t="n">
        <v>45957</v>
      </c>
      <c r="D4408" t="inlineStr">
        <is>
          <t>KRONOBERGS LÄN</t>
        </is>
      </c>
      <c r="E4408" t="inlineStr">
        <is>
          <t>LESSEBO</t>
        </is>
      </c>
      <c r="G4408" t="n">
        <v>3.4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3722-2025</t>
        </is>
      </c>
      <c r="B4409" s="1" t="n">
        <v>45681.53275462963</v>
      </c>
      <c r="C4409" s="1" t="n">
        <v>45957</v>
      </c>
      <c r="D4409" t="inlineStr">
        <is>
          <t>KRONOBERGS LÄN</t>
        </is>
      </c>
      <c r="E4409" t="inlineStr">
        <is>
          <t>ALVESTA</t>
        </is>
      </c>
      <c r="G4409" t="n">
        <v>4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3755-2025</t>
        </is>
      </c>
      <c r="B4410" s="1" t="n">
        <v>45681</v>
      </c>
      <c r="C4410" s="1" t="n">
        <v>45957</v>
      </c>
      <c r="D4410" t="inlineStr">
        <is>
          <t>KRONOBERGS LÄN</t>
        </is>
      </c>
      <c r="E4410" t="inlineStr">
        <is>
          <t>VÄXJÖ</t>
        </is>
      </c>
      <c r="F4410" t="inlineStr">
        <is>
          <t>Kyrkan</t>
        </is>
      </c>
      <c r="G4410" t="n">
        <v>1.2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43233-2025</t>
        </is>
      </c>
      <c r="B4411" s="1" t="n">
        <v>45910.50434027778</v>
      </c>
      <c r="C4411" s="1" t="n">
        <v>45957</v>
      </c>
      <c r="D4411" t="inlineStr">
        <is>
          <t>KRONOBERGS LÄN</t>
        </is>
      </c>
      <c r="E4411" t="inlineStr">
        <is>
          <t>UPPVIDINGE</t>
        </is>
      </c>
      <c r="G4411" t="n">
        <v>3.5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6937-2025</t>
        </is>
      </c>
      <c r="B4412" s="1" t="n">
        <v>45701.45875</v>
      </c>
      <c r="C4412" s="1" t="n">
        <v>45957</v>
      </c>
      <c r="D4412" t="inlineStr">
        <is>
          <t>KRONOBERGS LÄN</t>
        </is>
      </c>
      <c r="E4412" t="inlineStr">
        <is>
          <t>TINGSRYD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43284-2025</t>
        </is>
      </c>
      <c r="B4413" s="1" t="n">
        <v>45910.6044212963</v>
      </c>
      <c r="C4413" s="1" t="n">
        <v>45957</v>
      </c>
      <c r="D4413" t="inlineStr">
        <is>
          <t>KRONOBERGS LÄN</t>
        </is>
      </c>
      <c r="E4413" t="inlineStr">
        <is>
          <t>UPPVIDINGE</t>
        </is>
      </c>
      <c r="G4413" t="n">
        <v>1.7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43293-2025</t>
        </is>
      </c>
      <c r="B4414" s="1" t="n">
        <v>45910.62164351852</v>
      </c>
      <c r="C4414" s="1" t="n">
        <v>45957</v>
      </c>
      <c r="D4414" t="inlineStr">
        <is>
          <t>KRONOBERGS LÄN</t>
        </is>
      </c>
      <c r="E4414" t="inlineStr">
        <is>
          <t>VÄXJÖ</t>
        </is>
      </c>
      <c r="G4414" t="n">
        <v>0.7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43297-2025</t>
        </is>
      </c>
      <c r="B4415" s="1" t="n">
        <v>45910.6277662037</v>
      </c>
      <c r="C4415" s="1" t="n">
        <v>45957</v>
      </c>
      <c r="D4415" t="inlineStr">
        <is>
          <t>KRONOBERGS LÄN</t>
        </is>
      </c>
      <c r="E4415" t="inlineStr">
        <is>
          <t>UPPVIDINGE</t>
        </is>
      </c>
      <c r="G4415" t="n">
        <v>5.3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36499-2025</t>
        </is>
      </c>
      <c r="B4416" s="1" t="n">
        <v>45869</v>
      </c>
      <c r="C4416" s="1" t="n">
        <v>45957</v>
      </c>
      <c r="D4416" t="inlineStr">
        <is>
          <t>KRONOBERGS LÄN</t>
        </is>
      </c>
      <c r="E4416" t="inlineStr">
        <is>
          <t>MARKARYD</t>
        </is>
      </c>
      <c r="F4416" t="inlineStr">
        <is>
          <t>Kyrkan</t>
        </is>
      </c>
      <c r="G4416" t="n">
        <v>10.3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36515-2025</t>
        </is>
      </c>
      <c r="B4417" s="1" t="n">
        <v>45869</v>
      </c>
      <c r="C4417" s="1" t="n">
        <v>45957</v>
      </c>
      <c r="D4417" t="inlineStr">
        <is>
          <t>KRONOBERGS LÄN</t>
        </is>
      </c>
      <c r="E4417" t="inlineStr">
        <is>
          <t>LJUNGBY</t>
        </is>
      </c>
      <c r="F4417" t="inlineStr">
        <is>
          <t>Kyrkan</t>
        </is>
      </c>
      <c r="G4417" t="n">
        <v>4.2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3807-2025</t>
        </is>
      </c>
      <c r="B4418" s="1" t="n">
        <v>45681.6758912037</v>
      </c>
      <c r="C4418" s="1" t="n">
        <v>45957</v>
      </c>
      <c r="D4418" t="inlineStr">
        <is>
          <t>KRONOBERGS LÄN</t>
        </is>
      </c>
      <c r="E4418" t="inlineStr">
        <is>
          <t>MARKARYD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3809-2025</t>
        </is>
      </c>
      <c r="B4419" s="1" t="n">
        <v>45681.67857638889</v>
      </c>
      <c r="C4419" s="1" t="n">
        <v>45957</v>
      </c>
      <c r="D4419" t="inlineStr">
        <is>
          <t>KRONOBERGS LÄN</t>
        </is>
      </c>
      <c r="E4419" t="inlineStr">
        <is>
          <t>MARKARYD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28176-2023</t>
        </is>
      </c>
      <c r="B4420" s="1" t="n">
        <v>45099.52606481482</v>
      </c>
      <c r="C4420" s="1" t="n">
        <v>45957</v>
      </c>
      <c r="D4420" t="inlineStr">
        <is>
          <t>KRONOBERGS LÄN</t>
        </is>
      </c>
      <c r="E4420" t="inlineStr">
        <is>
          <t>TINGSRYD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683-2025</t>
        </is>
      </c>
      <c r="B4421" s="1" t="n">
        <v>45664.96449074074</v>
      </c>
      <c r="C4421" s="1" t="n">
        <v>45957</v>
      </c>
      <c r="D4421" t="inlineStr">
        <is>
          <t>KRONOBERGS LÄN</t>
        </is>
      </c>
      <c r="E4421" t="inlineStr">
        <is>
          <t>ALVESTA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51631-2025</t>
        </is>
      </c>
      <c r="B4422" s="1" t="n">
        <v>45951.4234375</v>
      </c>
      <c r="C4422" s="1" t="n">
        <v>45957</v>
      </c>
      <c r="D4422" t="inlineStr">
        <is>
          <t>KRONOBERGS LÄN</t>
        </is>
      </c>
      <c r="E4422" t="inlineStr">
        <is>
          <t>UPPVIDINGE</t>
        </is>
      </c>
      <c r="G4422" t="n">
        <v>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51298-2024</t>
        </is>
      </c>
      <c r="B4423" s="1" t="n">
        <v>45604.26549768518</v>
      </c>
      <c r="C4423" s="1" t="n">
        <v>45957</v>
      </c>
      <c r="D4423" t="inlineStr">
        <is>
          <t>KRONOBERGS LÄN</t>
        </is>
      </c>
      <c r="E4423" t="inlineStr">
        <is>
          <t>UPPVIDINGE</t>
        </is>
      </c>
      <c r="G4423" t="n">
        <v>1.9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41566-2023</t>
        </is>
      </c>
      <c r="B4424" s="1" t="n">
        <v>45175</v>
      </c>
      <c r="C4424" s="1" t="n">
        <v>45957</v>
      </c>
      <c r="D4424" t="inlineStr">
        <is>
          <t>KRONOBERGS LÄN</t>
        </is>
      </c>
      <c r="E4424" t="inlineStr">
        <is>
          <t>ÄLMHULT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41577-2023</t>
        </is>
      </c>
      <c r="B4425" s="1" t="n">
        <v>45175</v>
      </c>
      <c r="C4425" s="1" t="n">
        <v>45957</v>
      </c>
      <c r="D4425" t="inlineStr">
        <is>
          <t>KRONOBERGS LÄN</t>
        </is>
      </c>
      <c r="E4425" t="inlineStr">
        <is>
          <t>ÄLMHULT</t>
        </is>
      </c>
      <c r="G4425" t="n">
        <v>0.9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32437-2025</t>
        </is>
      </c>
      <c r="B4426" s="1" t="n">
        <v>45838.37465277778</v>
      </c>
      <c r="C4426" s="1" t="n">
        <v>45957</v>
      </c>
      <c r="D4426" t="inlineStr">
        <is>
          <t>KRONOBERGS LÄN</t>
        </is>
      </c>
      <c r="E4426" t="inlineStr">
        <is>
          <t>UPPVIDINGE</t>
        </is>
      </c>
      <c r="G4426" t="n">
        <v>2.5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51638-2025</t>
        </is>
      </c>
      <c r="B4427" s="1" t="n">
        <v>45951.44193287037</v>
      </c>
      <c r="C4427" s="1" t="n">
        <v>45957</v>
      </c>
      <c r="D4427" t="inlineStr">
        <is>
          <t>KRONOBERGS LÄN</t>
        </is>
      </c>
      <c r="E4427" t="inlineStr">
        <is>
          <t>LJUNGBY</t>
        </is>
      </c>
      <c r="G4427" t="n">
        <v>2.4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51636-2025</t>
        </is>
      </c>
      <c r="B4428" s="1" t="n">
        <v>45951.43425925926</v>
      </c>
      <c r="C4428" s="1" t="n">
        <v>45957</v>
      </c>
      <c r="D4428" t="inlineStr">
        <is>
          <t>KRONOBERGS LÄN</t>
        </is>
      </c>
      <c r="E4428" t="inlineStr">
        <is>
          <t>TINGSRYD</t>
        </is>
      </c>
      <c r="G4428" t="n">
        <v>1.6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20054-2025</t>
        </is>
      </c>
      <c r="B4429" s="1" t="n">
        <v>45772.40309027778</v>
      </c>
      <c r="C4429" s="1" t="n">
        <v>45957</v>
      </c>
      <c r="D4429" t="inlineStr">
        <is>
          <t>KRONOBERGS LÄN</t>
        </is>
      </c>
      <c r="E4429" t="inlineStr">
        <is>
          <t>LESSEBO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51885-2025</t>
        </is>
      </c>
      <c r="B4430" s="1" t="n">
        <v>45952.40800925926</v>
      </c>
      <c r="C4430" s="1" t="n">
        <v>45957</v>
      </c>
      <c r="D4430" t="inlineStr">
        <is>
          <t>KRONOBERGS LÄN</t>
        </is>
      </c>
      <c r="E4430" t="inlineStr">
        <is>
          <t>ALVESTA</t>
        </is>
      </c>
      <c r="G4430" t="n">
        <v>0.8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52757-2024</t>
        </is>
      </c>
      <c r="B4431" s="1" t="n">
        <v>45610.50424768519</v>
      </c>
      <c r="C4431" s="1" t="n">
        <v>45957</v>
      </c>
      <c r="D4431" t="inlineStr">
        <is>
          <t>KRONOBERGS LÄN</t>
        </is>
      </c>
      <c r="E4431" t="inlineStr">
        <is>
          <t>ÄLMHULT</t>
        </is>
      </c>
      <c r="G4431" t="n">
        <v>3.1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58648-2024</t>
        </is>
      </c>
      <c r="B4432" s="1" t="n">
        <v>45635.5952662037</v>
      </c>
      <c r="C4432" s="1" t="n">
        <v>45957</v>
      </c>
      <c r="D4432" t="inlineStr">
        <is>
          <t>KRONOBERGS LÄN</t>
        </is>
      </c>
      <c r="E4432" t="inlineStr">
        <is>
          <t>ALVESTA</t>
        </is>
      </c>
      <c r="G4432" t="n">
        <v>0.7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21234-2022</t>
        </is>
      </c>
      <c r="B4433" s="1" t="n">
        <v>44705</v>
      </c>
      <c r="C4433" s="1" t="n">
        <v>45957</v>
      </c>
      <c r="D4433" t="inlineStr">
        <is>
          <t>KRONOBERGS LÄN</t>
        </is>
      </c>
      <c r="E4433" t="inlineStr">
        <is>
          <t>TINGSRYD</t>
        </is>
      </c>
      <c r="G4433" t="n">
        <v>14.9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21274-2022</t>
        </is>
      </c>
      <c r="B4434" s="1" t="n">
        <v>44705.44402777778</v>
      </c>
      <c r="C4434" s="1" t="n">
        <v>45957</v>
      </c>
      <c r="D4434" t="inlineStr">
        <is>
          <t>KRONOBERGS LÄN</t>
        </is>
      </c>
      <c r="E4434" t="inlineStr">
        <is>
          <t>VÄXJÖ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21745-2022</t>
        </is>
      </c>
      <c r="B4435" s="1" t="n">
        <v>44708</v>
      </c>
      <c r="C4435" s="1" t="n">
        <v>45957</v>
      </c>
      <c r="D4435" t="inlineStr">
        <is>
          <t>KRONOBERGS LÄN</t>
        </is>
      </c>
      <c r="E4435" t="inlineStr">
        <is>
          <t>LESSEBO</t>
        </is>
      </c>
      <c r="G4435" t="n">
        <v>9.699999999999999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38005-2025</t>
        </is>
      </c>
      <c r="B4436" s="1" t="n">
        <v>45882</v>
      </c>
      <c r="C4436" s="1" t="n">
        <v>45957</v>
      </c>
      <c r="D4436" t="inlineStr">
        <is>
          <t>KRONOBERGS LÄN</t>
        </is>
      </c>
      <c r="E4436" t="inlineStr">
        <is>
          <t>MARKARYD</t>
        </is>
      </c>
      <c r="G4436" t="n">
        <v>0.2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36463-2025</t>
        </is>
      </c>
      <c r="B4437" s="1" t="n">
        <v>45869</v>
      </c>
      <c r="C4437" s="1" t="n">
        <v>45957</v>
      </c>
      <c r="D4437" t="inlineStr">
        <is>
          <t>KRONOBERGS LÄN</t>
        </is>
      </c>
      <c r="E4437" t="inlineStr">
        <is>
          <t>VÄXJÖ</t>
        </is>
      </c>
      <c r="F4437" t="inlineStr">
        <is>
          <t>Kyrkan</t>
        </is>
      </c>
      <c r="G4437" t="n">
        <v>5.3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51589-2025</t>
        </is>
      </c>
      <c r="B4438" s="1" t="n">
        <v>45951.3629050926</v>
      </c>
      <c r="C4438" s="1" t="n">
        <v>45957</v>
      </c>
      <c r="D4438" t="inlineStr">
        <is>
          <t>KRONOBERGS LÄN</t>
        </is>
      </c>
      <c r="E4438" t="inlineStr">
        <is>
          <t>ÄLMHULT</t>
        </is>
      </c>
      <c r="G4438" t="n">
        <v>14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28179-2021</t>
        </is>
      </c>
      <c r="B4439" s="1" t="n">
        <v>44355.61238425926</v>
      </c>
      <c r="C4439" s="1" t="n">
        <v>45957</v>
      </c>
      <c r="D4439" t="inlineStr">
        <is>
          <t>KRONOBERGS LÄN</t>
        </is>
      </c>
      <c r="E4439" t="inlineStr">
        <is>
          <t>VÄXJÖ</t>
        </is>
      </c>
      <c r="G4439" t="n">
        <v>2.5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36460-2025</t>
        </is>
      </c>
      <c r="B4440" s="1" t="n">
        <v>45869</v>
      </c>
      <c r="C4440" s="1" t="n">
        <v>45957</v>
      </c>
      <c r="D4440" t="inlineStr">
        <is>
          <t>KRONOBERGS LÄN</t>
        </is>
      </c>
      <c r="E4440" t="inlineStr">
        <is>
          <t>LJUNGBY</t>
        </is>
      </c>
      <c r="F4440" t="inlineStr">
        <is>
          <t>Kyrkan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26421-2024</t>
        </is>
      </c>
      <c r="B4441" s="1" t="n">
        <v>45469.46677083334</v>
      </c>
      <c r="C4441" s="1" t="n">
        <v>45957</v>
      </c>
      <c r="D4441" t="inlineStr">
        <is>
          <t>KRONOBERGS LÄN</t>
        </is>
      </c>
      <c r="E4441" t="inlineStr">
        <is>
          <t>TINGSRYD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16990-2023</t>
        </is>
      </c>
      <c r="B4442" s="1" t="n">
        <v>45033</v>
      </c>
      <c r="C4442" s="1" t="n">
        <v>45957</v>
      </c>
      <c r="D4442" t="inlineStr">
        <is>
          <t>KRONOBERGS LÄN</t>
        </is>
      </c>
      <c r="E4442" t="inlineStr">
        <is>
          <t>VÄXJÖ</t>
        </is>
      </c>
      <c r="F4442" t="inlineStr">
        <is>
          <t>Övriga Aktiebolag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10860-2025</t>
        </is>
      </c>
      <c r="B4443" s="1" t="n">
        <v>45722.59981481481</v>
      </c>
      <c r="C4443" s="1" t="n">
        <v>45957</v>
      </c>
      <c r="D4443" t="inlineStr">
        <is>
          <t>KRONOBERGS LÄN</t>
        </is>
      </c>
      <c r="E4443" t="inlineStr">
        <is>
          <t>ALVESTA</t>
        </is>
      </c>
      <c r="G4443" t="n">
        <v>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36441-2025</t>
        </is>
      </c>
      <c r="B4444" s="1" t="n">
        <v>45869.39628472222</v>
      </c>
      <c r="C4444" s="1" t="n">
        <v>45957</v>
      </c>
      <c r="D4444" t="inlineStr">
        <is>
          <t>KRONOBERGS LÄN</t>
        </is>
      </c>
      <c r="E4444" t="inlineStr">
        <is>
          <t>UPPVIDINGE</t>
        </is>
      </c>
      <c r="G4444" t="n">
        <v>2.6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36513-2025</t>
        </is>
      </c>
      <c r="B4445" s="1" t="n">
        <v>45869</v>
      </c>
      <c r="C4445" s="1" t="n">
        <v>45957</v>
      </c>
      <c r="D4445" t="inlineStr">
        <is>
          <t>KRONOBERGS LÄN</t>
        </is>
      </c>
      <c r="E4445" t="inlineStr">
        <is>
          <t>LJUNGBY</t>
        </is>
      </c>
      <c r="F4445" t="inlineStr">
        <is>
          <t>Kyrkan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14172-2022</t>
        </is>
      </c>
      <c r="B4446" s="1" t="n">
        <v>44651</v>
      </c>
      <c r="C4446" s="1" t="n">
        <v>45957</v>
      </c>
      <c r="D4446" t="inlineStr">
        <is>
          <t>KRONOBERGS LÄN</t>
        </is>
      </c>
      <c r="E4446" t="inlineStr">
        <is>
          <t>VÄXJÖ</t>
        </is>
      </c>
      <c r="G4446" t="n">
        <v>2.5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43827-2023</t>
        </is>
      </c>
      <c r="B4447" s="1" t="n">
        <v>45187</v>
      </c>
      <c r="C4447" s="1" t="n">
        <v>45957</v>
      </c>
      <c r="D4447" t="inlineStr">
        <is>
          <t>KRONOBERGS LÄN</t>
        </is>
      </c>
      <c r="E4447" t="inlineStr">
        <is>
          <t>ÄLMHULT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11619-2025</t>
        </is>
      </c>
      <c r="B4448" s="1" t="n">
        <v>45727.4515625</v>
      </c>
      <c r="C4448" s="1" t="n">
        <v>45957</v>
      </c>
      <c r="D4448" t="inlineStr">
        <is>
          <t>KRONOBERGS LÄN</t>
        </is>
      </c>
      <c r="E4448" t="inlineStr">
        <is>
          <t>TINGSRYD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52085-2025</t>
        </is>
      </c>
      <c r="B4449" s="1" t="n">
        <v>45952.66959490741</v>
      </c>
      <c r="C4449" s="1" t="n">
        <v>45957</v>
      </c>
      <c r="D4449" t="inlineStr">
        <is>
          <t>KRONOBERGS LÄN</t>
        </is>
      </c>
      <c r="E4449" t="inlineStr">
        <is>
          <t>VÄXJÖ</t>
        </is>
      </c>
      <c r="G4449" t="n">
        <v>2.3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13362-2023</t>
        </is>
      </c>
      <c r="B4450" s="1" t="n">
        <v>45005.46736111111</v>
      </c>
      <c r="C4450" s="1" t="n">
        <v>45957</v>
      </c>
      <c r="D4450" t="inlineStr">
        <is>
          <t>KRONOBERGS LÄN</t>
        </is>
      </c>
      <c r="E4450" t="inlineStr">
        <is>
          <t>ALVESTA</t>
        </is>
      </c>
      <c r="G4450" t="n">
        <v>2.1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24556-2024</t>
        </is>
      </c>
      <c r="B4451" s="1" t="n">
        <v>45460.43055555555</v>
      </c>
      <c r="C4451" s="1" t="n">
        <v>45957</v>
      </c>
      <c r="D4451" t="inlineStr">
        <is>
          <t>KRONOBERGS LÄN</t>
        </is>
      </c>
      <c r="E4451" t="inlineStr">
        <is>
          <t>VÄXJÖ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54636-2024</t>
        </is>
      </c>
      <c r="B4452" s="1" t="n">
        <v>45617.87607638889</v>
      </c>
      <c r="C4452" s="1" t="n">
        <v>45957</v>
      </c>
      <c r="D4452" t="inlineStr">
        <is>
          <t>KRONOBERGS LÄN</t>
        </is>
      </c>
      <c r="E4452" t="inlineStr">
        <is>
          <t>TINGSRYD</t>
        </is>
      </c>
      <c r="G4452" t="n">
        <v>1.9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68212-2021</t>
        </is>
      </c>
      <c r="B4453" s="1" t="n">
        <v>44526.55567129629</v>
      </c>
      <c r="C4453" s="1" t="n">
        <v>45957</v>
      </c>
      <c r="D4453" t="inlineStr">
        <is>
          <t>KRONOBERGS LÄN</t>
        </is>
      </c>
      <c r="E4453" t="inlineStr">
        <is>
          <t>ÄLMHULT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43227-2025</t>
        </is>
      </c>
      <c r="B4454" s="1" t="n">
        <v>45910.49222222222</v>
      </c>
      <c r="C4454" s="1" t="n">
        <v>45957</v>
      </c>
      <c r="D4454" t="inlineStr">
        <is>
          <t>KRONOBERGS LÄN</t>
        </is>
      </c>
      <c r="E4454" t="inlineStr">
        <is>
          <t>ALVESTA</t>
        </is>
      </c>
      <c r="G4454" t="n">
        <v>3.8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1686-2025</t>
        </is>
      </c>
      <c r="B4455" s="1" t="n">
        <v>45670.69885416667</v>
      </c>
      <c r="C4455" s="1" t="n">
        <v>45957</v>
      </c>
      <c r="D4455" t="inlineStr">
        <is>
          <t>KRONOBERGS LÄN</t>
        </is>
      </c>
      <c r="E4455" t="inlineStr">
        <is>
          <t>ALVESTA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27491-2021</t>
        </is>
      </c>
      <c r="B4456" s="1" t="n">
        <v>44351.62145833333</v>
      </c>
      <c r="C4456" s="1" t="n">
        <v>45957</v>
      </c>
      <c r="D4456" t="inlineStr">
        <is>
          <t>KRONOBERGS LÄN</t>
        </is>
      </c>
      <c r="E4456" t="inlineStr">
        <is>
          <t>VÄXJÖ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51556-2025</t>
        </is>
      </c>
      <c r="B4457" s="1" t="n">
        <v>45950.91074074074</v>
      </c>
      <c r="C4457" s="1" t="n">
        <v>45957</v>
      </c>
      <c r="D4457" t="inlineStr">
        <is>
          <t>KRONOBERGS LÄN</t>
        </is>
      </c>
      <c r="E4457" t="inlineStr">
        <is>
          <t>TINGSRYD</t>
        </is>
      </c>
      <c r="G4457" t="n">
        <v>0.9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43844-2023</t>
        </is>
      </c>
      <c r="B4458" s="1" t="n">
        <v>45187.59305555555</v>
      </c>
      <c r="C4458" s="1" t="n">
        <v>45957</v>
      </c>
      <c r="D4458" t="inlineStr">
        <is>
          <t>KRONOBERGS LÄN</t>
        </is>
      </c>
      <c r="E4458" t="inlineStr">
        <is>
          <t>LJUNGBY</t>
        </is>
      </c>
      <c r="G4458" t="n">
        <v>1.9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36504-2025</t>
        </is>
      </c>
      <c r="B4459" s="1" t="n">
        <v>45869</v>
      </c>
      <c r="C4459" s="1" t="n">
        <v>45957</v>
      </c>
      <c r="D4459" t="inlineStr">
        <is>
          <t>KRONOBERGS LÄN</t>
        </is>
      </c>
      <c r="E4459" t="inlineStr">
        <is>
          <t>MARKARYD</t>
        </is>
      </c>
      <c r="F4459" t="inlineStr">
        <is>
          <t>Kyrkan</t>
        </is>
      </c>
      <c r="G4459" t="n">
        <v>8.300000000000001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47393-2022</t>
        </is>
      </c>
      <c r="B4460" s="1" t="n">
        <v>44852</v>
      </c>
      <c r="C4460" s="1" t="n">
        <v>45957</v>
      </c>
      <c r="D4460" t="inlineStr">
        <is>
          <t>KRONOBERGS LÄN</t>
        </is>
      </c>
      <c r="E4460" t="inlineStr">
        <is>
          <t>TINGSRYD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36462-2025</t>
        </is>
      </c>
      <c r="B4461" s="1" t="n">
        <v>45869</v>
      </c>
      <c r="C4461" s="1" t="n">
        <v>45957</v>
      </c>
      <c r="D4461" t="inlineStr">
        <is>
          <t>KRONOBERGS LÄN</t>
        </is>
      </c>
      <c r="E4461" t="inlineStr">
        <is>
          <t>VÄXJÖ</t>
        </is>
      </c>
      <c r="F4461" t="inlineStr">
        <is>
          <t>Kyrkan</t>
        </is>
      </c>
      <c r="G4461" t="n">
        <v>3.2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15275-2024</t>
        </is>
      </c>
      <c r="B4462" s="1" t="n">
        <v>45400.58571759259</v>
      </c>
      <c r="C4462" s="1" t="n">
        <v>45957</v>
      </c>
      <c r="D4462" t="inlineStr">
        <is>
          <t>KRONOBERGS LÄN</t>
        </is>
      </c>
      <c r="E4462" t="inlineStr">
        <is>
          <t>MARKARYD</t>
        </is>
      </c>
      <c r="G4462" t="n">
        <v>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39603-2022</t>
        </is>
      </c>
      <c r="B4463" s="1" t="n">
        <v>44818.62685185186</v>
      </c>
      <c r="C4463" s="1" t="n">
        <v>45957</v>
      </c>
      <c r="D4463" t="inlineStr">
        <is>
          <t>KRONOBERGS LÄN</t>
        </is>
      </c>
      <c r="E4463" t="inlineStr">
        <is>
          <t>LESSEBO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30097-2022</t>
        </is>
      </c>
      <c r="B4464" s="1" t="n">
        <v>44757</v>
      </c>
      <c r="C4464" s="1" t="n">
        <v>45957</v>
      </c>
      <c r="D4464" t="inlineStr">
        <is>
          <t>KRONOBERGS LÄN</t>
        </is>
      </c>
      <c r="E4464" t="inlineStr">
        <is>
          <t>UPPVIDINGE</t>
        </is>
      </c>
      <c r="F4464" t="inlineStr">
        <is>
          <t>Sveaskog</t>
        </is>
      </c>
      <c r="G4464" t="n">
        <v>1.8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18269-2024</t>
        </is>
      </c>
      <c r="B4465" s="1" t="n">
        <v>45421.62476851852</v>
      </c>
      <c r="C4465" s="1" t="n">
        <v>45957</v>
      </c>
      <c r="D4465" t="inlineStr">
        <is>
          <t>KRONOBERGS LÄN</t>
        </is>
      </c>
      <c r="E4465" t="inlineStr">
        <is>
          <t>VÄXJÖ</t>
        </is>
      </c>
      <c r="G4465" t="n">
        <v>2.9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44141-2023</t>
        </is>
      </c>
      <c r="B4466" s="1" t="n">
        <v>45188.47006944445</v>
      </c>
      <c r="C4466" s="1" t="n">
        <v>45957</v>
      </c>
      <c r="D4466" t="inlineStr">
        <is>
          <t>KRONOBERGS LÄN</t>
        </is>
      </c>
      <c r="E4466" t="inlineStr">
        <is>
          <t>VÄXJÖ</t>
        </is>
      </c>
      <c r="G4466" t="n">
        <v>2.2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28991-2024</t>
        </is>
      </c>
      <c r="B4467" s="1" t="n">
        <v>45481.49108796296</v>
      </c>
      <c r="C4467" s="1" t="n">
        <v>45957</v>
      </c>
      <c r="D4467" t="inlineStr">
        <is>
          <t>KRONOBERGS LÄN</t>
        </is>
      </c>
      <c r="E4467" t="inlineStr">
        <is>
          <t>LJUNGBY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32498-2023</t>
        </is>
      </c>
      <c r="B4468" s="1" t="n">
        <v>45121</v>
      </c>
      <c r="C4468" s="1" t="n">
        <v>45957</v>
      </c>
      <c r="D4468" t="inlineStr">
        <is>
          <t>KRONOBERGS LÄN</t>
        </is>
      </c>
      <c r="E4468" t="inlineStr">
        <is>
          <t>VÄXJÖ</t>
        </is>
      </c>
      <c r="G4468" t="n">
        <v>1.4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32523-2023</t>
        </is>
      </c>
      <c r="B4469" s="1" t="n">
        <v>45121.37194444444</v>
      </c>
      <c r="C4469" s="1" t="n">
        <v>45957</v>
      </c>
      <c r="D4469" t="inlineStr">
        <is>
          <t>KRONOBERGS LÄN</t>
        </is>
      </c>
      <c r="E4469" t="inlineStr">
        <is>
          <t>TINGSRYD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57235-2024</t>
        </is>
      </c>
      <c r="B4470" s="1" t="n">
        <v>45629.54510416667</v>
      </c>
      <c r="C4470" s="1" t="n">
        <v>45957</v>
      </c>
      <c r="D4470" t="inlineStr">
        <is>
          <t>KRONOBERGS LÄN</t>
        </is>
      </c>
      <c r="E4470" t="inlineStr">
        <is>
          <t>ALVESTA</t>
        </is>
      </c>
      <c r="G4470" t="n">
        <v>1.3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65094-2023</t>
        </is>
      </c>
      <c r="B4471" s="1" t="n">
        <v>45288</v>
      </c>
      <c r="C4471" s="1" t="n">
        <v>45957</v>
      </c>
      <c r="D4471" t="inlineStr">
        <is>
          <t>KRONOBERGS LÄN</t>
        </is>
      </c>
      <c r="E4471" t="inlineStr">
        <is>
          <t>ALVESTA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35434-2025</t>
        </is>
      </c>
      <c r="B4472" s="1" t="n">
        <v>45854</v>
      </c>
      <c r="C4472" s="1" t="n">
        <v>45957</v>
      </c>
      <c r="D4472" t="inlineStr">
        <is>
          <t>KRONOBERGS LÄN</t>
        </is>
      </c>
      <c r="E4472" t="inlineStr">
        <is>
          <t>ALVESTA</t>
        </is>
      </c>
      <c r="G4472" t="n">
        <v>4.7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32466-2022</t>
        </is>
      </c>
      <c r="B4473" s="1" t="n">
        <v>44782</v>
      </c>
      <c r="C4473" s="1" t="n">
        <v>45957</v>
      </c>
      <c r="D4473" t="inlineStr">
        <is>
          <t>KRONOBERGS LÄN</t>
        </is>
      </c>
      <c r="E4473" t="inlineStr">
        <is>
          <t>VÄXJÖ</t>
        </is>
      </c>
      <c r="F4473" t="inlineStr">
        <is>
          <t>Kyrkan</t>
        </is>
      </c>
      <c r="G4473" t="n">
        <v>4.4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11800-2021</t>
        </is>
      </c>
      <c r="B4474" s="1" t="n">
        <v>44265</v>
      </c>
      <c r="C4474" s="1" t="n">
        <v>45957</v>
      </c>
      <c r="D4474" t="inlineStr">
        <is>
          <t>KRONOBERGS LÄN</t>
        </is>
      </c>
      <c r="E4474" t="inlineStr">
        <is>
          <t>TINGSRYD</t>
        </is>
      </c>
      <c r="G4474" t="n">
        <v>1.4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41823-2023</t>
        </is>
      </c>
      <c r="B4475" s="1" t="n">
        <v>45176.58175925926</v>
      </c>
      <c r="C4475" s="1" t="n">
        <v>45957</v>
      </c>
      <c r="D4475" t="inlineStr">
        <is>
          <t>KRONOBERGS LÄN</t>
        </is>
      </c>
      <c r="E4475" t="inlineStr">
        <is>
          <t>VÄXJÖ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59321-2024</t>
        </is>
      </c>
      <c r="B4476" s="1" t="n">
        <v>45637.70924768518</v>
      </c>
      <c r="C4476" s="1" t="n">
        <v>45957</v>
      </c>
      <c r="D4476" t="inlineStr">
        <is>
          <t>KRONOBERGS LÄN</t>
        </is>
      </c>
      <c r="E4476" t="inlineStr">
        <is>
          <t>LESSEBO</t>
        </is>
      </c>
      <c r="F4476" t="inlineStr">
        <is>
          <t>Sveaskog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27191-2022</t>
        </is>
      </c>
      <c r="B4477" s="1" t="n">
        <v>44741.58899305556</v>
      </c>
      <c r="C4477" s="1" t="n">
        <v>45957</v>
      </c>
      <c r="D4477" t="inlineStr">
        <is>
          <t>KRONOBERGS LÄN</t>
        </is>
      </c>
      <c r="E4477" t="inlineStr">
        <is>
          <t>LESSEBO</t>
        </is>
      </c>
      <c r="G4477" t="n">
        <v>4.5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29516-2022</t>
        </is>
      </c>
      <c r="B4478" s="1" t="n">
        <v>44753.66082175926</v>
      </c>
      <c r="C4478" s="1" t="n">
        <v>45957</v>
      </c>
      <c r="D4478" t="inlineStr">
        <is>
          <t>KRONOBERGS LÄN</t>
        </is>
      </c>
      <c r="E4478" t="inlineStr">
        <is>
          <t>TINGSRYD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1947-2024</t>
        </is>
      </c>
      <c r="B4479" s="1" t="n">
        <v>45308.48898148148</v>
      </c>
      <c r="C4479" s="1" t="n">
        <v>45957</v>
      </c>
      <c r="D4479" t="inlineStr">
        <is>
          <t>KRONOBERGS LÄN</t>
        </is>
      </c>
      <c r="E4479" t="inlineStr">
        <is>
          <t>TINGSRYD</t>
        </is>
      </c>
      <c r="G4479" t="n">
        <v>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43217-2025</t>
        </is>
      </c>
      <c r="B4480" s="1" t="n">
        <v>45910.46872685185</v>
      </c>
      <c r="C4480" s="1" t="n">
        <v>45957</v>
      </c>
      <c r="D4480" t="inlineStr">
        <is>
          <t>KRONOBERGS LÄN</t>
        </is>
      </c>
      <c r="E4480" t="inlineStr">
        <is>
          <t>LJUNGBY</t>
        </is>
      </c>
      <c r="G4480" t="n">
        <v>3.3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2042-2024</t>
        </is>
      </c>
      <c r="B4481" s="1" t="n">
        <v>45308.83798611111</v>
      </c>
      <c r="C4481" s="1" t="n">
        <v>45957</v>
      </c>
      <c r="D4481" t="inlineStr">
        <is>
          <t>KRONOBERGS LÄN</t>
        </is>
      </c>
      <c r="E4481" t="inlineStr">
        <is>
          <t>ALVESTA</t>
        </is>
      </c>
      <c r="G4481" t="n">
        <v>5.2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31968-2023</t>
        </is>
      </c>
      <c r="B4482" s="1" t="n">
        <v>45119</v>
      </c>
      <c r="C4482" s="1" t="n">
        <v>45957</v>
      </c>
      <c r="D4482" t="inlineStr">
        <is>
          <t>KRONOBERGS LÄN</t>
        </is>
      </c>
      <c r="E4482" t="inlineStr">
        <is>
          <t>LJUNGBY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29224-2022</t>
        </is>
      </c>
      <c r="B4483" s="1" t="n">
        <v>44750</v>
      </c>
      <c r="C4483" s="1" t="n">
        <v>45957</v>
      </c>
      <c r="D4483" t="inlineStr">
        <is>
          <t>KRONOBERGS LÄN</t>
        </is>
      </c>
      <c r="E4483" t="inlineStr">
        <is>
          <t>LJUNGBY</t>
        </is>
      </c>
      <c r="G4483" t="n">
        <v>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35279-2022</t>
        </is>
      </c>
      <c r="B4484" s="1" t="n">
        <v>44798</v>
      </c>
      <c r="C4484" s="1" t="n">
        <v>45957</v>
      </c>
      <c r="D4484" t="inlineStr">
        <is>
          <t>KRONOBERGS LÄN</t>
        </is>
      </c>
      <c r="E4484" t="inlineStr">
        <is>
          <t>ALVESTA</t>
        </is>
      </c>
      <c r="F4484" t="inlineStr">
        <is>
          <t>Kyrkan</t>
        </is>
      </c>
      <c r="G4484" t="n">
        <v>3.8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  <c r="U4484">
        <f>HYPERLINK("https://klasma.github.io/Logging_0764/knärot/A 35279-2022 karta knärot.png", "A 35279-2022")</f>
        <v/>
      </c>
      <c r="V4484">
        <f>HYPERLINK("https://klasma.github.io/Logging_0764/klagomål/A 35279-2022 FSC-klagomål.docx", "A 35279-2022")</f>
        <v/>
      </c>
      <c r="W4484">
        <f>HYPERLINK("https://klasma.github.io/Logging_0764/klagomålsmail/A 35279-2022 FSC-klagomål mail.docx", "A 35279-2022")</f>
        <v/>
      </c>
      <c r="X4484">
        <f>HYPERLINK("https://klasma.github.io/Logging_0764/tillsyn/A 35279-2022 tillsynsbegäran.docx", "A 35279-2022")</f>
        <v/>
      </c>
      <c r="Y4484">
        <f>HYPERLINK("https://klasma.github.io/Logging_0764/tillsynsmail/A 35279-2022 tillsynsbegäran mail.docx", "A 35279-2022")</f>
        <v/>
      </c>
    </row>
    <row r="4485" ht="15" customHeight="1">
      <c r="A4485" t="inlineStr">
        <is>
          <t>A 46181-2024</t>
        </is>
      </c>
      <c r="B4485" s="1" t="n">
        <v>45581.49583333333</v>
      </c>
      <c r="C4485" s="1" t="n">
        <v>45957</v>
      </c>
      <c r="D4485" t="inlineStr">
        <is>
          <t>KRONOBERGS LÄN</t>
        </is>
      </c>
      <c r="E4485" t="inlineStr">
        <is>
          <t>LJUNGBY</t>
        </is>
      </c>
      <c r="G4485" t="n">
        <v>2.3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52130-2025</t>
        </is>
      </c>
      <c r="B4486" s="1" t="n">
        <v>45952.73761574074</v>
      </c>
      <c r="C4486" s="1" t="n">
        <v>45957</v>
      </c>
      <c r="D4486" t="inlineStr">
        <is>
          <t>KRONOBERGS LÄN</t>
        </is>
      </c>
      <c r="E4486" t="inlineStr">
        <is>
          <t>UPPVIDINGE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42972-2025</t>
        </is>
      </c>
      <c r="B4487" s="1" t="n">
        <v>45909</v>
      </c>
      <c r="C4487" s="1" t="n">
        <v>45957</v>
      </c>
      <c r="D4487" t="inlineStr">
        <is>
          <t>KRONOBERGS LÄN</t>
        </is>
      </c>
      <c r="E4487" t="inlineStr">
        <is>
          <t>LJUNGBY</t>
        </is>
      </c>
      <c r="G4487" t="n">
        <v>1.8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  <c r="U4487">
        <f>HYPERLINK("https://klasma.github.io/Logging_0781/knärot/A 42972-2025 karta knärot.png", "A 42972-2025")</f>
        <v/>
      </c>
      <c r="V4487">
        <f>HYPERLINK("https://klasma.github.io/Logging_0781/klagomål/A 42972-2025 FSC-klagomål.docx", "A 42972-2025")</f>
        <v/>
      </c>
      <c r="W4487">
        <f>HYPERLINK("https://klasma.github.io/Logging_0781/klagomålsmail/A 42972-2025 FSC-klagomål mail.docx", "A 42972-2025")</f>
        <v/>
      </c>
      <c r="X4487">
        <f>HYPERLINK("https://klasma.github.io/Logging_0781/tillsyn/A 42972-2025 tillsynsbegäran.docx", "A 42972-2025")</f>
        <v/>
      </c>
      <c r="Y4487">
        <f>HYPERLINK("https://klasma.github.io/Logging_0781/tillsynsmail/A 42972-2025 tillsynsbegäran mail.docx", "A 42972-2025")</f>
        <v/>
      </c>
    </row>
    <row r="4488" ht="15" customHeight="1">
      <c r="A4488" t="inlineStr">
        <is>
          <t>A 31765-2023</t>
        </is>
      </c>
      <c r="B4488" s="1" t="n">
        <v>45118</v>
      </c>
      <c r="C4488" s="1" t="n">
        <v>45957</v>
      </c>
      <c r="D4488" t="inlineStr">
        <is>
          <t>KRONOBERGS LÄN</t>
        </is>
      </c>
      <c r="E4488" t="inlineStr">
        <is>
          <t>UPPVIDINGE</t>
        </is>
      </c>
      <c r="G4488" t="n">
        <v>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5597-2025</t>
        </is>
      </c>
      <c r="B4489" s="1" t="n">
        <v>45693</v>
      </c>
      <c r="C4489" s="1" t="n">
        <v>45957</v>
      </c>
      <c r="D4489" t="inlineStr">
        <is>
          <t>KRONOBERGS LÄN</t>
        </is>
      </c>
      <c r="E4489" t="inlineStr">
        <is>
          <t>UPPVIDINGE</t>
        </is>
      </c>
      <c r="G4489" t="n">
        <v>2.8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5598-2025</t>
        </is>
      </c>
      <c r="B4490" s="1" t="n">
        <v>45693</v>
      </c>
      <c r="C4490" s="1" t="n">
        <v>45957</v>
      </c>
      <c r="D4490" t="inlineStr">
        <is>
          <t>KRONOBERGS LÄN</t>
        </is>
      </c>
      <c r="E4490" t="inlineStr">
        <is>
          <t>UPPVIDINGE</t>
        </is>
      </c>
      <c r="G4490" t="n">
        <v>4.3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61193-2024</t>
        </is>
      </c>
      <c r="B4491" s="1" t="n">
        <v>45645.6278587963</v>
      </c>
      <c r="C4491" s="1" t="n">
        <v>45957</v>
      </c>
      <c r="D4491" t="inlineStr">
        <is>
          <t>KRONOBERGS LÄN</t>
        </is>
      </c>
      <c r="E4491" t="inlineStr">
        <is>
          <t>VÄXJÖ</t>
        </is>
      </c>
      <c r="G4491" t="n">
        <v>0.7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1576-2021</t>
        </is>
      </c>
      <c r="B4492" s="1" t="n">
        <v>44209</v>
      </c>
      <c r="C4492" s="1" t="n">
        <v>45957</v>
      </c>
      <c r="D4492" t="inlineStr">
        <is>
          <t>KRONOBERGS LÄN</t>
        </is>
      </c>
      <c r="E4492" t="inlineStr">
        <is>
          <t>VÄXJÖ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36909-2025</t>
        </is>
      </c>
      <c r="B4493" s="1" t="n">
        <v>45874</v>
      </c>
      <c r="C4493" s="1" t="n">
        <v>45957</v>
      </c>
      <c r="D4493" t="inlineStr">
        <is>
          <t>KRONOBERGS LÄN</t>
        </is>
      </c>
      <c r="E4493" t="inlineStr">
        <is>
          <t>ALVESTA</t>
        </is>
      </c>
      <c r="G4493" t="n">
        <v>2.1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21788-2025</t>
        </is>
      </c>
      <c r="B4494" s="1" t="n">
        <v>45783.67510416666</v>
      </c>
      <c r="C4494" s="1" t="n">
        <v>45957</v>
      </c>
      <c r="D4494" t="inlineStr">
        <is>
          <t>KRONOBERGS LÄN</t>
        </is>
      </c>
      <c r="E4494" t="inlineStr">
        <is>
          <t>LJUNGBY</t>
        </is>
      </c>
      <c r="G4494" t="n">
        <v>1.1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16128-2023</t>
        </is>
      </c>
      <c r="B4495" s="1" t="n">
        <v>45026</v>
      </c>
      <c r="C4495" s="1" t="n">
        <v>45957</v>
      </c>
      <c r="D4495" t="inlineStr">
        <is>
          <t>KRONOBERGS LÄN</t>
        </is>
      </c>
      <c r="E4495" t="inlineStr">
        <is>
          <t>LJUNGBY</t>
        </is>
      </c>
      <c r="G4495" t="n">
        <v>1.4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46150-2022</t>
        </is>
      </c>
      <c r="B4496" s="1" t="n">
        <v>44847.46701388889</v>
      </c>
      <c r="C4496" s="1" t="n">
        <v>45957</v>
      </c>
      <c r="D4496" t="inlineStr">
        <is>
          <t>KRONOBERGS LÄN</t>
        </is>
      </c>
      <c r="E4496" t="inlineStr">
        <is>
          <t>LJUNGBY</t>
        </is>
      </c>
      <c r="G4496" t="n">
        <v>2.7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54182-2022</t>
        </is>
      </c>
      <c r="B4497" s="1" t="n">
        <v>44881</v>
      </c>
      <c r="C4497" s="1" t="n">
        <v>45957</v>
      </c>
      <c r="D4497" t="inlineStr">
        <is>
          <t>KRONOBERGS LÄN</t>
        </is>
      </c>
      <c r="E4497" t="inlineStr">
        <is>
          <t>LJUNGBY</t>
        </is>
      </c>
      <c r="G4497" t="n">
        <v>1.5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49179-2022</t>
        </is>
      </c>
      <c r="B4498" s="1" t="n">
        <v>44860.93721064815</v>
      </c>
      <c r="C4498" s="1" t="n">
        <v>45957</v>
      </c>
      <c r="D4498" t="inlineStr">
        <is>
          <t>KRONOBERGS LÄN</t>
        </is>
      </c>
      <c r="E4498" t="inlineStr">
        <is>
          <t>LJUNGBY</t>
        </is>
      </c>
      <c r="G4498" t="n">
        <v>0.6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61893-2022</t>
        </is>
      </c>
      <c r="B4499" s="1" t="n">
        <v>44917</v>
      </c>
      <c r="C4499" s="1" t="n">
        <v>45957</v>
      </c>
      <c r="D4499" t="inlineStr">
        <is>
          <t>KRONOBERGS LÄN</t>
        </is>
      </c>
      <c r="E4499" t="inlineStr">
        <is>
          <t>LJUNGBY</t>
        </is>
      </c>
      <c r="G4499" t="n">
        <v>0.4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28350-2023</t>
        </is>
      </c>
      <c r="B4500" s="1" t="n">
        <v>45099.91826388889</v>
      </c>
      <c r="C4500" s="1" t="n">
        <v>45957</v>
      </c>
      <c r="D4500" t="inlineStr">
        <is>
          <t>KRONOBERGS LÄN</t>
        </is>
      </c>
      <c r="E4500" t="inlineStr">
        <is>
          <t>LJUNGBY</t>
        </is>
      </c>
      <c r="G4500" t="n">
        <v>1.2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30561-2025</t>
        </is>
      </c>
      <c r="B4501" s="1" t="n">
        <v>45831.3978587963</v>
      </c>
      <c r="C4501" s="1" t="n">
        <v>45957</v>
      </c>
      <c r="D4501" t="inlineStr">
        <is>
          <t>KRONOBERGS LÄN</t>
        </is>
      </c>
      <c r="E4501" t="inlineStr">
        <is>
          <t>LJUNGBY</t>
        </is>
      </c>
      <c r="G4501" t="n">
        <v>7.1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32503-2023</t>
        </is>
      </c>
      <c r="B4502" s="1" t="n">
        <v>45121</v>
      </c>
      <c r="C4502" s="1" t="n">
        <v>45957</v>
      </c>
      <c r="D4502" t="inlineStr">
        <is>
          <t>KRONOBERGS LÄN</t>
        </is>
      </c>
      <c r="E4502" t="inlineStr">
        <is>
          <t>VÄXJÖ</t>
        </is>
      </c>
      <c r="G4502" t="n">
        <v>3.2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35531-2025</t>
        </is>
      </c>
      <c r="B4503" s="1" t="n">
        <v>45856</v>
      </c>
      <c r="C4503" s="1" t="n">
        <v>45957</v>
      </c>
      <c r="D4503" t="inlineStr">
        <is>
          <t>KRONOBERGS LÄN</t>
        </is>
      </c>
      <c r="E4503" t="inlineStr">
        <is>
          <t>ÄLMHULT</t>
        </is>
      </c>
      <c r="G4503" t="n">
        <v>5.2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49550-2023</t>
        </is>
      </c>
      <c r="B4504" s="1" t="n">
        <v>45211.63446759259</v>
      </c>
      <c r="C4504" s="1" t="n">
        <v>45957</v>
      </c>
      <c r="D4504" t="inlineStr">
        <is>
          <t>KRONOBERGS LÄN</t>
        </is>
      </c>
      <c r="E4504" t="inlineStr">
        <is>
          <t>LJUNGBY</t>
        </is>
      </c>
      <c r="G4504" t="n">
        <v>2.1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33187-2023</t>
        </is>
      </c>
      <c r="B4505" s="1" t="n">
        <v>45127.38489583333</v>
      </c>
      <c r="C4505" s="1" t="n">
        <v>45957</v>
      </c>
      <c r="D4505" t="inlineStr">
        <is>
          <t>KRONOBERGS LÄN</t>
        </is>
      </c>
      <c r="E4505" t="inlineStr">
        <is>
          <t>VÄXJÖ</t>
        </is>
      </c>
      <c r="G4505" t="n">
        <v>0.5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33208-2023</t>
        </is>
      </c>
      <c r="B4506" s="1" t="n">
        <v>45127</v>
      </c>
      <c r="C4506" s="1" t="n">
        <v>45957</v>
      </c>
      <c r="D4506" t="inlineStr">
        <is>
          <t>KRONOBERGS LÄN</t>
        </is>
      </c>
      <c r="E4506" t="inlineStr">
        <is>
          <t>VÄXJÖ</t>
        </is>
      </c>
      <c r="G4506" t="n">
        <v>1.5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36911-2025</t>
        </is>
      </c>
      <c r="B4507" s="1" t="n">
        <v>45874</v>
      </c>
      <c r="C4507" s="1" t="n">
        <v>45957</v>
      </c>
      <c r="D4507" t="inlineStr">
        <is>
          <t>KRONOBERGS LÄN</t>
        </is>
      </c>
      <c r="E4507" t="inlineStr">
        <is>
          <t>ALVESTA</t>
        </is>
      </c>
      <c r="G4507" t="n">
        <v>2.3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44338-2025</t>
        </is>
      </c>
      <c r="B4508" s="1" t="n">
        <v>45916.42630787037</v>
      </c>
      <c r="C4508" s="1" t="n">
        <v>45957</v>
      </c>
      <c r="D4508" t="inlineStr">
        <is>
          <t>KRONOBERGS LÄN</t>
        </is>
      </c>
      <c r="E4508" t="inlineStr">
        <is>
          <t>LJUNGBY</t>
        </is>
      </c>
      <c r="G4508" t="n">
        <v>0.7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44341-2025</t>
        </is>
      </c>
      <c r="B4509" s="1" t="n">
        <v>45916.43283564815</v>
      </c>
      <c r="C4509" s="1" t="n">
        <v>45957</v>
      </c>
      <c r="D4509" t="inlineStr">
        <is>
          <t>KRONOBERGS LÄN</t>
        </is>
      </c>
      <c r="E4509" t="inlineStr">
        <is>
          <t>LJUNGBY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40074-2023</t>
        </is>
      </c>
      <c r="B4510" s="1" t="n">
        <v>45168.88072916667</v>
      </c>
      <c r="C4510" s="1" t="n">
        <v>45957</v>
      </c>
      <c r="D4510" t="inlineStr">
        <is>
          <t>KRONOBERGS LÄN</t>
        </is>
      </c>
      <c r="E4510" t="inlineStr">
        <is>
          <t>VÄXJÖ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43126-2025</t>
        </is>
      </c>
      <c r="B4511" s="1" t="n">
        <v>45909.74082175926</v>
      </c>
      <c r="C4511" s="1" t="n">
        <v>45957</v>
      </c>
      <c r="D4511" t="inlineStr">
        <is>
          <t>KRONOBERGS LÄN</t>
        </is>
      </c>
      <c r="E4511" t="inlineStr">
        <is>
          <t>TINGSRYD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40049-2022</t>
        </is>
      </c>
      <c r="B4512" s="1" t="n">
        <v>44820</v>
      </c>
      <c r="C4512" s="1" t="n">
        <v>45957</v>
      </c>
      <c r="D4512" t="inlineStr">
        <is>
          <t>KRONOBERGS LÄN</t>
        </is>
      </c>
      <c r="E4512" t="inlineStr">
        <is>
          <t>ALVESTA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51558-2025</t>
        </is>
      </c>
      <c r="B4513" s="1" t="n">
        <v>45950.91810185185</v>
      </c>
      <c r="C4513" s="1" t="n">
        <v>45957</v>
      </c>
      <c r="D4513" t="inlineStr">
        <is>
          <t>KRONOBERGS LÄN</t>
        </is>
      </c>
      <c r="E4513" t="inlineStr">
        <is>
          <t>TINGSRYD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37840-2021</t>
        </is>
      </c>
      <c r="B4514" s="1" t="n">
        <v>44403</v>
      </c>
      <c r="C4514" s="1" t="n">
        <v>45957</v>
      </c>
      <c r="D4514" t="inlineStr">
        <is>
          <t>KRONOBERGS LÄN</t>
        </is>
      </c>
      <c r="E4514" t="inlineStr">
        <is>
          <t>ÄLMHULT</t>
        </is>
      </c>
      <c r="G4514" t="n">
        <v>1.7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39099-2023</t>
        </is>
      </c>
      <c r="B4515" s="1" t="n">
        <v>45164</v>
      </c>
      <c r="C4515" s="1" t="n">
        <v>45957</v>
      </c>
      <c r="D4515" t="inlineStr">
        <is>
          <t>KRONOBERGS LÄN</t>
        </is>
      </c>
      <c r="E4515" t="inlineStr">
        <is>
          <t>TINGSRYD</t>
        </is>
      </c>
      <c r="G4515" t="n">
        <v>0.4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39103-2023</t>
        </is>
      </c>
      <c r="B4516" s="1" t="n">
        <v>45164.6913425926</v>
      </c>
      <c r="C4516" s="1" t="n">
        <v>45957</v>
      </c>
      <c r="D4516" t="inlineStr">
        <is>
          <t>KRONOBERGS LÄN</t>
        </is>
      </c>
      <c r="E4516" t="inlineStr">
        <is>
          <t>TINGSRYD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14608-2024</t>
        </is>
      </c>
      <c r="B4517" s="1" t="n">
        <v>45396.86226851852</v>
      </c>
      <c r="C4517" s="1" t="n">
        <v>45957</v>
      </c>
      <c r="D4517" t="inlineStr">
        <is>
          <t>KRONOBERGS LÄN</t>
        </is>
      </c>
      <c r="E4517" t="inlineStr">
        <is>
          <t>LJUNGBY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34477-2025</t>
        </is>
      </c>
      <c r="B4518" s="1" t="n">
        <v>45847.3721412037</v>
      </c>
      <c r="C4518" s="1" t="n">
        <v>45957</v>
      </c>
      <c r="D4518" t="inlineStr">
        <is>
          <t>KRONOBERGS LÄN</t>
        </is>
      </c>
      <c r="E4518" t="inlineStr">
        <is>
          <t>LJUNGBY</t>
        </is>
      </c>
      <c r="G4518" t="n">
        <v>2.5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59615-2024</t>
        </is>
      </c>
      <c r="B4519" s="1" t="n">
        <v>45638</v>
      </c>
      <c r="C4519" s="1" t="n">
        <v>45957</v>
      </c>
      <c r="D4519" t="inlineStr">
        <is>
          <t>KRONOBERGS LÄN</t>
        </is>
      </c>
      <c r="E4519" t="inlineStr">
        <is>
          <t>LJUNGBY</t>
        </is>
      </c>
      <c r="G4519" t="n">
        <v>1.8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14069-2025</t>
        </is>
      </c>
      <c r="B4520" s="1" t="n">
        <v>45740.42515046296</v>
      </c>
      <c r="C4520" s="1" t="n">
        <v>45957</v>
      </c>
      <c r="D4520" t="inlineStr">
        <is>
          <t>KRONOBERGS LÄN</t>
        </is>
      </c>
      <c r="E4520" t="inlineStr">
        <is>
          <t>ALVESTA</t>
        </is>
      </c>
      <c r="G4520" t="n">
        <v>0.6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42692-2023</t>
        </is>
      </c>
      <c r="B4521" s="1" t="n">
        <v>45181.59420138889</v>
      </c>
      <c r="C4521" s="1" t="n">
        <v>45957</v>
      </c>
      <c r="D4521" t="inlineStr">
        <is>
          <t>KRONOBERGS LÄN</t>
        </is>
      </c>
      <c r="E4521" t="inlineStr">
        <is>
          <t>MARKARYD</t>
        </is>
      </c>
      <c r="F4521" t="inlineStr">
        <is>
          <t>Sveaskog</t>
        </is>
      </c>
      <c r="G4521" t="n">
        <v>0.3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42948-2025</t>
        </is>
      </c>
      <c r="B4522" s="1" t="n">
        <v>45909</v>
      </c>
      <c r="C4522" s="1" t="n">
        <v>45957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42958-2025</t>
        </is>
      </c>
      <c r="B4523" s="1" t="n">
        <v>45909.36420138889</v>
      </c>
      <c r="C4523" s="1" t="n">
        <v>45957</v>
      </c>
      <c r="D4523" t="inlineStr">
        <is>
          <t>KRONOBERGS LÄN</t>
        </is>
      </c>
      <c r="E4523" t="inlineStr">
        <is>
          <t>ALVESTA</t>
        </is>
      </c>
      <c r="G4523" t="n">
        <v>1.4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44265-2025</t>
        </is>
      </c>
      <c r="B4524" s="1" t="n">
        <v>45916.28979166667</v>
      </c>
      <c r="C4524" s="1" t="n">
        <v>45957</v>
      </c>
      <c r="D4524" t="inlineStr">
        <is>
          <t>KRONOBERGS LÄN</t>
        </is>
      </c>
      <c r="E4524" t="inlineStr">
        <is>
          <t>VÄXJÖ</t>
        </is>
      </c>
      <c r="G4524" t="n">
        <v>1.7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44271-2025</t>
        </is>
      </c>
      <c r="B4525" s="1" t="n">
        <v>45916.32733796296</v>
      </c>
      <c r="C4525" s="1" t="n">
        <v>45957</v>
      </c>
      <c r="D4525" t="inlineStr">
        <is>
          <t>KRONOBERGS LÄN</t>
        </is>
      </c>
      <c r="E4525" t="inlineStr">
        <is>
          <t>LJUNGBY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52028-2025</t>
        </is>
      </c>
      <c r="B4526" s="1" t="n">
        <v>45952.60530092593</v>
      </c>
      <c r="C4526" s="1" t="n">
        <v>45957</v>
      </c>
      <c r="D4526" t="inlineStr">
        <is>
          <t>KRONOBERGS LÄN</t>
        </is>
      </c>
      <c r="E4526" t="inlineStr">
        <is>
          <t>LESSEBO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42976-2025</t>
        </is>
      </c>
      <c r="B4527" s="1" t="n">
        <v>45909.42730324074</v>
      </c>
      <c r="C4527" s="1" t="n">
        <v>45957</v>
      </c>
      <c r="D4527" t="inlineStr">
        <is>
          <t>KRONOBERGS LÄN</t>
        </is>
      </c>
      <c r="E4527" t="inlineStr">
        <is>
          <t>ALVESTA</t>
        </is>
      </c>
      <c r="G4527" t="n">
        <v>1.9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3690-2025</t>
        </is>
      </c>
      <c r="B4528" s="1" t="n">
        <v>45681.46109953704</v>
      </c>
      <c r="C4528" s="1" t="n">
        <v>45957</v>
      </c>
      <c r="D4528" t="inlineStr">
        <is>
          <t>KRONOBERGS LÄN</t>
        </is>
      </c>
      <c r="E4528" t="inlineStr">
        <is>
          <t>ÄLMHULT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23377-2023</t>
        </is>
      </c>
      <c r="B4529" s="1" t="n">
        <v>45076</v>
      </c>
      <c r="C4529" s="1" t="n">
        <v>45957</v>
      </c>
      <c r="D4529" t="inlineStr">
        <is>
          <t>KRONOBERGS LÄN</t>
        </is>
      </c>
      <c r="E4529" t="inlineStr">
        <is>
          <t>ÄLMHULT</t>
        </is>
      </c>
      <c r="G4529" t="n">
        <v>2.9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17403-2025</t>
        </is>
      </c>
      <c r="B4530" s="1" t="n">
        <v>45757.35355324074</v>
      </c>
      <c r="C4530" s="1" t="n">
        <v>45957</v>
      </c>
      <c r="D4530" t="inlineStr">
        <is>
          <t>KRONOBERGS LÄN</t>
        </is>
      </c>
      <c r="E4530" t="inlineStr">
        <is>
          <t>LESSEBO</t>
        </is>
      </c>
      <c r="G4530" t="n">
        <v>1.8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23380-2023</t>
        </is>
      </c>
      <c r="B4531" s="1" t="n">
        <v>45076</v>
      </c>
      <c r="C4531" s="1" t="n">
        <v>45957</v>
      </c>
      <c r="D4531" t="inlineStr">
        <is>
          <t>KRONOBERGS LÄN</t>
        </is>
      </c>
      <c r="E4531" t="inlineStr">
        <is>
          <t>ÄLMHULT</t>
        </is>
      </c>
      <c r="G4531" t="n">
        <v>2.8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62548-2020</t>
        </is>
      </c>
      <c r="B4532" s="1" t="n">
        <v>44160</v>
      </c>
      <c r="C4532" s="1" t="n">
        <v>45957</v>
      </c>
      <c r="D4532" t="inlineStr">
        <is>
          <t>KRONOBERGS LÄN</t>
        </is>
      </c>
      <c r="E4532" t="inlineStr">
        <is>
          <t>MARKARYD</t>
        </is>
      </c>
      <c r="G4532" t="n">
        <v>0.7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31425-2021</t>
        </is>
      </c>
      <c r="B4533" s="1" t="n">
        <v>44369.35200231482</v>
      </c>
      <c r="C4533" s="1" t="n">
        <v>45957</v>
      </c>
      <c r="D4533" t="inlineStr">
        <is>
          <t>KRONOBERGS LÄN</t>
        </is>
      </c>
      <c r="E4533" t="inlineStr">
        <is>
          <t>LESSEBO</t>
        </is>
      </c>
      <c r="G4533" t="n">
        <v>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7004-2025</t>
        </is>
      </c>
      <c r="B4534" s="1" t="n">
        <v>45701.59954861111</v>
      </c>
      <c r="C4534" s="1" t="n">
        <v>45957</v>
      </c>
      <c r="D4534" t="inlineStr">
        <is>
          <t>KRONOBERGS LÄN</t>
        </is>
      </c>
      <c r="E4534" t="inlineStr">
        <is>
          <t>LJUNGBY</t>
        </is>
      </c>
      <c r="G4534" t="n">
        <v>2.5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36864-2025</t>
        </is>
      </c>
      <c r="B4535" s="1" t="n">
        <v>45873</v>
      </c>
      <c r="C4535" s="1" t="n">
        <v>45957</v>
      </c>
      <c r="D4535" t="inlineStr">
        <is>
          <t>KRONOBERGS LÄN</t>
        </is>
      </c>
      <c r="E4535" t="inlineStr">
        <is>
          <t>UPPVIDINGE</t>
        </is>
      </c>
      <c r="G4535" t="n">
        <v>5.2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36866-2025</t>
        </is>
      </c>
      <c r="B4536" s="1" t="n">
        <v>45874.42462962963</v>
      </c>
      <c r="C4536" s="1" t="n">
        <v>45957</v>
      </c>
      <c r="D4536" t="inlineStr">
        <is>
          <t>KRONOBERGS LÄN</t>
        </is>
      </c>
      <c r="E4536" t="inlineStr">
        <is>
          <t>VÄXJÖ</t>
        </is>
      </c>
      <c r="G4536" t="n">
        <v>10.9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18567-2024</t>
        </is>
      </c>
      <c r="B4537" s="1" t="n">
        <v>45425.69540509259</v>
      </c>
      <c r="C4537" s="1" t="n">
        <v>45957</v>
      </c>
      <c r="D4537" t="inlineStr">
        <is>
          <t>KRONOBERGS LÄN</t>
        </is>
      </c>
      <c r="E4537" t="inlineStr">
        <is>
          <t>LJUNGBY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47805-2023</t>
        </is>
      </c>
      <c r="B4538" s="1" t="n">
        <v>45204.32359953703</v>
      </c>
      <c r="C4538" s="1" t="n">
        <v>45957</v>
      </c>
      <c r="D4538" t="inlineStr">
        <is>
          <t>KRONOBERGS LÄN</t>
        </is>
      </c>
      <c r="E4538" t="inlineStr">
        <is>
          <t>LJUNGBY</t>
        </is>
      </c>
      <c r="G4538" t="n">
        <v>3.1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51852-2025</t>
        </is>
      </c>
      <c r="B4539" s="1" t="n">
        <v>45952.35865740741</v>
      </c>
      <c r="C4539" s="1" t="n">
        <v>45957</v>
      </c>
      <c r="D4539" t="inlineStr">
        <is>
          <t>KRONOBERGS LÄN</t>
        </is>
      </c>
      <c r="E4539" t="inlineStr">
        <is>
          <t>ÄLMHULT</t>
        </is>
      </c>
      <c r="G4539" t="n">
        <v>0.6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43133-2025</t>
        </is>
      </c>
      <c r="B4540" s="1" t="n">
        <v>45909</v>
      </c>
      <c r="C4540" s="1" t="n">
        <v>45957</v>
      </c>
      <c r="D4540" t="inlineStr">
        <is>
          <t>KRONOBERGS LÄN</t>
        </is>
      </c>
      <c r="E4540" t="inlineStr">
        <is>
          <t>MARKARYD</t>
        </is>
      </c>
      <c r="F4540" t="inlineStr">
        <is>
          <t>Kyrkan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19233-2025</t>
        </is>
      </c>
      <c r="B4541" s="1" t="n">
        <v>45769.46652777777</v>
      </c>
      <c r="C4541" s="1" t="n">
        <v>45957</v>
      </c>
      <c r="D4541" t="inlineStr">
        <is>
          <t>KRONOBERGS LÄN</t>
        </is>
      </c>
      <c r="E4541" t="inlineStr">
        <is>
          <t>MARKARYD</t>
        </is>
      </c>
      <c r="G4541" t="n">
        <v>2.7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60160-2020</t>
        </is>
      </c>
      <c r="B4542" s="1" t="n">
        <v>44152</v>
      </c>
      <c r="C4542" s="1" t="n">
        <v>45957</v>
      </c>
      <c r="D4542" t="inlineStr">
        <is>
          <t>KRONOBERGS LÄN</t>
        </is>
      </c>
      <c r="E4542" t="inlineStr">
        <is>
          <t>LJUNGBY</t>
        </is>
      </c>
      <c r="G4542" t="n">
        <v>1.5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5838-2021</t>
        </is>
      </c>
      <c r="B4543" s="1" t="n">
        <v>44231</v>
      </c>
      <c r="C4543" s="1" t="n">
        <v>45957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65062-2021</t>
        </is>
      </c>
      <c r="B4544" s="1" t="n">
        <v>44515</v>
      </c>
      <c r="C4544" s="1" t="n">
        <v>45957</v>
      </c>
      <c r="D4544" t="inlineStr">
        <is>
          <t>KRONOBERGS LÄN</t>
        </is>
      </c>
      <c r="E4544" t="inlineStr">
        <is>
          <t>LJUNGBY</t>
        </is>
      </c>
      <c r="G4544" t="n">
        <v>0.7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65066-2021</t>
        </is>
      </c>
      <c r="B4545" s="1" t="n">
        <v>44515</v>
      </c>
      <c r="C4545" s="1" t="n">
        <v>45957</v>
      </c>
      <c r="D4545" t="inlineStr">
        <is>
          <t>KRONOBERGS LÄN</t>
        </is>
      </c>
      <c r="E4545" t="inlineStr">
        <is>
          <t>LJUNGBY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3623-2021</t>
        </is>
      </c>
      <c r="B4546" s="1" t="n">
        <v>44221</v>
      </c>
      <c r="C4546" s="1" t="n">
        <v>45957</v>
      </c>
      <c r="D4546" t="inlineStr">
        <is>
          <t>KRONOBERGS LÄN</t>
        </is>
      </c>
      <c r="E4546" t="inlineStr">
        <is>
          <t>LJUNGBY</t>
        </is>
      </c>
      <c r="G4546" t="n">
        <v>2.2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30854-2025</t>
        </is>
      </c>
      <c r="B4547" s="1" t="n">
        <v>45831</v>
      </c>
      <c r="C4547" s="1" t="n">
        <v>45957</v>
      </c>
      <c r="D4547" t="inlineStr">
        <is>
          <t>KRONOBERGS LÄN</t>
        </is>
      </c>
      <c r="E4547" t="inlineStr">
        <is>
          <t>LJUNGBY</t>
        </is>
      </c>
      <c r="G4547" t="n">
        <v>1.1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8622-2021</t>
        </is>
      </c>
      <c r="B4548" s="1" t="n">
        <v>44245</v>
      </c>
      <c r="C4548" s="1" t="n">
        <v>45957</v>
      </c>
      <c r="D4548" t="inlineStr">
        <is>
          <t>KRONOBERGS LÄN</t>
        </is>
      </c>
      <c r="E4548" t="inlineStr">
        <is>
          <t>LJUNGBY</t>
        </is>
      </c>
      <c r="G4548" t="n">
        <v>1.4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70888-2021</t>
        </is>
      </c>
      <c r="B4549" s="1" t="n">
        <v>44538.40638888889</v>
      </c>
      <c r="C4549" s="1" t="n">
        <v>45957</v>
      </c>
      <c r="D4549" t="inlineStr">
        <is>
          <t>KRONOBERGS LÄN</t>
        </is>
      </c>
      <c r="E4549" t="inlineStr">
        <is>
          <t>LJUNGBY</t>
        </is>
      </c>
      <c r="G4549" t="n">
        <v>2.7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26181-2021</t>
        </is>
      </c>
      <c r="B4550" s="1" t="n">
        <v>44347.36586805555</v>
      </c>
      <c r="C4550" s="1" t="n">
        <v>45957</v>
      </c>
      <c r="D4550" t="inlineStr">
        <is>
          <t>KRONOBERGS LÄN</t>
        </is>
      </c>
      <c r="E4550" t="inlineStr">
        <is>
          <t>ÄLMHULT</t>
        </is>
      </c>
      <c r="G4550" t="n">
        <v>3.9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42995-2025</t>
        </is>
      </c>
      <c r="B4551" s="1" t="n">
        <v>45909</v>
      </c>
      <c r="C4551" s="1" t="n">
        <v>45957</v>
      </c>
      <c r="D4551" t="inlineStr">
        <is>
          <t>KRONOBERGS LÄN</t>
        </is>
      </c>
      <c r="E4551" t="inlineStr">
        <is>
          <t>LJUNGBY</t>
        </is>
      </c>
      <c r="G4551" t="n">
        <v>1.8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43001-2025</t>
        </is>
      </c>
      <c r="B4552" s="1" t="n">
        <v>45909.46409722222</v>
      </c>
      <c r="C4552" s="1" t="n">
        <v>45957</v>
      </c>
      <c r="D4552" t="inlineStr">
        <is>
          <t>KRONOBERGS LÄN</t>
        </is>
      </c>
      <c r="E4552" t="inlineStr">
        <is>
          <t>LJUNGBY</t>
        </is>
      </c>
      <c r="G4552" t="n">
        <v>0.6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54177-2022</t>
        </is>
      </c>
      <c r="B4553" s="1" t="n">
        <v>44881</v>
      </c>
      <c r="C4553" s="1" t="n">
        <v>45957</v>
      </c>
      <c r="D4553" t="inlineStr">
        <is>
          <t>KRONOBERGS LÄN</t>
        </is>
      </c>
      <c r="E4553" t="inlineStr">
        <is>
          <t>LJUNGBY</t>
        </is>
      </c>
      <c r="G4553" t="n">
        <v>1.4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52516-2023</t>
        </is>
      </c>
      <c r="B4554" s="1" t="n">
        <v>45225.49447916666</v>
      </c>
      <c r="C4554" s="1" t="n">
        <v>45957</v>
      </c>
      <c r="D4554" t="inlineStr">
        <is>
          <t>KRONOBERGS LÄN</t>
        </is>
      </c>
      <c r="E4554" t="inlineStr">
        <is>
          <t>LJUNGBY</t>
        </is>
      </c>
      <c r="G4554" t="n">
        <v>0.9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51240-2023</t>
        </is>
      </c>
      <c r="B4555" s="1" t="n">
        <v>45219</v>
      </c>
      <c r="C4555" s="1" t="n">
        <v>45957</v>
      </c>
      <c r="D4555" t="inlineStr">
        <is>
          <t>KRONOBERGS LÄN</t>
        </is>
      </c>
      <c r="E4555" t="inlineStr">
        <is>
          <t>MARKARYD</t>
        </is>
      </c>
      <c r="G4555" t="n">
        <v>1.8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18209-2025</t>
        </is>
      </c>
      <c r="B4556" s="1" t="n">
        <v>45761.69005787037</v>
      </c>
      <c r="C4556" s="1" t="n">
        <v>45957</v>
      </c>
      <c r="D4556" t="inlineStr">
        <is>
          <t>KRONOBERGS LÄN</t>
        </is>
      </c>
      <c r="E4556" t="inlineStr">
        <is>
          <t>LESSEBO</t>
        </is>
      </c>
      <c r="F4556" t="inlineStr">
        <is>
          <t>Sveaskog</t>
        </is>
      </c>
      <c r="G4556" t="n">
        <v>2.6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25447-2025</t>
        </is>
      </c>
      <c r="B4557" s="1" t="n">
        <v>45801.72324074074</v>
      </c>
      <c r="C4557" s="1" t="n">
        <v>45957</v>
      </c>
      <c r="D4557" t="inlineStr">
        <is>
          <t>KRONOBERGS LÄN</t>
        </is>
      </c>
      <c r="E4557" t="inlineStr">
        <is>
          <t>UPPVIDINGE</t>
        </is>
      </c>
      <c r="G4557" t="n">
        <v>3.7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30662-2025</t>
        </is>
      </c>
      <c r="B4558" s="1" t="n">
        <v>45831.51181712963</v>
      </c>
      <c r="C4558" s="1" t="n">
        <v>45957</v>
      </c>
      <c r="D4558" t="inlineStr">
        <is>
          <t>KRONOBERGS LÄN</t>
        </is>
      </c>
      <c r="E4558" t="inlineStr">
        <is>
          <t>UPPVIDINGE</t>
        </is>
      </c>
      <c r="G4558" t="n">
        <v>4.3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52031-2025</t>
        </is>
      </c>
      <c r="B4559" s="1" t="n">
        <v>45952.60922453704</v>
      </c>
      <c r="C4559" s="1" t="n">
        <v>45957</v>
      </c>
      <c r="D4559" t="inlineStr">
        <is>
          <t>KRONOBERGS LÄN</t>
        </is>
      </c>
      <c r="E4559" t="inlineStr">
        <is>
          <t>LESSEBO</t>
        </is>
      </c>
      <c r="G4559" t="n">
        <v>0.5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43123-2025</t>
        </is>
      </c>
      <c r="B4560" s="1" t="n">
        <v>45909.70618055556</v>
      </c>
      <c r="C4560" s="1" t="n">
        <v>45957</v>
      </c>
      <c r="D4560" t="inlineStr">
        <is>
          <t>KRONOBERGS LÄN</t>
        </is>
      </c>
      <c r="E4560" t="inlineStr">
        <is>
          <t>ÄLMHULT</t>
        </is>
      </c>
      <c r="G4560" t="n">
        <v>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10667-2021</t>
        </is>
      </c>
      <c r="B4561" s="1" t="n">
        <v>44258</v>
      </c>
      <c r="C4561" s="1" t="n">
        <v>45957</v>
      </c>
      <c r="D4561" t="inlineStr">
        <is>
          <t>KRONOBERGS LÄN</t>
        </is>
      </c>
      <c r="E4561" t="inlineStr">
        <is>
          <t>LJUNGBY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29408-2025</t>
        </is>
      </c>
      <c r="B4562" s="1" t="n">
        <v>45824.61681712963</v>
      </c>
      <c r="C4562" s="1" t="n">
        <v>45957</v>
      </c>
      <c r="D4562" t="inlineStr">
        <is>
          <t>KRONOBERGS LÄN</t>
        </is>
      </c>
      <c r="E4562" t="inlineStr">
        <is>
          <t>LJUNGBY</t>
        </is>
      </c>
      <c r="G4562" t="n">
        <v>0.5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14402-2024</t>
        </is>
      </c>
      <c r="B4563" s="1" t="n">
        <v>45394.35633101852</v>
      </c>
      <c r="C4563" s="1" t="n">
        <v>45957</v>
      </c>
      <c r="D4563" t="inlineStr">
        <is>
          <t>KRONOBERGS LÄN</t>
        </is>
      </c>
      <c r="E4563" t="inlineStr">
        <is>
          <t>LJUNGBY</t>
        </is>
      </c>
      <c r="G4563" t="n">
        <v>3.4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33500-2023</t>
        </is>
      </c>
      <c r="B4564" s="1" t="n">
        <v>45131</v>
      </c>
      <c r="C4564" s="1" t="n">
        <v>45957</v>
      </c>
      <c r="D4564" t="inlineStr">
        <is>
          <t>KRONOBERGS LÄN</t>
        </is>
      </c>
      <c r="E4564" t="inlineStr">
        <is>
          <t>LJUNGBY</t>
        </is>
      </c>
      <c r="G4564" t="n">
        <v>0.4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54363-2023</t>
        </is>
      </c>
      <c r="B4565" s="1" t="n">
        <v>45233</v>
      </c>
      <c r="C4565" s="1" t="n">
        <v>45957</v>
      </c>
      <c r="D4565" t="inlineStr">
        <is>
          <t>KRONOBERGS LÄN</t>
        </is>
      </c>
      <c r="E4565" t="inlineStr">
        <is>
          <t>ÄLMHULT</t>
        </is>
      </c>
      <c r="G4565" t="n">
        <v>8.6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23075-2021</t>
        </is>
      </c>
      <c r="B4566" s="1" t="n">
        <v>44330.36730324074</v>
      </c>
      <c r="C4566" s="1" t="n">
        <v>45957</v>
      </c>
      <c r="D4566" t="inlineStr">
        <is>
          <t>KRONOBERGS LÄN</t>
        </is>
      </c>
      <c r="E4566" t="inlineStr">
        <is>
          <t>LJUNGBY</t>
        </is>
      </c>
      <c r="G4566" t="n">
        <v>1.2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44044-2025</t>
        </is>
      </c>
      <c r="B4567" s="1" t="n">
        <v>45915.4978125</v>
      </c>
      <c r="C4567" s="1" t="n">
        <v>45957</v>
      </c>
      <c r="D4567" t="inlineStr">
        <is>
          <t>KRONOBERGS LÄN</t>
        </is>
      </c>
      <c r="E4567" t="inlineStr">
        <is>
          <t>LJUNGBY</t>
        </is>
      </c>
      <c r="G4567" t="n">
        <v>0.7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51650-2025</t>
        </is>
      </c>
      <c r="B4568" s="1" t="n">
        <v>45951.46040509259</v>
      </c>
      <c r="C4568" s="1" t="n">
        <v>45957</v>
      </c>
      <c r="D4568" t="inlineStr">
        <is>
          <t>KRONOBERGS LÄN</t>
        </is>
      </c>
      <c r="E4568" t="inlineStr">
        <is>
          <t>TINGSRYD</t>
        </is>
      </c>
      <c r="G4568" t="n">
        <v>1.7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43305-2025</t>
        </is>
      </c>
      <c r="B4569" s="1" t="n">
        <v>45910.63862268518</v>
      </c>
      <c r="C4569" s="1" t="n">
        <v>45957</v>
      </c>
      <c r="D4569" t="inlineStr">
        <is>
          <t>KRONOBERGS LÄN</t>
        </is>
      </c>
      <c r="E4569" t="inlineStr">
        <is>
          <t>UPPVIDINGE</t>
        </is>
      </c>
      <c r="G4569" t="n">
        <v>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46470-2023</t>
        </is>
      </c>
      <c r="B4570" s="1" t="n">
        <v>45197.63037037037</v>
      </c>
      <c r="C4570" s="1" t="n">
        <v>45957</v>
      </c>
      <c r="D4570" t="inlineStr">
        <is>
          <t>KRONOBERGS LÄN</t>
        </is>
      </c>
      <c r="E4570" t="inlineStr">
        <is>
          <t>TINGSRYD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54364-2023</t>
        </is>
      </c>
      <c r="B4571" s="1" t="n">
        <v>45233</v>
      </c>
      <c r="C4571" s="1" t="n">
        <v>45957</v>
      </c>
      <c r="D4571" t="inlineStr">
        <is>
          <t>KRONOBERGS LÄN</t>
        </is>
      </c>
      <c r="E4571" t="inlineStr">
        <is>
          <t>ÄLMHULT</t>
        </is>
      </c>
      <c r="G4571" t="n">
        <v>6.2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58195-2023</t>
        </is>
      </c>
      <c r="B4572" s="1" t="n">
        <v>45250.4330787037</v>
      </c>
      <c r="C4572" s="1" t="n">
        <v>45957</v>
      </c>
      <c r="D4572" t="inlineStr">
        <is>
          <t>KRONOBERGS LÄN</t>
        </is>
      </c>
      <c r="E4572" t="inlineStr">
        <is>
          <t>VÄXJÖ</t>
        </is>
      </c>
      <c r="G4572" t="n">
        <v>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20626-2021</t>
        </is>
      </c>
      <c r="B4573" s="1" t="n">
        <v>44316</v>
      </c>
      <c r="C4573" s="1" t="n">
        <v>45957</v>
      </c>
      <c r="D4573" t="inlineStr">
        <is>
          <t>KRONOBERGS LÄN</t>
        </is>
      </c>
      <c r="E4573" t="inlineStr">
        <is>
          <t>ÄLMHULT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47918-2023</t>
        </is>
      </c>
      <c r="B4574" s="1" t="n">
        <v>45204</v>
      </c>
      <c r="C4574" s="1" t="n">
        <v>45957</v>
      </c>
      <c r="D4574" t="inlineStr">
        <is>
          <t>KRONOBERGS LÄN</t>
        </is>
      </c>
      <c r="E4574" t="inlineStr">
        <is>
          <t>UPPVIDINGE</t>
        </is>
      </c>
      <c r="G4574" t="n">
        <v>1.6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28084-2022</t>
        </is>
      </c>
      <c r="B4575" s="1" t="n">
        <v>44746</v>
      </c>
      <c r="C4575" s="1" t="n">
        <v>45957</v>
      </c>
      <c r="D4575" t="inlineStr">
        <is>
          <t>KRONOBERGS LÄN</t>
        </is>
      </c>
      <c r="E4575" t="inlineStr">
        <is>
          <t>VÄXJÖ</t>
        </is>
      </c>
      <c r="G4575" t="n">
        <v>3.6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28096-2022</t>
        </is>
      </c>
      <c r="B4576" s="1" t="n">
        <v>44746.47082175926</v>
      </c>
      <c r="C4576" s="1" t="n">
        <v>45957</v>
      </c>
      <c r="D4576" t="inlineStr">
        <is>
          <t>KRONOBERGS LÄN</t>
        </is>
      </c>
      <c r="E4576" t="inlineStr">
        <is>
          <t>VÄXJÖ</t>
        </is>
      </c>
      <c r="G4576" t="n">
        <v>1.5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42946-2025</t>
        </is>
      </c>
      <c r="B4577" s="1" t="n">
        <v>45909.34719907407</v>
      </c>
      <c r="C4577" s="1" t="n">
        <v>45957</v>
      </c>
      <c r="D4577" t="inlineStr">
        <is>
          <t>KRONOBERGS LÄN</t>
        </is>
      </c>
      <c r="E4577" t="inlineStr">
        <is>
          <t>VÄXJÖ</t>
        </is>
      </c>
      <c r="G4577" t="n">
        <v>6.5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7008-2025</t>
        </is>
      </c>
      <c r="B4578" s="1" t="n">
        <v>45701.60341435186</v>
      </c>
      <c r="C4578" s="1" t="n">
        <v>45957</v>
      </c>
      <c r="D4578" t="inlineStr">
        <is>
          <t>KRONOBERGS LÄN</t>
        </is>
      </c>
      <c r="E4578" t="inlineStr">
        <is>
          <t>LJUNGBY</t>
        </is>
      </c>
      <c r="G4578" t="n">
        <v>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36182-2023</t>
        </is>
      </c>
      <c r="B4579" s="1" t="n">
        <v>45149.68351851852</v>
      </c>
      <c r="C4579" s="1" t="n">
        <v>45957</v>
      </c>
      <c r="D4579" t="inlineStr">
        <is>
          <t>KRONOBERGS LÄN</t>
        </is>
      </c>
      <c r="E4579" t="inlineStr">
        <is>
          <t>ALVESTA</t>
        </is>
      </c>
      <c r="G4579" t="n">
        <v>1.2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43002-2025</t>
        </is>
      </c>
      <c r="B4580" s="1" t="n">
        <v>45909</v>
      </c>
      <c r="C4580" s="1" t="n">
        <v>45957</v>
      </c>
      <c r="D4580" t="inlineStr">
        <is>
          <t>KRONOBERGS LÄN</t>
        </is>
      </c>
      <c r="E4580" t="inlineStr">
        <is>
          <t>LJUNGBY</t>
        </is>
      </c>
      <c r="G4580" t="n">
        <v>1.8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62717-2023</t>
        </is>
      </c>
      <c r="B4581" s="1" t="n">
        <v>45271</v>
      </c>
      <c r="C4581" s="1" t="n">
        <v>45957</v>
      </c>
      <c r="D4581" t="inlineStr">
        <is>
          <t>KRONOBERGS LÄN</t>
        </is>
      </c>
      <c r="E4581" t="inlineStr">
        <is>
          <t>LJUNGBY</t>
        </is>
      </c>
      <c r="G4581" t="n">
        <v>3.3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1064-2024</t>
        </is>
      </c>
      <c r="B4582" s="1" t="n">
        <v>45301.98575231482</v>
      </c>
      <c r="C4582" s="1" t="n">
        <v>45957</v>
      </c>
      <c r="D4582" t="inlineStr">
        <is>
          <t>KRONOBERGS LÄN</t>
        </is>
      </c>
      <c r="E4582" t="inlineStr">
        <is>
          <t>LJUNGBY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1062-2024</t>
        </is>
      </c>
      <c r="B4583" s="1" t="n">
        <v>45301.98247685185</v>
      </c>
      <c r="C4583" s="1" t="n">
        <v>45957</v>
      </c>
      <c r="D4583" t="inlineStr">
        <is>
          <t>KRONOBERGS LÄN</t>
        </is>
      </c>
      <c r="E4583" t="inlineStr">
        <is>
          <t>LJUNGBY</t>
        </is>
      </c>
      <c r="G4583" t="n">
        <v>0.7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48495-2023</t>
        </is>
      </c>
      <c r="B4584" s="1" t="n">
        <v>45207.49881944444</v>
      </c>
      <c r="C4584" s="1" t="n">
        <v>45957</v>
      </c>
      <c r="D4584" t="inlineStr">
        <is>
          <t>KRONOBERGS LÄN</t>
        </is>
      </c>
      <c r="E4584" t="inlineStr">
        <is>
          <t>LJUNGBY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12681-2025</t>
        </is>
      </c>
      <c r="B4585" s="1" t="n">
        <v>45733.44309027777</v>
      </c>
      <c r="C4585" s="1" t="n">
        <v>45957</v>
      </c>
      <c r="D4585" t="inlineStr">
        <is>
          <t>KRONOBERGS LÄN</t>
        </is>
      </c>
      <c r="E4585" t="inlineStr">
        <is>
          <t>LJUNGBY</t>
        </is>
      </c>
      <c r="G4585" t="n">
        <v>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8080-2025</t>
        </is>
      </c>
      <c r="B4586" s="1" t="n">
        <v>45707.66030092593</v>
      </c>
      <c r="C4586" s="1" t="n">
        <v>45957</v>
      </c>
      <c r="D4586" t="inlineStr">
        <is>
          <t>KRONOBERGS LÄN</t>
        </is>
      </c>
      <c r="E4586" t="inlineStr">
        <is>
          <t>LJUNGBY</t>
        </is>
      </c>
      <c r="G4586" t="n">
        <v>1.3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43429-2025</t>
        </is>
      </c>
      <c r="B4587" s="1" t="n">
        <v>45911.42127314815</v>
      </c>
      <c r="C4587" s="1" t="n">
        <v>45957</v>
      </c>
      <c r="D4587" t="inlineStr">
        <is>
          <t>KRONOBERGS LÄN</t>
        </is>
      </c>
      <c r="E4587" t="inlineStr">
        <is>
          <t>ÄLMHULT</t>
        </is>
      </c>
      <c r="G4587" t="n">
        <v>2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60770-2024</t>
        </is>
      </c>
      <c r="B4588" s="1" t="n">
        <v>45644.58094907407</v>
      </c>
      <c r="C4588" s="1" t="n">
        <v>45957</v>
      </c>
      <c r="D4588" t="inlineStr">
        <is>
          <t>KRONOBERGS LÄN</t>
        </is>
      </c>
      <c r="E4588" t="inlineStr">
        <is>
          <t>ALVESTA</t>
        </is>
      </c>
      <c r="G4588" t="n">
        <v>0.5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19189-2025</t>
        </is>
      </c>
      <c r="B4589" s="1" t="n">
        <v>45769.41568287037</v>
      </c>
      <c r="C4589" s="1" t="n">
        <v>45957</v>
      </c>
      <c r="D4589" t="inlineStr">
        <is>
          <t>KRONOBERGS LÄN</t>
        </is>
      </c>
      <c r="E4589" t="inlineStr">
        <is>
          <t>UPPVIDINGE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43451-2025</t>
        </is>
      </c>
      <c r="B4590" s="1" t="n">
        <v>45911.45743055556</v>
      </c>
      <c r="C4590" s="1" t="n">
        <v>45957</v>
      </c>
      <c r="D4590" t="inlineStr">
        <is>
          <t>KRONOBERGS LÄN</t>
        </is>
      </c>
      <c r="E4590" t="inlineStr">
        <is>
          <t>VÄXJÖ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10734-2025</t>
        </is>
      </c>
      <c r="B4591" s="1" t="n">
        <v>45722</v>
      </c>
      <c r="C4591" s="1" t="n">
        <v>45957</v>
      </c>
      <c r="D4591" t="inlineStr">
        <is>
          <t>KRONOBERGS LÄN</t>
        </is>
      </c>
      <c r="E4591" t="inlineStr">
        <is>
          <t>TINGSRYD</t>
        </is>
      </c>
      <c r="G4591" t="n">
        <v>0.7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43491-2025</t>
        </is>
      </c>
      <c r="B4592" s="1" t="n">
        <v>45911.51158564815</v>
      </c>
      <c r="C4592" s="1" t="n">
        <v>45957</v>
      </c>
      <c r="D4592" t="inlineStr">
        <is>
          <t>KRONOBERGS LÄN</t>
        </is>
      </c>
      <c r="E4592" t="inlineStr">
        <is>
          <t>TINGSRYD</t>
        </is>
      </c>
      <c r="G4592" t="n">
        <v>0.9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18229-2021</t>
        </is>
      </c>
      <c r="B4593" s="1" t="n">
        <v>44303</v>
      </c>
      <c r="C4593" s="1" t="n">
        <v>45957</v>
      </c>
      <c r="D4593" t="inlineStr">
        <is>
          <t>KRONOBERGS LÄN</t>
        </is>
      </c>
      <c r="E4593" t="inlineStr">
        <is>
          <t>MARKARYD</t>
        </is>
      </c>
      <c r="G4593" t="n">
        <v>0.2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39042-2025</t>
        </is>
      </c>
      <c r="B4594" s="1" t="n">
        <v>45888</v>
      </c>
      <c r="C4594" s="1" t="n">
        <v>45957</v>
      </c>
      <c r="D4594" t="inlineStr">
        <is>
          <t>KRONOBERGS LÄN</t>
        </is>
      </c>
      <c r="E4594" t="inlineStr">
        <is>
          <t>LJUNGBY</t>
        </is>
      </c>
      <c r="G4594" t="n">
        <v>6.4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34475-2025</t>
        </is>
      </c>
      <c r="B4595" s="1" t="n">
        <v>45847</v>
      </c>
      <c r="C4595" s="1" t="n">
        <v>45957</v>
      </c>
      <c r="D4595" t="inlineStr">
        <is>
          <t>KRONOBERGS LÄN</t>
        </is>
      </c>
      <c r="E4595" t="inlineStr">
        <is>
          <t>LJUNGBY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39258-2023</t>
        </is>
      </c>
      <c r="B4596" s="1" t="n">
        <v>45166.48193287037</v>
      </c>
      <c r="C4596" s="1" t="n">
        <v>45957</v>
      </c>
      <c r="D4596" t="inlineStr">
        <is>
          <t>KRONOBERGS LÄN</t>
        </is>
      </c>
      <c r="E4596" t="inlineStr">
        <is>
          <t>ALVESTA</t>
        </is>
      </c>
      <c r="G4596" t="n">
        <v>1.3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52532-2025</t>
        </is>
      </c>
      <c r="B4597" s="1" t="n">
        <v>45954.53956018519</v>
      </c>
      <c r="C4597" s="1" t="n">
        <v>45957</v>
      </c>
      <c r="D4597" t="inlineStr">
        <is>
          <t>KRONOBERGS LÄN</t>
        </is>
      </c>
      <c r="E4597" t="inlineStr">
        <is>
          <t>LESSEBO</t>
        </is>
      </c>
      <c r="F4597" t="inlineStr">
        <is>
          <t>Sveaskog</t>
        </is>
      </c>
      <c r="G4597" t="n">
        <v>0.5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52534-2025</t>
        </is>
      </c>
      <c r="B4598" s="1" t="n">
        <v>45954.54306712963</v>
      </c>
      <c r="C4598" s="1" t="n">
        <v>45957</v>
      </c>
      <c r="D4598" t="inlineStr">
        <is>
          <t>KRONOBERGS LÄN</t>
        </is>
      </c>
      <c r="E4598" t="inlineStr">
        <is>
          <t>LESSEBO</t>
        </is>
      </c>
      <c r="F4598" t="inlineStr">
        <is>
          <t>Sveaskog</t>
        </is>
      </c>
      <c r="G4598" t="n">
        <v>2.8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52537-2025</t>
        </is>
      </c>
      <c r="B4599" s="1" t="n">
        <v>45954.54431712963</v>
      </c>
      <c r="C4599" s="1" t="n">
        <v>45957</v>
      </c>
      <c r="D4599" t="inlineStr">
        <is>
          <t>KRONOBERGS LÄN</t>
        </is>
      </c>
      <c r="E4599" t="inlineStr">
        <is>
          <t>LESSEBO</t>
        </is>
      </c>
      <c r="F4599" t="inlineStr">
        <is>
          <t>Sveaskog</t>
        </is>
      </c>
      <c r="G4599" t="n">
        <v>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44065-2025</t>
        </is>
      </c>
      <c r="B4600" s="1" t="n">
        <v>45915.54190972223</v>
      </c>
      <c r="C4600" s="1" t="n">
        <v>45957</v>
      </c>
      <c r="D4600" t="inlineStr">
        <is>
          <t>KRONOBERGS LÄN</t>
        </is>
      </c>
      <c r="E4600" t="inlineStr">
        <is>
          <t>UPPVIDINGE</t>
        </is>
      </c>
      <c r="G4600" t="n">
        <v>1.3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44069-2025</t>
        </is>
      </c>
      <c r="B4601" s="1" t="n">
        <v>45915.54486111111</v>
      </c>
      <c r="C4601" s="1" t="n">
        <v>45957</v>
      </c>
      <c r="D4601" t="inlineStr">
        <is>
          <t>KRONOBERGS LÄN</t>
        </is>
      </c>
      <c r="E4601" t="inlineStr">
        <is>
          <t>UPPVIDINGE</t>
        </is>
      </c>
      <c r="G4601" t="n">
        <v>2.4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43485-2025</t>
        </is>
      </c>
      <c r="B4602" s="1" t="n">
        <v>45911.50686342592</v>
      </c>
      <c r="C4602" s="1" t="n">
        <v>45957</v>
      </c>
      <c r="D4602" t="inlineStr">
        <is>
          <t>KRONOBERGS LÄN</t>
        </is>
      </c>
      <c r="E4602" t="inlineStr">
        <is>
          <t>LJUNGBY</t>
        </is>
      </c>
      <c r="G4602" t="n">
        <v>0.9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43536-2025</t>
        </is>
      </c>
      <c r="B4603" s="1" t="n">
        <v>45911.59913194444</v>
      </c>
      <c r="C4603" s="1" t="n">
        <v>45957</v>
      </c>
      <c r="D4603" t="inlineStr">
        <is>
          <t>KRONOBERGS LÄN</t>
        </is>
      </c>
      <c r="E4603" t="inlineStr">
        <is>
          <t>ALVESTA</t>
        </is>
      </c>
      <c r="G4603" t="n">
        <v>2.1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36782-2025</t>
        </is>
      </c>
      <c r="B4604" s="1" t="n">
        <v>45873</v>
      </c>
      <c r="C4604" s="1" t="n">
        <v>45957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36783-2025</t>
        </is>
      </c>
      <c r="B4605" s="1" t="n">
        <v>45873.61965277778</v>
      </c>
      <c r="C4605" s="1" t="n">
        <v>45957</v>
      </c>
      <c r="D4605" t="inlineStr">
        <is>
          <t>KRONOBERGS LÄN</t>
        </is>
      </c>
      <c r="E4605" t="inlineStr">
        <is>
          <t>TINGSRYD</t>
        </is>
      </c>
      <c r="G4605" t="n">
        <v>1.4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36785-2025</t>
        </is>
      </c>
      <c r="B4606" s="1" t="n">
        <v>45873.62280092593</v>
      </c>
      <c r="C4606" s="1" t="n">
        <v>45957</v>
      </c>
      <c r="D4606" t="inlineStr">
        <is>
          <t>KRONOBERGS LÄN</t>
        </is>
      </c>
      <c r="E4606" t="inlineStr">
        <is>
          <t>TINGSRYD</t>
        </is>
      </c>
      <c r="G4606" t="n">
        <v>2.7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36725-2025</t>
        </is>
      </c>
      <c r="B4607" s="1" t="n">
        <v>45873.48318287037</v>
      </c>
      <c r="C4607" s="1" t="n">
        <v>45957</v>
      </c>
      <c r="D4607" t="inlineStr">
        <is>
          <t>KRONOBERGS LÄN</t>
        </is>
      </c>
      <c r="E4607" t="inlineStr">
        <is>
          <t>TINGSRYD</t>
        </is>
      </c>
      <c r="G4607" t="n">
        <v>2.8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36729-2025</t>
        </is>
      </c>
      <c r="B4608" s="1" t="n">
        <v>45873.49777777777</v>
      </c>
      <c r="C4608" s="1" t="n">
        <v>45957</v>
      </c>
      <c r="D4608" t="inlineStr">
        <is>
          <t>KRONOBERGS LÄN</t>
        </is>
      </c>
      <c r="E4608" t="inlineStr">
        <is>
          <t>ÄLMHULT</t>
        </is>
      </c>
      <c r="G4608" t="n">
        <v>4.3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51274-2021</t>
        </is>
      </c>
      <c r="B4609" s="1" t="n">
        <v>44461</v>
      </c>
      <c r="C4609" s="1" t="n">
        <v>45957</v>
      </c>
      <c r="D4609" t="inlineStr">
        <is>
          <t>KRONOBERGS LÄN</t>
        </is>
      </c>
      <c r="E4609" t="inlineStr">
        <is>
          <t>LJUNGBY</t>
        </is>
      </c>
      <c r="G4609" t="n">
        <v>1.3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10085-2022</t>
        </is>
      </c>
      <c r="B4610" s="1" t="n">
        <v>44621.66707175926</v>
      </c>
      <c r="C4610" s="1" t="n">
        <v>45957</v>
      </c>
      <c r="D4610" t="inlineStr">
        <is>
          <t>KRONOBERGS LÄN</t>
        </is>
      </c>
      <c r="E4610" t="inlineStr">
        <is>
          <t>LJUNGBY</t>
        </is>
      </c>
      <c r="G4610" t="n">
        <v>1.6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17146-2025</t>
        </is>
      </c>
      <c r="B4611" s="1" t="n">
        <v>45756.29621527778</v>
      </c>
      <c r="C4611" s="1" t="n">
        <v>45957</v>
      </c>
      <c r="D4611" t="inlineStr">
        <is>
          <t>KRONOBERGS LÄN</t>
        </is>
      </c>
      <c r="E4611" t="inlineStr">
        <is>
          <t>LJUNGBY</t>
        </is>
      </c>
      <c r="G4611" t="n">
        <v>0.6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40514-2023</t>
        </is>
      </c>
      <c r="B4612" s="1" t="n">
        <v>45170.41726851852</v>
      </c>
      <c r="C4612" s="1" t="n">
        <v>45957</v>
      </c>
      <c r="D4612" t="inlineStr">
        <is>
          <t>KRONOBERGS LÄN</t>
        </is>
      </c>
      <c r="E4612" t="inlineStr">
        <is>
          <t>MARKARYD</t>
        </is>
      </c>
      <c r="G4612" t="n">
        <v>0.6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43467-2025</t>
        </is>
      </c>
      <c r="B4613" s="1" t="n">
        <v>45911.47451388889</v>
      </c>
      <c r="C4613" s="1" t="n">
        <v>45957</v>
      </c>
      <c r="D4613" t="inlineStr">
        <is>
          <t>KRONOBERGS LÄN</t>
        </is>
      </c>
      <c r="E4613" t="inlineStr">
        <is>
          <t>ÄLMHULT</t>
        </is>
      </c>
      <c r="G4613" t="n">
        <v>3.7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43522-2025</t>
        </is>
      </c>
      <c r="B4614" s="1" t="n">
        <v>45911.57913194445</v>
      </c>
      <c r="C4614" s="1" t="n">
        <v>45957</v>
      </c>
      <c r="D4614" t="inlineStr">
        <is>
          <t>KRONOBERGS LÄN</t>
        </is>
      </c>
      <c r="E4614" t="inlineStr">
        <is>
          <t>ÄLMHULT</t>
        </is>
      </c>
      <c r="G4614" t="n">
        <v>1.6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49018-2024</t>
        </is>
      </c>
      <c r="B4615" s="1" t="n">
        <v>45594.50951388889</v>
      </c>
      <c r="C4615" s="1" t="n">
        <v>45957</v>
      </c>
      <c r="D4615" t="inlineStr">
        <is>
          <t>KRONOBERGS LÄN</t>
        </is>
      </c>
      <c r="E4615" t="inlineStr">
        <is>
          <t>VÄXJÖ</t>
        </is>
      </c>
      <c r="F4615" t="inlineStr">
        <is>
          <t>Sveaskog</t>
        </is>
      </c>
      <c r="G4615" t="n">
        <v>0.9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52684-2024</t>
        </is>
      </c>
      <c r="B4616" s="1" t="n">
        <v>45610</v>
      </c>
      <c r="C4616" s="1" t="n">
        <v>45957</v>
      </c>
      <c r="D4616" t="inlineStr">
        <is>
          <t>KRONOBERGS LÄN</t>
        </is>
      </c>
      <c r="E4616" t="inlineStr">
        <is>
          <t>LJUNGBY</t>
        </is>
      </c>
      <c r="F4616" t="inlineStr">
        <is>
          <t>Kyrkan</t>
        </is>
      </c>
      <c r="G4616" t="n">
        <v>3.2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22800-2022</t>
        </is>
      </c>
      <c r="B4617" s="1" t="n">
        <v>44715</v>
      </c>
      <c r="C4617" s="1" t="n">
        <v>45957</v>
      </c>
      <c r="D4617" t="inlineStr">
        <is>
          <t>KRONOBERGS LÄN</t>
        </is>
      </c>
      <c r="E4617" t="inlineStr">
        <is>
          <t>LJUNGBY</t>
        </is>
      </c>
      <c r="G4617" t="n">
        <v>3.5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43809-2025</t>
        </is>
      </c>
      <c r="B4618" s="1" t="n">
        <v>45912.58181712963</v>
      </c>
      <c r="C4618" s="1" t="n">
        <v>45957</v>
      </c>
      <c r="D4618" t="inlineStr">
        <is>
          <t>KRONOBERGS LÄN</t>
        </is>
      </c>
      <c r="E4618" t="inlineStr">
        <is>
          <t>LESSEBO</t>
        </is>
      </c>
      <c r="G4618" t="n">
        <v>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52560-2025</t>
        </is>
      </c>
      <c r="B4619" s="1" t="n">
        <v>45954.56961805555</v>
      </c>
      <c r="C4619" s="1" t="n">
        <v>45957</v>
      </c>
      <c r="D4619" t="inlineStr">
        <is>
          <t>KRONOBERGS LÄN</t>
        </is>
      </c>
      <c r="E4619" t="inlineStr">
        <is>
          <t>ALVESTA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17203-2025</t>
        </is>
      </c>
      <c r="B4620" s="1" t="n">
        <v>45756.42202546296</v>
      </c>
      <c r="C4620" s="1" t="n">
        <v>45957</v>
      </c>
      <c r="D4620" t="inlineStr">
        <is>
          <t>KRONOBERGS LÄN</t>
        </is>
      </c>
      <c r="E4620" t="inlineStr">
        <is>
          <t>LESSEBO</t>
        </is>
      </c>
      <c r="G4620" t="n">
        <v>2.9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51921-2025</t>
        </is>
      </c>
      <c r="B4621" s="1" t="n">
        <v>45952.48637731482</v>
      </c>
      <c r="C4621" s="1" t="n">
        <v>45957</v>
      </c>
      <c r="D4621" t="inlineStr">
        <is>
          <t>KRONOBERGS LÄN</t>
        </is>
      </c>
      <c r="E4621" t="inlineStr">
        <is>
          <t>VÄXJÖ</t>
        </is>
      </c>
      <c r="G4621" t="n">
        <v>0.6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15399-2024</t>
        </is>
      </c>
      <c r="B4622" s="1" t="n">
        <v>45401.32819444445</v>
      </c>
      <c r="C4622" s="1" t="n">
        <v>45957</v>
      </c>
      <c r="D4622" t="inlineStr">
        <is>
          <t>KRONOBERGS LÄN</t>
        </is>
      </c>
      <c r="E4622" t="inlineStr">
        <is>
          <t>LESSEBO</t>
        </is>
      </c>
      <c r="G4622" t="n">
        <v>3.5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29406-2025</t>
        </is>
      </c>
      <c r="B4623" s="1" t="n">
        <v>45824.61572916667</v>
      </c>
      <c r="C4623" s="1" t="n">
        <v>45957</v>
      </c>
      <c r="D4623" t="inlineStr">
        <is>
          <t>KRONOBERGS LÄN</t>
        </is>
      </c>
      <c r="E4623" t="inlineStr">
        <is>
          <t>LJUNGBY</t>
        </is>
      </c>
      <c r="G4623" t="n">
        <v>1.6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19240-2025</t>
        </is>
      </c>
      <c r="B4624" s="1" t="n">
        <v>45769.47458333334</v>
      </c>
      <c r="C4624" s="1" t="n">
        <v>45957</v>
      </c>
      <c r="D4624" t="inlineStr">
        <is>
          <t>KRONOBERGS LÄN</t>
        </is>
      </c>
      <c r="E4624" t="inlineStr">
        <is>
          <t>MARKARYD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43643-2025</t>
        </is>
      </c>
      <c r="B4625" s="1" t="n">
        <v>45911.9012037037</v>
      </c>
      <c r="C4625" s="1" t="n">
        <v>45957</v>
      </c>
      <c r="D4625" t="inlineStr">
        <is>
          <t>KRONOBERGS LÄN</t>
        </is>
      </c>
      <c r="E4625" t="inlineStr">
        <is>
          <t>LJUNGBY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43644-2025</t>
        </is>
      </c>
      <c r="B4626" s="1" t="n">
        <v>45911.91936342593</v>
      </c>
      <c r="C4626" s="1" t="n">
        <v>45957</v>
      </c>
      <c r="D4626" t="inlineStr">
        <is>
          <t>KRONOBERGS LÄN</t>
        </is>
      </c>
      <c r="E4626" t="inlineStr">
        <is>
          <t>LJUNGBY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43665-2025</t>
        </is>
      </c>
      <c r="B4627" s="1" t="n">
        <v>45912.35086805555</v>
      </c>
      <c r="C4627" s="1" t="n">
        <v>45957</v>
      </c>
      <c r="D4627" t="inlineStr">
        <is>
          <t>KRONOBERGS LÄN</t>
        </is>
      </c>
      <c r="E4627" t="inlineStr">
        <is>
          <t>ÄLMHULT</t>
        </is>
      </c>
      <c r="G4627" t="n">
        <v>1.2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36987-2025</t>
        </is>
      </c>
      <c r="B4628" s="1" t="n">
        <v>45874.6512962963</v>
      </c>
      <c r="C4628" s="1" t="n">
        <v>45957</v>
      </c>
      <c r="D4628" t="inlineStr">
        <is>
          <t>KRONOBERGS LÄN</t>
        </is>
      </c>
      <c r="E4628" t="inlineStr">
        <is>
          <t>ÄLMHULT</t>
        </is>
      </c>
      <c r="G4628" t="n">
        <v>0.6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13998-2025</t>
        </is>
      </c>
      <c r="B4629" s="1" t="n">
        <v>45739.84453703704</v>
      </c>
      <c r="C4629" s="1" t="n">
        <v>45957</v>
      </c>
      <c r="D4629" t="inlineStr">
        <is>
          <t>KRONOBERGS LÄN</t>
        </is>
      </c>
      <c r="E4629" t="inlineStr">
        <is>
          <t>LJUNGBY</t>
        </is>
      </c>
      <c r="G4629" t="n">
        <v>2.9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25999-2025</t>
        </is>
      </c>
      <c r="B4630" s="1" t="n">
        <v>45804.66229166667</v>
      </c>
      <c r="C4630" s="1" t="n">
        <v>45957</v>
      </c>
      <c r="D4630" t="inlineStr">
        <is>
          <t>KRONOBERGS LÄN</t>
        </is>
      </c>
      <c r="E4630" t="inlineStr">
        <is>
          <t>LJUNGBY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26001-2025</t>
        </is>
      </c>
      <c r="B4631" s="1" t="n">
        <v>45804</v>
      </c>
      <c r="C4631" s="1" t="n">
        <v>45957</v>
      </c>
      <c r="D4631" t="inlineStr">
        <is>
          <t>KRONOBERGS LÄN</t>
        </is>
      </c>
      <c r="E4631" t="inlineStr">
        <is>
          <t>LJUNGBY</t>
        </is>
      </c>
      <c r="G4631" t="n">
        <v>1.6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44483-2025</t>
        </is>
      </c>
      <c r="B4632" s="1" t="n">
        <v>45916.65115740741</v>
      </c>
      <c r="C4632" s="1" t="n">
        <v>45957</v>
      </c>
      <c r="D4632" t="inlineStr">
        <is>
          <t>KRONOBERGS LÄN</t>
        </is>
      </c>
      <c r="E4632" t="inlineStr">
        <is>
          <t>ALVESTA</t>
        </is>
      </c>
      <c r="G4632" t="n">
        <v>0.9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14561-2024</t>
        </is>
      </c>
      <c r="B4633" s="1" t="n">
        <v>45394.73528935185</v>
      </c>
      <c r="C4633" s="1" t="n">
        <v>45957</v>
      </c>
      <c r="D4633" t="inlineStr">
        <is>
          <t>KRONOBERGS LÄN</t>
        </is>
      </c>
      <c r="E4633" t="inlineStr">
        <is>
          <t>LJUNGBY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44502-2025</t>
        </is>
      </c>
      <c r="B4634" s="1" t="n">
        <v>45916.67770833334</v>
      </c>
      <c r="C4634" s="1" t="n">
        <v>45957</v>
      </c>
      <c r="D4634" t="inlineStr">
        <is>
          <t>KRONOBERGS LÄN</t>
        </is>
      </c>
      <c r="E4634" t="inlineStr">
        <is>
          <t>ÄLMHULT</t>
        </is>
      </c>
      <c r="G4634" t="n">
        <v>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35170-2023</t>
        </is>
      </c>
      <c r="B4635" s="1" t="n">
        <v>45145.58085648148</v>
      </c>
      <c r="C4635" s="1" t="n">
        <v>45957</v>
      </c>
      <c r="D4635" t="inlineStr">
        <is>
          <t>KRONOBERGS LÄN</t>
        </is>
      </c>
      <c r="E4635" t="inlineStr">
        <is>
          <t>LJUNGBY</t>
        </is>
      </c>
      <c r="G4635" t="n">
        <v>0.5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12131-2021</t>
        </is>
      </c>
      <c r="B4636" s="1" t="n">
        <v>44266</v>
      </c>
      <c r="C4636" s="1" t="n">
        <v>45957</v>
      </c>
      <c r="D4636" t="inlineStr">
        <is>
          <t>KRONOBERGS LÄN</t>
        </is>
      </c>
      <c r="E4636" t="inlineStr">
        <is>
          <t>LJUNGBY</t>
        </is>
      </c>
      <c r="G4636" t="n">
        <v>1.9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2648-2025</t>
        </is>
      </c>
      <c r="B4637" s="1" t="n">
        <v>45676.57688657408</v>
      </c>
      <c r="C4637" s="1" t="n">
        <v>45957</v>
      </c>
      <c r="D4637" t="inlineStr">
        <is>
          <t>KRONOBERGS LÄN</t>
        </is>
      </c>
      <c r="E4637" t="inlineStr">
        <is>
          <t>LJUNGBY</t>
        </is>
      </c>
      <c r="G4637" t="n">
        <v>4.2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16274-2025</t>
        </is>
      </c>
      <c r="B4638" s="1" t="n">
        <v>45750.94241898148</v>
      </c>
      <c r="C4638" s="1" t="n">
        <v>45957</v>
      </c>
      <c r="D4638" t="inlineStr">
        <is>
          <t>KRONOBERGS LÄN</t>
        </is>
      </c>
      <c r="E4638" t="inlineStr">
        <is>
          <t>LJUNGBY</t>
        </is>
      </c>
      <c r="G4638" t="n">
        <v>2.2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16594-2025</t>
        </is>
      </c>
      <c r="B4639" s="1" t="n">
        <v>45753.32603009259</v>
      </c>
      <c r="C4639" s="1" t="n">
        <v>45957</v>
      </c>
      <c r="D4639" t="inlineStr">
        <is>
          <t>KRONOBERGS LÄN</t>
        </is>
      </c>
      <c r="E4639" t="inlineStr">
        <is>
          <t>VÄXJÖ</t>
        </is>
      </c>
      <c r="G4639" t="n">
        <v>0.2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51276-2021</t>
        </is>
      </c>
      <c r="B4640" s="1" t="n">
        <v>44461.57160879629</v>
      </c>
      <c r="C4640" s="1" t="n">
        <v>45957</v>
      </c>
      <c r="D4640" t="inlineStr">
        <is>
          <t>KRONOBERGS LÄN</t>
        </is>
      </c>
      <c r="E4640" t="inlineStr">
        <is>
          <t>LJUNGBY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46856-2021</t>
        </is>
      </c>
      <c r="B4641" s="1" t="n">
        <v>44446</v>
      </c>
      <c r="C4641" s="1" t="n">
        <v>45957</v>
      </c>
      <c r="D4641" t="inlineStr">
        <is>
          <t>KRONOBERGS LÄN</t>
        </is>
      </c>
      <c r="E4641" t="inlineStr">
        <is>
          <t>LJUNGBY</t>
        </is>
      </c>
      <c r="G4641" t="n">
        <v>1.1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25152-2023</t>
        </is>
      </c>
      <c r="B4642" s="1" t="n">
        <v>45079</v>
      </c>
      <c r="C4642" s="1" t="n">
        <v>45957</v>
      </c>
      <c r="D4642" t="inlineStr">
        <is>
          <t>KRONOBERGS LÄN</t>
        </is>
      </c>
      <c r="E4642" t="inlineStr">
        <is>
          <t>LJUNGBY</t>
        </is>
      </c>
      <c r="G4642" t="n">
        <v>5.4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53865-2023</t>
        </is>
      </c>
      <c r="B4643" s="1" t="n">
        <v>45231</v>
      </c>
      <c r="C4643" s="1" t="n">
        <v>45957</v>
      </c>
      <c r="D4643" t="inlineStr">
        <is>
          <t>KRONOBERGS LÄN</t>
        </is>
      </c>
      <c r="E4643" t="inlineStr">
        <is>
          <t>LJUNGBY</t>
        </is>
      </c>
      <c r="G4643" t="n">
        <v>6.6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43922-2025</t>
        </is>
      </c>
      <c r="B4644" s="1" t="n">
        <v>45914.99467592593</v>
      </c>
      <c r="C4644" s="1" t="n">
        <v>45957</v>
      </c>
      <c r="D4644" t="inlineStr">
        <is>
          <t>KRONOBERGS LÄN</t>
        </is>
      </c>
      <c r="E4644" t="inlineStr">
        <is>
          <t>LJUNGBY</t>
        </is>
      </c>
      <c r="G4644" t="n">
        <v>1.4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13388-2023</t>
        </is>
      </c>
      <c r="B4645" s="1" t="n">
        <v>45005</v>
      </c>
      <c r="C4645" s="1" t="n">
        <v>45957</v>
      </c>
      <c r="D4645" t="inlineStr">
        <is>
          <t>KRONOBERGS LÄN</t>
        </is>
      </c>
      <c r="E4645" t="inlineStr">
        <is>
          <t>LJUNGBY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16711-2022</t>
        </is>
      </c>
      <c r="B4646" s="1" t="n">
        <v>44673.39659722222</v>
      </c>
      <c r="C4646" s="1" t="n">
        <v>45957</v>
      </c>
      <c r="D4646" t="inlineStr">
        <is>
          <t>KRONOBERGS LÄN</t>
        </is>
      </c>
      <c r="E4646" t="inlineStr">
        <is>
          <t>MARKARYD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16712-2022</t>
        </is>
      </c>
      <c r="B4647" s="1" t="n">
        <v>44673.39770833333</v>
      </c>
      <c r="C4647" s="1" t="n">
        <v>45957</v>
      </c>
      <c r="D4647" t="inlineStr">
        <is>
          <t>KRONOBERGS LÄN</t>
        </is>
      </c>
      <c r="E4647" t="inlineStr">
        <is>
          <t>MARKARYD</t>
        </is>
      </c>
      <c r="G4647" t="n">
        <v>3.8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63432-2023</t>
        </is>
      </c>
      <c r="B4648" s="1" t="n">
        <v>45274.57935185185</v>
      </c>
      <c r="C4648" s="1" t="n">
        <v>45957</v>
      </c>
      <c r="D4648" t="inlineStr">
        <is>
          <t>KRONOBERGS LÄN</t>
        </is>
      </c>
      <c r="E4648" t="inlineStr">
        <is>
          <t>LJUNGBY</t>
        </is>
      </c>
      <c r="G4648" t="n">
        <v>2.1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56832-2022</t>
        </is>
      </c>
      <c r="B4649" s="1" t="n">
        <v>44894.45888888889</v>
      </c>
      <c r="C4649" s="1" t="n">
        <v>45957</v>
      </c>
      <c r="D4649" t="inlineStr">
        <is>
          <t>KRONOBERGS LÄN</t>
        </is>
      </c>
      <c r="E4649" t="inlineStr">
        <is>
          <t>LJUNGBY</t>
        </is>
      </c>
      <c r="G4649" t="n">
        <v>1.5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35167-2023</t>
        </is>
      </c>
      <c r="B4650" s="1" t="n">
        <v>45145.57798611111</v>
      </c>
      <c r="C4650" s="1" t="n">
        <v>45957</v>
      </c>
      <c r="D4650" t="inlineStr">
        <is>
          <t>KRONOBERGS LÄN</t>
        </is>
      </c>
      <c r="E4650" t="inlineStr">
        <is>
          <t>LJUNGBY</t>
        </is>
      </c>
      <c r="G4650" t="n">
        <v>4.1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24524-2024</t>
        </is>
      </c>
      <c r="B4651" s="1" t="n">
        <v>45460</v>
      </c>
      <c r="C4651" s="1" t="n">
        <v>45957</v>
      </c>
      <c r="D4651" t="inlineStr">
        <is>
          <t>KRONOBERGS LÄN</t>
        </is>
      </c>
      <c r="E4651" t="inlineStr">
        <is>
          <t>VÄXJÖ</t>
        </is>
      </c>
      <c r="G4651" t="n">
        <v>1.5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9288-2023</t>
        </is>
      </c>
      <c r="B4652" s="1" t="n">
        <v>44980.62431712963</v>
      </c>
      <c r="C4652" s="1" t="n">
        <v>45957</v>
      </c>
      <c r="D4652" t="inlineStr">
        <is>
          <t>KRONOBERGS LÄN</t>
        </is>
      </c>
      <c r="E4652" t="inlineStr">
        <is>
          <t>LJUNGBY</t>
        </is>
      </c>
      <c r="G4652" t="n">
        <v>0.6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57875-2023</t>
        </is>
      </c>
      <c r="B4653" s="1" t="n">
        <v>45247.46569444444</v>
      </c>
      <c r="C4653" s="1" t="n">
        <v>45957</v>
      </c>
      <c r="D4653" t="inlineStr">
        <is>
          <t>KRONOBERGS LÄN</t>
        </is>
      </c>
      <c r="E4653" t="inlineStr">
        <is>
          <t>LJUNGBY</t>
        </is>
      </c>
      <c r="G4653" t="n">
        <v>2.5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61676-2024</t>
        </is>
      </c>
      <c r="B4654" s="1" t="n">
        <v>45647</v>
      </c>
      <c r="C4654" s="1" t="n">
        <v>45957</v>
      </c>
      <c r="D4654" t="inlineStr">
        <is>
          <t>KRONOBERGS LÄN</t>
        </is>
      </c>
      <c r="E4654" t="inlineStr">
        <is>
          <t>LJUNGBY</t>
        </is>
      </c>
      <c r="G4654" t="n">
        <v>2.9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40912-2023</t>
        </is>
      </c>
      <c r="B4655" s="1" t="n">
        <v>45173.41140046297</v>
      </c>
      <c r="C4655" s="1" t="n">
        <v>45957</v>
      </c>
      <c r="D4655" t="inlineStr">
        <is>
          <t>KRONOBERGS LÄN</t>
        </is>
      </c>
      <c r="E4655" t="inlineStr">
        <is>
          <t>LESSEBO</t>
        </is>
      </c>
      <c r="G4655" t="n">
        <v>1.4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44189-2025</t>
        </is>
      </c>
      <c r="B4656" s="1" t="n">
        <v>45915.61380787037</v>
      </c>
      <c r="C4656" s="1" t="n">
        <v>45957</v>
      </c>
      <c r="D4656" t="inlineStr">
        <is>
          <t>KRONOBERGS LÄN</t>
        </is>
      </c>
      <c r="E4656" t="inlineStr">
        <is>
          <t>ALVESTA</t>
        </is>
      </c>
      <c r="G4656" t="n">
        <v>0.7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10199-2025</t>
        </is>
      </c>
      <c r="B4657" s="1" t="n">
        <v>45719</v>
      </c>
      <c r="C4657" s="1" t="n">
        <v>45957</v>
      </c>
      <c r="D4657" t="inlineStr">
        <is>
          <t>KRONOBERGS LÄN</t>
        </is>
      </c>
      <c r="E4657" t="inlineStr">
        <is>
          <t>ÄLMHULT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36895-2025</t>
        </is>
      </c>
      <c r="B4658" s="1" t="n">
        <v>45874</v>
      </c>
      <c r="C4658" s="1" t="n">
        <v>45957</v>
      </c>
      <c r="D4658" t="inlineStr">
        <is>
          <t>KRONOBERGS LÄN</t>
        </is>
      </c>
      <c r="E4658" t="inlineStr">
        <is>
          <t>LESSEBO</t>
        </is>
      </c>
      <c r="G4658" t="n">
        <v>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36910-2025</t>
        </is>
      </c>
      <c r="B4659" s="1" t="n">
        <v>45874</v>
      </c>
      <c r="C4659" s="1" t="n">
        <v>45957</v>
      </c>
      <c r="D4659" t="inlineStr">
        <is>
          <t>KRONOBERGS LÄN</t>
        </is>
      </c>
      <c r="E4659" t="inlineStr">
        <is>
          <t>ALVESTA</t>
        </is>
      </c>
      <c r="G4659" t="n">
        <v>1.8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60369-2024</t>
        </is>
      </c>
      <c r="B4660" s="1" t="n">
        <v>45643.46025462963</v>
      </c>
      <c r="C4660" s="1" t="n">
        <v>45957</v>
      </c>
      <c r="D4660" t="inlineStr">
        <is>
          <t>KRONOBERGS LÄN</t>
        </is>
      </c>
      <c r="E4660" t="inlineStr">
        <is>
          <t>MARKARYD</t>
        </is>
      </c>
      <c r="G4660" t="n">
        <v>1.9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35170-2025</t>
        </is>
      </c>
      <c r="B4661" s="1" t="n">
        <v>45852.75837962963</v>
      </c>
      <c r="C4661" s="1" t="n">
        <v>45957</v>
      </c>
      <c r="D4661" t="inlineStr">
        <is>
          <t>KRONOBERGS LÄN</t>
        </is>
      </c>
      <c r="E4661" t="inlineStr">
        <is>
          <t>LJUNGBY</t>
        </is>
      </c>
      <c r="G4661" t="n">
        <v>1.4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34612-2025</t>
        </is>
      </c>
      <c r="B4662" s="1" t="n">
        <v>45847.67734953704</v>
      </c>
      <c r="C4662" s="1" t="n">
        <v>45957</v>
      </c>
      <c r="D4662" t="inlineStr">
        <is>
          <t>KRONOBERGS LÄN</t>
        </is>
      </c>
      <c r="E4662" t="inlineStr">
        <is>
          <t>LJUNGBY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34616-2025</t>
        </is>
      </c>
      <c r="B4663" s="1" t="n">
        <v>45847.67871527778</v>
      </c>
      <c r="C4663" s="1" t="n">
        <v>45957</v>
      </c>
      <c r="D4663" t="inlineStr">
        <is>
          <t>KRONOBERGS LÄN</t>
        </is>
      </c>
      <c r="E4663" t="inlineStr">
        <is>
          <t>LJUNGBY</t>
        </is>
      </c>
      <c r="G4663" t="n">
        <v>1.2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19286-2021</t>
        </is>
      </c>
      <c r="B4664" s="1" t="n">
        <v>44309</v>
      </c>
      <c r="C4664" s="1" t="n">
        <v>45957</v>
      </c>
      <c r="D4664" t="inlineStr">
        <is>
          <t>KRONOBERGS LÄN</t>
        </is>
      </c>
      <c r="E4664" t="inlineStr">
        <is>
          <t>ÄLMHULT</t>
        </is>
      </c>
      <c r="G4664" t="n">
        <v>1.8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61420-2023</t>
        </is>
      </c>
      <c r="B4665" s="1" t="n">
        <v>45264.68074074074</v>
      </c>
      <c r="C4665" s="1" t="n">
        <v>45957</v>
      </c>
      <c r="D4665" t="inlineStr">
        <is>
          <t>KRONOBERGS LÄN</t>
        </is>
      </c>
      <c r="E4665" t="inlineStr">
        <is>
          <t>LJUNGBY</t>
        </is>
      </c>
      <c r="G4665" t="n">
        <v>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61444-2023</t>
        </is>
      </c>
      <c r="B4666" s="1" t="n">
        <v>45264.80158564815</v>
      </c>
      <c r="C4666" s="1" t="n">
        <v>45957</v>
      </c>
      <c r="D4666" t="inlineStr">
        <is>
          <t>KRONOBERGS LÄN</t>
        </is>
      </c>
      <c r="E4666" t="inlineStr">
        <is>
          <t>TINGSRYD</t>
        </is>
      </c>
      <c r="G4666" t="n">
        <v>1.8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33351-2023</t>
        </is>
      </c>
      <c r="B4667" s="1" t="n">
        <v>45117</v>
      </c>
      <c r="C4667" s="1" t="n">
        <v>45957</v>
      </c>
      <c r="D4667" t="inlineStr">
        <is>
          <t>KRONOBERGS LÄN</t>
        </is>
      </c>
      <c r="E4667" t="inlineStr">
        <is>
          <t>TINGSRYD</t>
        </is>
      </c>
      <c r="G4667" t="n">
        <v>2.1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11977-2023</t>
        </is>
      </c>
      <c r="B4668" s="1" t="n">
        <v>44994</v>
      </c>
      <c r="C4668" s="1" t="n">
        <v>45957</v>
      </c>
      <c r="D4668" t="inlineStr">
        <is>
          <t>KRONOBERGS LÄN</t>
        </is>
      </c>
      <c r="E4668" t="inlineStr">
        <is>
          <t>TINGSRYD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12015-2023</t>
        </is>
      </c>
      <c r="B4669" s="1" t="n">
        <v>44995</v>
      </c>
      <c r="C4669" s="1" t="n">
        <v>45957</v>
      </c>
      <c r="D4669" t="inlineStr">
        <is>
          <t>KRONOBERGS LÄN</t>
        </is>
      </c>
      <c r="E4669" t="inlineStr">
        <is>
          <t>VÄXJÖ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12711-2025</t>
        </is>
      </c>
      <c r="B4670" s="1" t="n">
        <v>45733.47277777778</v>
      </c>
      <c r="C4670" s="1" t="n">
        <v>45957</v>
      </c>
      <c r="D4670" t="inlineStr">
        <is>
          <t>KRONOBERGS LÄN</t>
        </is>
      </c>
      <c r="E4670" t="inlineStr">
        <is>
          <t>MARKARYD</t>
        </is>
      </c>
      <c r="G4670" t="n">
        <v>2.7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65087-2023</t>
        </is>
      </c>
      <c r="B4671" s="1" t="n">
        <v>45288.37354166667</v>
      </c>
      <c r="C4671" s="1" t="n">
        <v>45957</v>
      </c>
      <c r="D4671" t="inlineStr">
        <is>
          <t>KRONOBERGS LÄN</t>
        </is>
      </c>
      <c r="E4671" t="inlineStr">
        <is>
          <t>VÄXJÖ</t>
        </is>
      </c>
      <c r="G4671" t="n">
        <v>0.9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13227-2025</t>
        </is>
      </c>
      <c r="B4672" s="1" t="n">
        <v>45735.46112268518</v>
      </c>
      <c r="C4672" s="1" t="n">
        <v>45957</v>
      </c>
      <c r="D4672" t="inlineStr">
        <is>
          <t>KRONOBERGS LÄN</t>
        </is>
      </c>
      <c r="E4672" t="inlineStr">
        <is>
          <t>LJUNGBY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37933-2021</t>
        </is>
      </c>
      <c r="B4673" s="1" t="n">
        <v>44403.67659722222</v>
      </c>
      <c r="C4673" s="1" t="n">
        <v>45957</v>
      </c>
      <c r="D4673" t="inlineStr">
        <is>
          <t>KRONOBERGS LÄN</t>
        </is>
      </c>
      <c r="E4673" t="inlineStr">
        <is>
          <t>LESSEBO</t>
        </is>
      </c>
      <c r="G4673" t="n">
        <v>10.9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31022-2023</t>
        </is>
      </c>
      <c r="B4674" s="1" t="n">
        <v>45113.57717592592</v>
      </c>
      <c r="C4674" s="1" t="n">
        <v>45957</v>
      </c>
      <c r="D4674" t="inlineStr">
        <is>
          <t>KRONOBERGS LÄN</t>
        </is>
      </c>
      <c r="E4674" t="inlineStr">
        <is>
          <t>VÄXJÖ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15774-2025</t>
        </is>
      </c>
      <c r="B4675" s="1" t="n">
        <v>45748.59457175926</v>
      </c>
      <c r="C4675" s="1" t="n">
        <v>45957</v>
      </c>
      <c r="D4675" t="inlineStr">
        <is>
          <t>KRONOBERGS LÄN</t>
        </is>
      </c>
      <c r="E4675" t="inlineStr">
        <is>
          <t>LJUNGBY</t>
        </is>
      </c>
      <c r="G4675" t="n">
        <v>1.4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15798-2025</t>
        </is>
      </c>
      <c r="B4676" s="1" t="n">
        <v>45748.64699074074</v>
      </c>
      <c r="C4676" s="1" t="n">
        <v>45957</v>
      </c>
      <c r="D4676" t="inlineStr">
        <is>
          <t>KRONOBERGS LÄN</t>
        </is>
      </c>
      <c r="E4676" t="inlineStr">
        <is>
          <t>ALVESTA</t>
        </is>
      </c>
      <c r="G4676" t="n">
        <v>1.7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31029-2023</t>
        </is>
      </c>
      <c r="B4677" s="1" t="n">
        <v>45113</v>
      </c>
      <c r="C4677" s="1" t="n">
        <v>45957</v>
      </c>
      <c r="D4677" t="inlineStr">
        <is>
          <t>KRONOBERGS LÄN</t>
        </is>
      </c>
      <c r="E4677" t="inlineStr">
        <is>
          <t>VÄXJÖ</t>
        </is>
      </c>
      <c r="G4677" t="n">
        <v>4.7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70401-2021</t>
        </is>
      </c>
      <c r="B4678" s="1" t="n">
        <v>44536.55450231482</v>
      </c>
      <c r="C4678" s="1" t="n">
        <v>45957</v>
      </c>
      <c r="D4678" t="inlineStr">
        <is>
          <t>KRONOBERGS LÄN</t>
        </is>
      </c>
      <c r="E4678" t="inlineStr">
        <is>
          <t>VÄXJÖ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10744-2025</t>
        </is>
      </c>
      <c r="B4679" s="1" t="n">
        <v>45722.42119212963</v>
      </c>
      <c r="C4679" s="1" t="n">
        <v>45957</v>
      </c>
      <c r="D4679" t="inlineStr">
        <is>
          <t>KRONOBERGS LÄN</t>
        </is>
      </c>
      <c r="E4679" t="inlineStr">
        <is>
          <t>ÄLMHULT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33882-2022</t>
        </is>
      </c>
      <c r="B4680" s="1" t="n">
        <v>44790.59928240741</v>
      </c>
      <c r="C4680" s="1" t="n">
        <v>45957</v>
      </c>
      <c r="D4680" t="inlineStr">
        <is>
          <t>KRONOBERGS LÄN</t>
        </is>
      </c>
      <c r="E4680" t="inlineStr">
        <is>
          <t>MARKARYD</t>
        </is>
      </c>
      <c r="G4680" t="n">
        <v>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57826-2024</t>
        </is>
      </c>
      <c r="B4681" s="1" t="n">
        <v>45631.38643518519</v>
      </c>
      <c r="C4681" s="1" t="n">
        <v>45957</v>
      </c>
      <c r="D4681" t="inlineStr">
        <is>
          <t>KRONOBERGS LÄN</t>
        </is>
      </c>
      <c r="E4681" t="inlineStr">
        <is>
          <t>VÄXJÖ</t>
        </is>
      </c>
      <c r="G4681" t="n">
        <v>10.2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36781-2025</t>
        </is>
      </c>
      <c r="B4682" s="1" t="n">
        <v>45873.60206018519</v>
      </c>
      <c r="C4682" s="1" t="n">
        <v>45957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54963-2023</t>
        </is>
      </c>
      <c r="B4683" s="1" t="n">
        <v>45236</v>
      </c>
      <c r="C4683" s="1" t="n">
        <v>45957</v>
      </c>
      <c r="D4683" t="inlineStr">
        <is>
          <t>KRONOBERGS LÄN</t>
        </is>
      </c>
      <c r="E4683" t="inlineStr">
        <is>
          <t>TINGSRYD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640-2024</t>
        </is>
      </c>
      <c r="B4684" s="1" t="n">
        <v>45299</v>
      </c>
      <c r="C4684" s="1" t="n">
        <v>45957</v>
      </c>
      <c r="D4684" t="inlineStr">
        <is>
          <t>KRONOBERGS LÄN</t>
        </is>
      </c>
      <c r="E4684" t="inlineStr">
        <is>
          <t>TINGSRYD</t>
        </is>
      </c>
      <c r="G4684" t="n">
        <v>1.9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34126-2023</t>
        </is>
      </c>
      <c r="B4685" s="1" t="n">
        <v>45135</v>
      </c>
      <c r="C4685" s="1" t="n">
        <v>45957</v>
      </c>
      <c r="D4685" t="inlineStr">
        <is>
          <t>KRONOBERGS LÄN</t>
        </is>
      </c>
      <c r="E4685" t="inlineStr">
        <is>
          <t>ALVESTA</t>
        </is>
      </c>
      <c r="G4685" t="n">
        <v>0.5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36985-2025</t>
        </is>
      </c>
      <c r="B4686" s="1" t="n">
        <v>45874.65034722222</v>
      </c>
      <c r="C4686" s="1" t="n">
        <v>45957</v>
      </c>
      <c r="D4686" t="inlineStr">
        <is>
          <t>KRONOBERGS LÄN</t>
        </is>
      </c>
      <c r="E4686" t="inlineStr">
        <is>
          <t>LJUNGBY</t>
        </is>
      </c>
      <c r="G4686" t="n">
        <v>1.5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36982-2025</t>
        </is>
      </c>
      <c r="B4687" s="1" t="n">
        <v>45874.64729166667</v>
      </c>
      <c r="C4687" s="1" t="n">
        <v>45957</v>
      </c>
      <c r="D4687" t="inlineStr">
        <is>
          <t>KRONOBERGS LÄN</t>
        </is>
      </c>
      <c r="E4687" t="inlineStr">
        <is>
          <t>ÄLMHULT</t>
        </is>
      </c>
      <c r="G4687" t="n">
        <v>3.8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37002-2025</t>
        </is>
      </c>
      <c r="B4688" s="1" t="n">
        <v>45874.68646990741</v>
      </c>
      <c r="C4688" s="1" t="n">
        <v>45957</v>
      </c>
      <c r="D4688" t="inlineStr">
        <is>
          <t>KRONOBERGS LÄN</t>
        </is>
      </c>
      <c r="E4688" t="inlineStr">
        <is>
          <t>TINGSRYD</t>
        </is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5493-2025</t>
        </is>
      </c>
      <c r="B4689" s="1" t="n">
        <v>45692</v>
      </c>
      <c r="C4689" s="1" t="n">
        <v>45957</v>
      </c>
      <c r="D4689" t="inlineStr">
        <is>
          <t>KRONOBERGS LÄN</t>
        </is>
      </c>
      <c r="E4689" t="inlineStr">
        <is>
          <t>UPPVIDINGE</t>
        </is>
      </c>
      <c r="F4689" t="inlineStr">
        <is>
          <t>Kyrkan</t>
        </is>
      </c>
      <c r="G4689" t="n">
        <v>6.2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5380-2024</t>
        </is>
      </c>
      <c r="B4690" s="1" t="n">
        <v>45331.49637731481</v>
      </c>
      <c r="C4690" s="1" t="n">
        <v>45957</v>
      </c>
      <c r="D4690" t="inlineStr">
        <is>
          <t>KRONOBERGS LÄN</t>
        </is>
      </c>
      <c r="E4690" t="inlineStr">
        <is>
          <t>TINGSRYD</t>
        </is>
      </c>
      <c r="G4690" t="n">
        <v>0.5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44518-2025</t>
        </is>
      </c>
      <c r="B4691" s="1" t="n">
        <v>45916.71357638889</v>
      </c>
      <c r="C4691" s="1" t="n">
        <v>45957</v>
      </c>
      <c r="D4691" t="inlineStr">
        <is>
          <t>KRONOBERGS LÄN</t>
        </is>
      </c>
      <c r="E4691" t="inlineStr">
        <is>
          <t>ÄLMHULT</t>
        </is>
      </c>
      <c r="G4691" t="n">
        <v>1.6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1342-2024</t>
        </is>
      </c>
      <c r="B4692" s="1" t="n">
        <v>45303</v>
      </c>
      <c r="C4692" s="1" t="n">
        <v>45957</v>
      </c>
      <c r="D4692" t="inlineStr">
        <is>
          <t>KRONOBERGS LÄN</t>
        </is>
      </c>
      <c r="E4692" t="inlineStr">
        <is>
          <t>TINGSRYD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60214-2021</t>
        </is>
      </c>
      <c r="B4693" s="1" t="n">
        <v>44495</v>
      </c>
      <c r="C4693" s="1" t="n">
        <v>45957</v>
      </c>
      <c r="D4693" t="inlineStr">
        <is>
          <t>KRONOBERGS LÄN</t>
        </is>
      </c>
      <c r="E4693" t="inlineStr">
        <is>
          <t>TINGSRYD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37028-2023</t>
        </is>
      </c>
      <c r="B4694" s="1" t="n">
        <v>45155</v>
      </c>
      <c r="C4694" s="1" t="n">
        <v>45957</v>
      </c>
      <c r="D4694" t="inlineStr">
        <is>
          <t>KRONOBERGS LÄN</t>
        </is>
      </c>
      <c r="E4694" t="inlineStr">
        <is>
          <t>UPPVIDINGE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56363-2023</t>
        </is>
      </c>
      <c r="B4695" s="1" t="n">
        <v>45243</v>
      </c>
      <c r="C4695" s="1" t="n">
        <v>45957</v>
      </c>
      <c r="D4695" t="inlineStr">
        <is>
          <t>KRONOBERGS LÄN</t>
        </is>
      </c>
      <c r="E4695" t="inlineStr">
        <is>
          <t>UPPVIDINGE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52312-2025</t>
        </is>
      </c>
      <c r="B4696" s="1" t="n">
        <v>45953.65040509259</v>
      </c>
      <c r="C4696" s="1" t="n">
        <v>45957</v>
      </c>
      <c r="D4696" t="inlineStr">
        <is>
          <t>KRONOBERGS LÄN</t>
        </is>
      </c>
      <c r="E4696" t="inlineStr">
        <is>
          <t>VÄXJÖ</t>
        </is>
      </c>
      <c r="G4696" t="n">
        <v>2.2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40966-2022</t>
        </is>
      </c>
      <c r="B4697" s="1" t="n">
        <v>44825.46825231481</v>
      </c>
      <c r="C4697" s="1" t="n">
        <v>45957</v>
      </c>
      <c r="D4697" t="inlineStr">
        <is>
          <t>KRONOBERGS LÄN</t>
        </is>
      </c>
      <c r="E4697" t="inlineStr">
        <is>
          <t>LJUNGBY</t>
        </is>
      </c>
      <c r="G4697" t="n">
        <v>1.2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5186-2021</t>
        </is>
      </c>
      <c r="B4698" s="1" t="n">
        <v>44228.7878587963</v>
      </c>
      <c r="C4698" s="1" t="n">
        <v>45957</v>
      </c>
      <c r="D4698" t="inlineStr">
        <is>
          <t>KRONOBERGS LÄN</t>
        </is>
      </c>
      <c r="E4698" t="inlineStr">
        <is>
          <t>ÄLMHULT</t>
        </is>
      </c>
      <c r="G4698" t="n">
        <v>0.9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18427-2022</t>
        </is>
      </c>
      <c r="B4699" s="1" t="n">
        <v>44686.44046296296</v>
      </c>
      <c r="C4699" s="1" t="n">
        <v>45957</v>
      </c>
      <c r="D4699" t="inlineStr">
        <is>
          <t>KRONOBERGS LÄN</t>
        </is>
      </c>
      <c r="E4699" t="inlineStr">
        <is>
          <t>VÄXJÖ</t>
        </is>
      </c>
      <c r="G4699" t="n">
        <v>0.7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55454-2023</t>
        </is>
      </c>
      <c r="B4700" s="1" t="n">
        <v>45238.45707175926</v>
      </c>
      <c r="C4700" s="1" t="n">
        <v>45957</v>
      </c>
      <c r="D4700" t="inlineStr">
        <is>
          <t>KRONOBERGS LÄN</t>
        </is>
      </c>
      <c r="E4700" t="inlineStr">
        <is>
          <t>TINGSRYD</t>
        </is>
      </c>
      <c r="G4700" t="n">
        <v>0.7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7222-2025</t>
        </is>
      </c>
      <c r="B4701" s="1" t="n">
        <v>45702.48780092593</v>
      </c>
      <c r="C4701" s="1" t="n">
        <v>45957</v>
      </c>
      <c r="D4701" t="inlineStr">
        <is>
          <t>KRONOBERGS LÄN</t>
        </is>
      </c>
      <c r="E4701" t="inlineStr">
        <is>
          <t>TINGSRYD</t>
        </is>
      </c>
      <c r="G4701" t="n">
        <v>1.4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62012-2023</t>
        </is>
      </c>
      <c r="B4702" s="1" t="n">
        <v>45266.64285879629</v>
      </c>
      <c r="C4702" s="1" t="n">
        <v>45957</v>
      </c>
      <c r="D4702" t="inlineStr">
        <is>
          <t>KRONOBERGS LÄN</t>
        </is>
      </c>
      <c r="E4702" t="inlineStr">
        <is>
          <t>MARKARYD</t>
        </is>
      </c>
      <c r="G4702" t="n">
        <v>2.9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64776-2023</t>
        </is>
      </c>
      <c r="B4703" s="1" t="n">
        <v>45281</v>
      </c>
      <c r="C4703" s="1" t="n">
        <v>45957</v>
      </c>
      <c r="D4703" t="inlineStr">
        <is>
          <t>KRONOBERGS LÄN</t>
        </is>
      </c>
      <c r="E4703" t="inlineStr">
        <is>
          <t>MARKARYD</t>
        </is>
      </c>
      <c r="F4703" t="inlineStr">
        <is>
          <t>Kyrkan</t>
        </is>
      </c>
      <c r="G4703" t="n">
        <v>0.8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60621-2023</t>
        </is>
      </c>
      <c r="B4704" s="1" t="n">
        <v>45260.3800462963</v>
      </c>
      <c r="C4704" s="1" t="n">
        <v>45957</v>
      </c>
      <c r="D4704" t="inlineStr">
        <is>
          <t>KRONOBERGS LÄN</t>
        </is>
      </c>
      <c r="E4704" t="inlineStr">
        <is>
          <t>VÄXJÖ</t>
        </is>
      </c>
      <c r="G4704" t="n">
        <v>1.7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30012-2023</t>
        </is>
      </c>
      <c r="B4705" s="1" t="n">
        <v>45109.84163194444</v>
      </c>
      <c r="C4705" s="1" t="n">
        <v>45957</v>
      </c>
      <c r="D4705" t="inlineStr">
        <is>
          <t>KRONOBERGS LÄN</t>
        </is>
      </c>
      <c r="E4705" t="inlineStr">
        <is>
          <t>TINGSRYD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30016-2023</t>
        </is>
      </c>
      <c r="B4706" s="1" t="n">
        <v>45109.88641203703</v>
      </c>
      <c r="C4706" s="1" t="n">
        <v>45957</v>
      </c>
      <c r="D4706" t="inlineStr">
        <is>
          <t>KRONOBERGS LÄN</t>
        </is>
      </c>
      <c r="E4706" t="inlineStr">
        <is>
          <t>TINGSRYD</t>
        </is>
      </c>
      <c r="G4706" t="n">
        <v>1.5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1209-2024</t>
        </is>
      </c>
      <c r="B4707" s="1" t="n">
        <v>45302.6375462963</v>
      </c>
      <c r="C4707" s="1" t="n">
        <v>45957</v>
      </c>
      <c r="D4707" t="inlineStr">
        <is>
          <t>KRONOBERGS LÄN</t>
        </is>
      </c>
      <c r="E4707" t="inlineStr">
        <is>
          <t>TINGSRYD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17289-2025</t>
        </is>
      </c>
      <c r="B4708" s="1" t="n">
        <v>45756</v>
      </c>
      <c r="C4708" s="1" t="n">
        <v>45957</v>
      </c>
      <c r="D4708" t="inlineStr">
        <is>
          <t>KRONOBERGS LÄN</t>
        </is>
      </c>
      <c r="E4708" t="inlineStr">
        <is>
          <t>TINGSRYD</t>
        </is>
      </c>
      <c r="G4708" t="n">
        <v>2.6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61055-2022</t>
        </is>
      </c>
      <c r="B4709" s="1" t="n">
        <v>44915.05086805556</v>
      </c>
      <c r="C4709" s="1" t="n">
        <v>45957</v>
      </c>
      <c r="D4709" t="inlineStr">
        <is>
          <t>KRONOBERGS LÄN</t>
        </is>
      </c>
      <c r="E4709" t="inlineStr">
        <is>
          <t>VÄXJÖ</t>
        </is>
      </c>
      <c r="G4709" t="n">
        <v>1.8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61112-2022</t>
        </is>
      </c>
      <c r="B4710" s="1" t="n">
        <v>44915.41944444444</v>
      </c>
      <c r="C4710" s="1" t="n">
        <v>45957</v>
      </c>
      <c r="D4710" t="inlineStr">
        <is>
          <t>KRONOBERGS LÄN</t>
        </is>
      </c>
      <c r="E4710" t="inlineStr">
        <is>
          <t>UPPVIDINGE</t>
        </is>
      </c>
      <c r="G4710" t="n">
        <v>12.5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12937-2025</t>
        </is>
      </c>
      <c r="B4711" s="1" t="n">
        <v>45734.35563657407</v>
      </c>
      <c r="C4711" s="1" t="n">
        <v>45957</v>
      </c>
      <c r="D4711" t="inlineStr">
        <is>
          <t>KRONOBERGS LÄN</t>
        </is>
      </c>
      <c r="E4711" t="inlineStr">
        <is>
          <t>ÄLMHULT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27810-2024</t>
        </is>
      </c>
      <c r="B4712" s="1" t="n">
        <v>45475</v>
      </c>
      <c r="C4712" s="1" t="n">
        <v>45957</v>
      </c>
      <c r="D4712" t="inlineStr">
        <is>
          <t>KRONOBERGS LÄN</t>
        </is>
      </c>
      <c r="E4712" t="inlineStr">
        <is>
          <t>LJUNGBY</t>
        </is>
      </c>
      <c r="G4712" t="n">
        <v>2.2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9801-2025</t>
        </is>
      </c>
      <c r="B4713" s="1" t="n">
        <v>45715</v>
      </c>
      <c r="C4713" s="1" t="n">
        <v>45957</v>
      </c>
      <c r="D4713" t="inlineStr">
        <is>
          <t>KRONOBERGS LÄN</t>
        </is>
      </c>
      <c r="E4713" t="inlineStr">
        <is>
          <t>ALVESTA</t>
        </is>
      </c>
      <c r="G4713" t="n">
        <v>1.9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53201-2024</t>
        </is>
      </c>
      <c r="B4714" s="1" t="n">
        <v>45612.42126157408</v>
      </c>
      <c r="C4714" s="1" t="n">
        <v>45957</v>
      </c>
      <c r="D4714" t="inlineStr">
        <is>
          <t>KRONOBERGS LÄN</t>
        </is>
      </c>
      <c r="E4714" t="inlineStr">
        <is>
          <t>ÄLMHULT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8501-2023</t>
        </is>
      </c>
      <c r="B4715" s="1" t="n">
        <v>44977</v>
      </c>
      <c r="C4715" s="1" t="n">
        <v>45957</v>
      </c>
      <c r="D4715" t="inlineStr">
        <is>
          <t>KRONOBERGS LÄN</t>
        </is>
      </c>
      <c r="E4715" t="inlineStr">
        <is>
          <t>MARKARYD</t>
        </is>
      </c>
      <c r="G4715" t="n">
        <v>20.7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63078-2021</t>
        </is>
      </c>
      <c r="B4716" s="1" t="n">
        <v>44505.56627314815</v>
      </c>
      <c r="C4716" s="1" t="n">
        <v>45957</v>
      </c>
      <c r="D4716" t="inlineStr">
        <is>
          <t>KRONOBERGS LÄN</t>
        </is>
      </c>
      <c r="E4716" t="inlineStr">
        <is>
          <t>TINGSRYD</t>
        </is>
      </c>
      <c r="G4716" t="n">
        <v>1.2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61666-2024</t>
        </is>
      </c>
      <c r="B4717" s="1" t="n">
        <v>45647</v>
      </c>
      <c r="C4717" s="1" t="n">
        <v>45957</v>
      </c>
      <c r="D4717" t="inlineStr">
        <is>
          <t>KRONOBERGS LÄN</t>
        </is>
      </c>
      <c r="E4717" t="inlineStr">
        <is>
          <t>LJUNGBY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61670-2024</t>
        </is>
      </c>
      <c r="B4718" s="1" t="n">
        <v>45647</v>
      </c>
      <c r="C4718" s="1" t="n">
        <v>45957</v>
      </c>
      <c r="D4718" t="inlineStr">
        <is>
          <t>KRONOBERGS LÄN</t>
        </is>
      </c>
      <c r="E4718" t="inlineStr">
        <is>
          <t>LJUNGBY</t>
        </is>
      </c>
      <c r="G4718" t="n">
        <v>3.7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25997-2025</t>
        </is>
      </c>
      <c r="B4719" s="1" t="n">
        <v>45804.6612962963</v>
      </c>
      <c r="C4719" s="1" t="n">
        <v>45957</v>
      </c>
      <c r="D4719" t="inlineStr">
        <is>
          <t>KRONOBERGS LÄN</t>
        </is>
      </c>
      <c r="E4719" t="inlineStr">
        <is>
          <t>LJUNGBY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14263-2022</t>
        </is>
      </c>
      <c r="B4720" s="1" t="n">
        <v>44651</v>
      </c>
      <c r="C4720" s="1" t="n">
        <v>45957</v>
      </c>
      <c r="D4720" t="inlineStr">
        <is>
          <t>KRONOBERGS LÄN</t>
        </is>
      </c>
      <c r="E4720" t="inlineStr">
        <is>
          <t>VÄXJÖ</t>
        </is>
      </c>
      <c r="G4720" t="n">
        <v>3.3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2960-2024</t>
        </is>
      </c>
      <c r="B4721" s="1" t="n">
        <v>45315.65311342593</v>
      </c>
      <c r="C4721" s="1" t="n">
        <v>45957</v>
      </c>
      <c r="D4721" t="inlineStr">
        <is>
          <t>KRONOBERGS LÄN</t>
        </is>
      </c>
      <c r="E4721" t="inlineStr">
        <is>
          <t>LJUNGBY</t>
        </is>
      </c>
      <c r="G4721" t="n">
        <v>0.8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52291-2023</t>
        </is>
      </c>
      <c r="B4722" s="1" t="n">
        <v>45224.59289351852</v>
      </c>
      <c r="C4722" s="1" t="n">
        <v>45957</v>
      </c>
      <c r="D4722" t="inlineStr">
        <is>
          <t>KRONOBERGS LÄN</t>
        </is>
      </c>
      <c r="E4722" t="inlineStr">
        <is>
          <t>LJUNGBY</t>
        </is>
      </c>
      <c r="G4722" t="n">
        <v>0.5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47015-2023</t>
        </is>
      </c>
      <c r="B4723" s="1" t="n">
        <v>45201.50586805555</v>
      </c>
      <c r="C4723" s="1" t="n">
        <v>45957</v>
      </c>
      <c r="D4723" t="inlineStr">
        <is>
          <t>KRONOBERGS LÄN</t>
        </is>
      </c>
      <c r="E4723" t="inlineStr">
        <is>
          <t>UPPVIDINGE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32978-2023</t>
        </is>
      </c>
      <c r="B4724" s="1" t="n">
        <v>45113</v>
      </c>
      <c r="C4724" s="1" t="n">
        <v>45957</v>
      </c>
      <c r="D4724" t="inlineStr">
        <is>
          <t>KRONOBERGS LÄN</t>
        </is>
      </c>
      <c r="E4724" t="inlineStr">
        <is>
          <t>ALVESTA</t>
        </is>
      </c>
      <c r="G4724" t="n">
        <v>3.5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3239-2025</t>
        </is>
      </c>
      <c r="B4725" s="1" t="n">
        <v>45679.49787037037</v>
      </c>
      <c r="C4725" s="1" t="n">
        <v>45957</v>
      </c>
      <c r="D4725" t="inlineStr">
        <is>
          <t>KRONOBERGS LÄN</t>
        </is>
      </c>
      <c r="E4725" t="inlineStr">
        <is>
          <t>LESSEBO</t>
        </is>
      </c>
      <c r="F4725" t="inlineStr">
        <is>
          <t>Kommuner</t>
        </is>
      </c>
      <c r="G4725" t="n">
        <v>2.5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9033-2025</t>
        </is>
      </c>
      <c r="B4726" s="1" t="n">
        <v>45713</v>
      </c>
      <c r="C4726" s="1" t="n">
        <v>45957</v>
      </c>
      <c r="D4726" t="inlineStr">
        <is>
          <t>KRONOBERGS LÄN</t>
        </is>
      </c>
      <c r="E4726" t="inlineStr">
        <is>
          <t>LJUNGBY</t>
        </is>
      </c>
      <c r="F4726" t="inlineStr">
        <is>
          <t>Sveaskog</t>
        </is>
      </c>
      <c r="G4726" t="n">
        <v>6.6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54541-2023</t>
        </is>
      </c>
      <c r="B4727" s="1" t="n">
        <v>45233</v>
      </c>
      <c r="C4727" s="1" t="n">
        <v>45957</v>
      </c>
      <c r="D4727" t="inlineStr">
        <is>
          <t>KRONOBERGS LÄN</t>
        </is>
      </c>
      <c r="E4727" t="inlineStr">
        <is>
          <t>LESSEBO</t>
        </is>
      </c>
      <c r="F4727" t="inlineStr">
        <is>
          <t>Sveaskog</t>
        </is>
      </c>
      <c r="G4727" t="n">
        <v>0.5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19538-2025</t>
        </is>
      </c>
      <c r="B4728" s="1" t="n">
        <v>45770.48070601852</v>
      </c>
      <c r="C4728" s="1" t="n">
        <v>45957</v>
      </c>
      <c r="D4728" t="inlineStr">
        <is>
          <t>KRONOBERGS LÄN</t>
        </is>
      </c>
      <c r="E4728" t="inlineStr">
        <is>
          <t>ÄLMHULT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8824-2025</t>
        </is>
      </c>
      <c r="B4729" s="1" t="n">
        <v>45712</v>
      </c>
      <c r="C4729" s="1" t="n">
        <v>45957</v>
      </c>
      <c r="D4729" t="inlineStr">
        <is>
          <t>KRONOBERGS LÄN</t>
        </is>
      </c>
      <c r="E4729" t="inlineStr">
        <is>
          <t>LJUNGBY</t>
        </is>
      </c>
      <c r="G4729" t="n">
        <v>0.8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50629-2023</t>
        </is>
      </c>
      <c r="B4730" s="1" t="n">
        <v>45217</v>
      </c>
      <c r="C4730" s="1" t="n">
        <v>45957</v>
      </c>
      <c r="D4730" t="inlineStr">
        <is>
          <t>KRONOBERGS LÄN</t>
        </is>
      </c>
      <c r="E4730" t="inlineStr">
        <is>
          <t>ALVESTA</t>
        </is>
      </c>
      <c r="G4730" t="n">
        <v>5.4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50030-2023</t>
        </is>
      </c>
      <c r="B4731" s="1" t="n">
        <v>45215.48378472222</v>
      </c>
      <c r="C4731" s="1" t="n">
        <v>45957</v>
      </c>
      <c r="D4731" t="inlineStr">
        <is>
          <t>KRONOBERGS LÄN</t>
        </is>
      </c>
      <c r="E4731" t="inlineStr">
        <is>
          <t>LJUNGBY</t>
        </is>
      </c>
      <c r="G4731" t="n">
        <v>0.4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20524-2025</t>
        </is>
      </c>
      <c r="B4732" s="1" t="n">
        <v>45775.60414351852</v>
      </c>
      <c r="C4732" s="1" t="n">
        <v>45957</v>
      </c>
      <c r="D4732" t="inlineStr">
        <is>
          <t>KRONOBERGS LÄN</t>
        </is>
      </c>
      <c r="E4732" t="inlineStr">
        <is>
          <t>LJUNGBY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20525-2025</t>
        </is>
      </c>
      <c r="B4733" s="1" t="n">
        <v>45775</v>
      </c>
      <c r="C4733" s="1" t="n">
        <v>45957</v>
      </c>
      <c r="D4733" t="inlineStr">
        <is>
          <t>KRONOBERGS LÄN</t>
        </is>
      </c>
      <c r="E4733" t="inlineStr">
        <is>
          <t>TINGSRYD</t>
        </is>
      </c>
      <c r="G4733" t="n">
        <v>7.6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57574-2023</t>
        </is>
      </c>
      <c r="B4734" s="1" t="n">
        <v>45246</v>
      </c>
      <c r="C4734" s="1" t="n">
        <v>45957</v>
      </c>
      <c r="D4734" t="inlineStr">
        <is>
          <t>KRONOBERGS LÄN</t>
        </is>
      </c>
      <c r="E4734" t="inlineStr">
        <is>
          <t>ÄLMHULT</t>
        </is>
      </c>
      <c r="G4734" t="n">
        <v>0.5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3875-2024</t>
        </is>
      </c>
      <c r="B4735" s="1" t="n">
        <v>45322</v>
      </c>
      <c r="C4735" s="1" t="n">
        <v>45957</v>
      </c>
      <c r="D4735" t="inlineStr">
        <is>
          <t>KRONOBERGS LÄN</t>
        </is>
      </c>
      <c r="E4735" t="inlineStr">
        <is>
          <t>LESSEBO</t>
        </is>
      </c>
      <c r="G4735" t="n">
        <v>3.2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44269-2025</t>
        </is>
      </c>
      <c r="B4736" s="1" t="n">
        <v>45916.31818287037</v>
      </c>
      <c r="C4736" s="1" t="n">
        <v>45957</v>
      </c>
      <c r="D4736" t="inlineStr">
        <is>
          <t>KRONOBERGS LÄN</t>
        </is>
      </c>
      <c r="E4736" t="inlineStr">
        <is>
          <t>LJUNGBY</t>
        </is>
      </c>
      <c r="G4736" t="n">
        <v>1.4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4761-2024</t>
        </is>
      </c>
      <c r="B4737" s="1" t="n">
        <v>45328</v>
      </c>
      <c r="C4737" s="1" t="n">
        <v>45957</v>
      </c>
      <c r="D4737" t="inlineStr">
        <is>
          <t>KRONOBERGS LÄN</t>
        </is>
      </c>
      <c r="E4737" t="inlineStr">
        <is>
          <t>LJUNGBY</t>
        </is>
      </c>
      <c r="G4737" t="n">
        <v>51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37016-2025</t>
        </is>
      </c>
      <c r="B4738" s="1" t="n">
        <v>45874</v>
      </c>
      <c r="C4738" s="1" t="n">
        <v>45957</v>
      </c>
      <c r="D4738" t="inlineStr">
        <is>
          <t>KRONOBERGS LÄN</t>
        </is>
      </c>
      <c r="E4738" t="inlineStr">
        <is>
          <t>VÄXJÖ</t>
        </is>
      </c>
      <c r="F4738" t="inlineStr">
        <is>
          <t>Kyrkan</t>
        </is>
      </c>
      <c r="G4738" t="n">
        <v>2.5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1548-2021</t>
        </is>
      </c>
      <c r="B4739" s="1" t="n">
        <v>44209</v>
      </c>
      <c r="C4739" s="1" t="n">
        <v>45957</v>
      </c>
      <c r="D4739" t="inlineStr">
        <is>
          <t>KRONOBERGS LÄN</t>
        </is>
      </c>
      <c r="E4739" t="inlineStr">
        <is>
          <t>LJUNGBY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52365-2025</t>
        </is>
      </c>
      <c r="B4740" s="1" t="n">
        <v>45952</v>
      </c>
      <c r="C4740" s="1" t="n">
        <v>45957</v>
      </c>
      <c r="D4740" t="inlineStr">
        <is>
          <t>KRONOBERGS LÄN</t>
        </is>
      </c>
      <c r="E4740" t="inlineStr">
        <is>
          <t>ALVESTA</t>
        </is>
      </c>
      <c r="G4740" t="n">
        <v>4.8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38334-2021</t>
        </is>
      </c>
      <c r="B4741" s="1" t="n">
        <v>44406</v>
      </c>
      <c r="C4741" s="1" t="n">
        <v>45957</v>
      </c>
      <c r="D4741" t="inlineStr">
        <is>
          <t>KRONOBERGS LÄN</t>
        </is>
      </c>
      <c r="E4741" t="inlineStr">
        <is>
          <t>UPPVIDINGE</t>
        </is>
      </c>
      <c r="G4741" t="n">
        <v>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27941-2021</t>
        </is>
      </c>
      <c r="B4742" s="1" t="n">
        <v>44354.84642361111</v>
      </c>
      <c r="C4742" s="1" t="n">
        <v>45957</v>
      </c>
      <c r="D4742" t="inlineStr">
        <is>
          <t>KRONOBERGS LÄN</t>
        </is>
      </c>
      <c r="E4742" t="inlineStr">
        <is>
          <t>VÄXJÖ</t>
        </is>
      </c>
      <c r="G4742" t="n">
        <v>10.7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16348-2023</t>
        </is>
      </c>
      <c r="B4743" s="1" t="n">
        <v>45028</v>
      </c>
      <c r="C4743" s="1" t="n">
        <v>45957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1.6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44040-2025</t>
        </is>
      </c>
      <c r="B4744" s="1" t="n">
        <v>45915.49127314815</v>
      </c>
      <c r="C4744" s="1" t="n">
        <v>45957</v>
      </c>
      <c r="D4744" t="inlineStr">
        <is>
          <t>KRONOBERGS LÄN</t>
        </is>
      </c>
      <c r="E4744" t="inlineStr">
        <is>
          <t>ÄLMHULT</t>
        </is>
      </c>
      <c r="F4744" t="inlineStr">
        <is>
          <t>Sveaskog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36623-2022</t>
        </is>
      </c>
      <c r="B4745" s="1" t="n">
        <v>44804</v>
      </c>
      <c r="C4745" s="1" t="n">
        <v>45957</v>
      </c>
      <c r="D4745" t="inlineStr">
        <is>
          <t>KRONOBERGS LÄN</t>
        </is>
      </c>
      <c r="E4745" t="inlineStr">
        <is>
          <t>TINGSRYD</t>
        </is>
      </c>
      <c r="G4745" t="n">
        <v>0.8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1163-2021</t>
        </is>
      </c>
      <c r="B4746" s="1" t="n">
        <v>44207</v>
      </c>
      <c r="C4746" s="1" t="n">
        <v>45957</v>
      </c>
      <c r="D4746" t="inlineStr">
        <is>
          <t>KRONOBERGS LÄN</t>
        </is>
      </c>
      <c r="E4746" t="inlineStr">
        <is>
          <t>VÄXJÖ</t>
        </is>
      </c>
      <c r="G4746" t="n">
        <v>0.5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8624-2021</t>
        </is>
      </c>
      <c r="B4747" s="1" t="n">
        <v>44245</v>
      </c>
      <c r="C4747" s="1" t="n">
        <v>45957</v>
      </c>
      <c r="D4747" t="inlineStr">
        <is>
          <t>KRONOBERGS LÄN</t>
        </is>
      </c>
      <c r="E4747" t="inlineStr">
        <is>
          <t>LJUNGBY</t>
        </is>
      </c>
      <c r="G4747" t="n">
        <v>5.1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706-2021</t>
        </is>
      </c>
      <c r="B4748" s="1" t="n">
        <v>44203</v>
      </c>
      <c r="C4748" s="1" t="n">
        <v>45957</v>
      </c>
      <c r="D4748" t="inlineStr">
        <is>
          <t>KRONOBERGS LÄN</t>
        </is>
      </c>
      <c r="E4748" t="inlineStr">
        <is>
          <t>LJUNGBY</t>
        </is>
      </c>
      <c r="G4748" t="n">
        <v>4.1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1061-2024</t>
        </is>
      </c>
      <c r="B4749" s="1" t="n">
        <v>45301.98100694444</v>
      </c>
      <c r="C4749" s="1" t="n">
        <v>45957</v>
      </c>
      <c r="D4749" t="inlineStr">
        <is>
          <t>KRONOBERGS LÄN</t>
        </is>
      </c>
      <c r="E4749" t="inlineStr">
        <is>
          <t>LJUNGBY</t>
        </is>
      </c>
      <c r="G4749" t="n">
        <v>1.7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6071-2024</t>
        </is>
      </c>
      <c r="B4750" s="1" t="n">
        <v>45336</v>
      </c>
      <c r="C4750" s="1" t="n">
        <v>45957</v>
      </c>
      <c r="D4750" t="inlineStr">
        <is>
          <t>KRONOBERGS LÄN</t>
        </is>
      </c>
      <c r="E4750" t="inlineStr">
        <is>
          <t>UPPVIDINGE</t>
        </is>
      </c>
      <c r="G4750" t="n">
        <v>0.5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49552-2023</t>
        </is>
      </c>
      <c r="B4751" s="1" t="n">
        <v>45211.63712962963</v>
      </c>
      <c r="C4751" s="1" t="n">
        <v>45957</v>
      </c>
      <c r="D4751" t="inlineStr">
        <is>
          <t>KRONOBERGS LÄN</t>
        </is>
      </c>
      <c r="E4751" t="inlineStr">
        <is>
          <t>LJUNGBY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42362-2022</t>
        </is>
      </c>
      <c r="B4752" s="1" t="n">
        <v>44831.38086805555</v>
      </c>
      <c r="C4752" s="1" t="n">
        <v>45957</v>
      </c>
      <c r="D4752" t="inlineStr">
        <is>
          <t>KRONOBERGS LÄN</t>
        </is>
      </c>
      <c r="E4752" t="inlineStr">
        <is>
          <t>VÄXJÖ</t>
        </is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43898-2025</t>
        </is>
      </c>
      <c r="B4753" s="1" t="n">
        <v>45912.93515046296</v>
      </c>
      <c r="C4753" s="1" t="n">
        <v>45957</v>
      </c>
      <c r="D4753" t="inlineStr">
        <is>
          <t>KRONOBERGS LÄN</t>
        </is>
      </c>
      <c r="E4753" t="inlineStr">
        <is>
          <t>VÄXJÖ</t>
        </is>
      </c>
      <c r="G4753" t="n">
        <v>1.1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424-2024</t>
        </is>
      </c>
      <c r="B4754" s="1" t="n">
        <v>45296.53465277778</v>
      </c>
      <c r="C4754" s="1" t="n">
        <v>45957</v>
      </c>
      <c r="D4754" t="inlineStr">
        <is>
          <t>KRONOBERGS LÄN</t>
        </is>
      </c>
      <c r="E4754" t="inlineStr">
        <is>
          <t>MARKARYD</t>
        </is>
      </c>
      <c r="G4754" t="n">
        <v>0.4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639-2024</t>
        </is>
      </c>
      <c r="B4755" s="1" t="n">
        <v>45299</v>
      </c>
      <c r="C4755" s="1" t="n">
        <v>45957</v>
      </c>
      <c r="D4755" t="inlineStr">
        <is>
          <t>KRONOBERGS LÄN</t>
        </is>
      </c>
      <c r="E4755" t="inlineStr">
        <is>
          <t>TINGSRYD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3444-2025</t>
        </is>
      </c>
      <c r="B4756" s="1" t="n">
        <v>45679</v>
      </c>
      <c r="C4756" s="1" t="n">
        <v>45957</v>
      </c>
      <c r="D4756" t="inlineStr">
        <is>
          <t>KRONOBERGS LÄN</t>
        </is>
      </c>
      <c r="E4756" t="inlineStr">
        <is>
          <t>ÄLMHULT</t>
        </is>
      </c>
      <c r="G4756" t="n">
        <v>0.7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3488-2025</t>
        </is>
      </c>
      <c r="B4757" s="1" t="n">
        <v>45680.54928240741</v>
      </c>
      <c r="C4757" s="1" t="n">
        <v>45957</v>
      </c>
      <c r="D4757" t="inlineStr">
        <is>
          <t>KRONOBERGS LÄN</t>
        </is>
      </c>
      <c r="E4757" t="inlineStr">
        <is>
          <t>MARKARYD</t>
        </is>
      </c>
      <c r="G4757" t="n">
        <v>1.3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36707-2025</t>
        </is>
      </c>
      <c r="B4758" s="1" t="n">
        <v>45873.45962962963</v>
      </c>
      <c r="C4758" s="1" t="n">
        <v>45957</v>
      </c>
      <c r="D4758" t="inlineStr">
        <is>
          <t>KRONOBERGS LÄN</t>
        </is>
      </c>
      <c r="E4758" t="inlineStr">
        <is>
          <t>TINGSRYD</t>
        </is>
      </c>
      <c r="G4758" t="n">
        <v>3.3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61673-2024</t>
        </is>
      </c>
      <c r="B4759" s="1" t="n">
        <v>45647</v>
      </c>
      <c r="C4759" s="1" t="n">
        <v>45957</v>
      </c>
      <c r="D4759" t="inlineStr">
        <is>
          <t>KRONOBERGS LÄN</t>
        </is>
      </c>
      <c r="E4759" t="inlineStr">
        <is>
          <t>LJUNGBY</t>
        </is>
      </c>
      <c r="G4759" t="n">
        <v>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37101-2025</t>
        </is>
      </c>
      <c r="B4760" s="1" t="n">
        <v>45875</v>
      </c>
      <c r="C4760" s="1" t="n">
        <v>45957</v>
      </c>
      <c r="D4760" t="inlineStr">
        <is>
          <t>KRONOBERGS LÄN</t>
        </is>
      </c>
      <c r="E4760" t="inlineStr">
        <is>
          <t>UPPVIDINGE</t>
        </is>
      </c>
      <c r="G4760" t="n">
        <v>1.8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45016-2025</t>
        </is>
      </c>
      <c r="B4761" s="1" t="n">
        <v>45918</v>
      </c>
      <c r="C4761" s="1" t="n">
        <v>45957</v>
      </c>
      <c r="D4761" t="inlineStr">
        <is>
          <t>KRONOBERGS LÄN</t>
        </is>
      </c>
      <c r="E4761" t="inlineStr">
        <is>
          <t>VÄXJÖ</t>
        </is>
      </c>
      <c r="G4761" t="n">
        <v>5.5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45024-2025</t>
        </is>
      </c>
      <c r="B4762" s="1" t="n">
        <v>45918</v>
      </c>
      <c r="C4762" s="1" t="n">
        <v>45957</v>
      </c>
      <c r="D4762" t="inlineStr">
        <is>
          <t>KRONOBERGS LÄN</t>
        </is>
      </c>
      <c r="E4762" t="inlineStr">
        <is>
          <t>VÄXJÖ</t>
        </is>
      </c>
      <c r="G4762" t="n">
        <v>1.8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6020-2024</t>
        </is>
      </c>
      <c r="B4763" s="1" t="n">
        <v>45336.61974537037</v>
      </c>
      <c r="C4763" s="1" t="n">
        <v>45957</v>
      </c>
      <c r="D4763" t="inlineStr">
        <is>
          <t>KRONOBERGS LÄN</t>
        </is>
      </c>
      <c r="E4763" t="inlineStr">
        <is>
          <t>ALVESTA</t>
        </is>
      </c>
      <c r="G4763" t="n">
        <v>0.3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19322-2025</t>
        </is>
      </c>
      <c r="B4764" s="1" t="n">
        <v>45769.58028935185</v>
      </c>
      <c r="C4764" s="1" t="n">
        <v>45957</v>
      </c>
      <c r="D4764" t="inlineStr">
        <is>
          <t>KRONOBERGS LÄN</t>
        </is>
      </c>
      <c r="E4764" t="inlineStr">
        <is>
          <t>ALVESTA</t>
        </is>
      </c>
      <c r="G4764" t="n">
        <v>1.3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52627-2023</t>
        </is>
      </c>
      <c r="B4765" s="1" t="n">
        <v>45225.63777777777</v>
      </c>
      <c r="C4765" s="1" t="n">
        <v>45957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62169-2023</t>
        </is>
      </c>
      <c r="B4766" s="1" t="n">
        <v>45266</v>
      </c>
      <c r="C4766" s="1" t="n">
        <v>45957</v>
      </c>
      <c r="D4766" t="inlineStr">
        <is>
          <t>KRONOBERGS LÄN</t>
        </is>
      </c>
      <c r="E4766" t="inlineStr">
        <is>
          <t>TINGSRYD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55117-2023</t>
        </is>
      </c>
      <c r="B4767" s="1" t="n">
        <v>45230</v>
      </c>
      <c r="C4767" s="1" t="n">
        <v>45957</v>
      </c>
      <c r="D4767" t="inlineStr">
        <is>
          <t>KRONOBERGS LÄN</t>
        </is>
      </c>
      <c r="E4767" t="inlineStr">
        <is>
          <t>ALVESTA</t>
        </is>
      </c>
      <c r="F4767" t="inlineStr">
        <is>
          <t>Kyrkan</t>
        </is>
      </c>
      <c r="G4767" t="n">
        <v>0.9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48277-2022</t>
        </is>
      </c>
      <c r="B4768" s="1" t="n">
        <v>44858</v>
      </c>
      <c r="C4768" s="1" t="n">
        <v>45957</v>
      </c>
      <c r="D4768" t="inlineStr">
        <is>
          <t>KRONOBERGS LÄN</t>
        </is>
      </c>
      <c r="E4768" t="inlineStr">
        <is>
          <t>UPPVIDINGE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1656-2024</t>
        </is>
      </c>
      <c r="B4769" s="1" t="n">
        <v>45306.81612268519</v>
      </c>
      <c r="C4769" s="1" t="n">
        <v>45957</v>
      </c>
      <c r="D4769" t="inlineStr">
        <is>
          <t>KRONOBERGS LÄN</t>
        </is>
      </c>
      <c r="E4769" t="inlineStr">
        <is>
          <t>MARKARYD</t>
        </is>
      </c>
      <c r="G4769" t="n">
        <v>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1586-2024</t>
        </is>
      </c>
      <c r="B4770" s="1" t="n">
        <v>45306</v>
      </c>
      <c r="C4770" s="1" t="n">
        <v>45957</v>
      </c>
      <c r="D4770" t="inlineStr">
        <is>
          <t>KRONOBERGS LÄN</t>
        </is>
      </c>
      <c r="E4770" t="inlineStr">
        <is>
          <t>TINGSRYD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11552-2025</t>
        </is>
      </c>
      <c r="B4771" s="1" t="n">
        <v>45727.34787037037</v>
      </c>
      <c r="C4771" s="1" t="n">
        <v>45957</v>
      </c>
      <c r="D4771" t="inlineStr">
        <is>
          <t>KRONOBERGS LÄN</t>
        </is>
      </c>
      <c r="E4771" t="inlineStr">
        <is>
          <t>LJUNGBY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32045-2024</t>
        </is>
      </c>
      <c r="B4772" s="1" t="n">
        <v>45510.89869212963</v>
      </c>
      <c r="C4772" s="1" t="n">
        <v>45957</v>
      </c>
      <c r="D4772" t="inlineStr">
        <is>
          <t>KRONOBERGS LÄN</t>
        </is>
      </c>
      <c r="E4772" t="inlineStr">
        <is>
          <t>LJUNGBY</t>
        </is>
      </c>
      <c r="G4772" t="n">
        <v>0.9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14743-2024</t>
        </is>
      </c>
      <c r="B4773" s="1" t="n">
        <v>45397.60945601852</v>
      </c>
      <c r="C4773" s="1" t="n">
        <v>45957</v>
      </c>
      <c r="D4773" t="inlineStr">
        <is>
          <t>KRONOBERGS LÄN</t>
        </is>
      </c>
      <c r="E4773" t="inlineStr">
        <is>
          <t>VÄXJÖ</t>
        </is>
      </c>
      <c r="G4773" t="n">
        <v>2.9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35481-2024</t>
        </is>
      </c>
      <c r="B4774" s="1" t="n">
        <v>45531.48230324074</v>
      </c>
      <c r="C4774" s="1" t="n">
        <v>45957</v>
      </c>
      <c r="D4774" t="inlineStr">
        <is>
          <t>KRONOBERGS LÄN</t>
        </is>
      </c>
      <c r="E4774" t="inlineStr">
        <is>
          <t>ÄLMHULT</t>
        </is>
      </c>
      <c r="G4774" t="n">
        <v>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18206-2025</t>
        </is>
      </c>
      <c r="B4775" s="1" t="n">
        <v>45761.68552083334</v>
      </c>
      <c r="C4775" s="1" t="n">
        <v>45957</v>
      </c>
      <c r="D4775" t="inlineStr">
        <is>
          <t>KRONOBERGS LÄN</t>
        </is>
      </c>
      <c r="E4775" t="inlineStr">
        <is>
          <t>LESSEBO</t>
        </is>
      </c>
      <c r="F4775" t="inlineStr">
        <is>
          <t>Sveaskog</t>
        </is>
      </c>
      <c r="G4775" t="n">
        <v>6.1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18207-2025</t>
        </is>
      </c>
      <c r="B4776" s="1" t="n">
        <v>45761.68600694444</v>
      </c>
      <c r="C4776" s="1" t="n">
        <v>45957</v>
      </c>
      <c r="D4776" t="inlineStr">
        <is>
          <t>KRONOBERGS LÄN</t>
        </is>
      </c>
      <c r="E4776" t="inlineStr">
        <is>
          <t>LESSEBO</t>
        </is>
      </c>
      <c r="F4776" t="inlineStr">
        <is>
          <t>Sveaskog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18211-2025</t>
        </is>
      </c>
      <c r="B4777" s="1" t="n">
        <v>45761.69388888889</v>
      </c>
      <c r="C4777" s="1" t="n">
        <v>45957</v>
      </c>
      <c r="D4777" t="inlineStr">
        <is>
          <t>KRONOBERGS LÄN</t>
        </is>
      </c>
      <c r="E4777" t="inlineStr">
        <is>
          <t>LESSEBO</t>
        </is>
      </c>
      <c r="F4777" t="inlineStr">
        <is>
          <t>Sveaskog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59857-2023</t>
        </is>
      </c>
      <c r="B4778" s="1" t="n">
        <v>45257.57825231482</v>
      </c>
      <c r="C4778" s="1" t="n">
        <v>45957</v>
      </c>
      <c r="D4778" t="inlineStr">
        <is>
          <t>KRONOBERGS LÄN</t>
        </is>
      </c>
      <c r="E4778" t="inlineStr">
        <is>
          <t>LJUNGBY</t>
        </is>
      </c>
      <c r="G4778" t="n">
        <v>1.1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1011-2024</t>
        </is>
      </c>
      <c r="B4779" s="1" t="n">
        <v>45301.65822916666</v>
      </c>
      <c r="C4779" s="1" t="n">
        <v>45957</v>
      </c>
      <c r="D4779" t="inlineStr">
        <is>
          <t>KRONOBERGS LÄN</t>
        </is>
      </c>
      <c r="E4779" t="inlineStr">
        <is>
          <t>VÄXJÖ</t>
        </is>
      </c>
      <c r="G4779" t="n">
        <v>1.7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58054-2023</t>
        </is>
      </c>
      <c r="B4780" s="1" t="n">
        <v>45247</v>
      </c>
      <c r="C4780" s="1" t="n">
        <v>45957</v>
      </c>
      <c r="D4780" t="inlineStr">
        <is>
          <t>KRONOBERGS LÄN</t>
        </is>
      </c>
      <c r="E4780" t="inlineStr">
        <is>
          <t>VÄXJÖ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7703-2024</t>
        </is>
      </c>
      <c r="B4781" s="1" t="n">
        <v>45349</v>
      </c>
      <c r="C4781" s="1" t="n">
        <v>45957</v>
      </c>
      <c r="D4781" t="inlineStr">
        <is>
          <t>KRONOBERGS LÄN</t>
        </is>
      </c>
      <c r="E4781" t="inlineStr">
        <is>
          <t>ALVESTA</t>
        </is>
      </c>
      <c r="G4781" t="n">
        <v>1.3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41905-2022</t>
        </is>
      </c>
      <c r="B4782" s="1" t="n">
        <v>44830.35543981481</v>
      </c>
      <c r="C4782" s="1" t="n">
        <v>45957</v>
      </c>
      <c r="D4782" t="inlineStr">
        <is>
          <t>KRONOBERGS LÄN</t>
        </is>
      </c>
      <c r="E4782" t="inlineStr">
        <is>
          <t>LESSEBO</t>
        </is>
      </c>
      <c r="F4782" t="inlineStr">
        <is>
          <t>Sveaskog</t>
        </is>
      </c>
      <c r="G4782" t="n">
        <v>0.7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8260-2024</t>
        </is>
      </c>
      <c r="B4783" s="1" t="n">
        <v>45352.31188657408</v>
      </c>
      <c r="C4783" s="1" t="n">
        <v>45957</v>
      </c>
      <c r="D4783" t="inlineStr">
        <is>
          <t>KRONOBERGS LÄN</t>
        </is>
      </c>
      <c r="E4783" t="inlineStr">
        <is>
          <t>ÄLMHULT</t>
        </is>
      </c>
      <c r="F4783" t="inlineStr">
        <is>
          <t>Sveaskog</t>
        </is>
      </c>
      <c r="G4783" t="n">
        <v>1.2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9673-2024</t>
        </is>
      </c>
      <c r="B4784" s="1" t="n">
        <v>45362</v>
      </c>
      <c r="C4784" s="1" t="n">
        <v>45957</v>
      </c>
      <c r="D4784" t="inlineStr">
        <is>
          <t>KRONOBERGS LÄN</t>
        </is>
      </c>
      <c r="E4784" t="inlineStr">
        <is>
          <t>ALVESTA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41227-2022</t>
        </is>
      </c>
      <c r="B4785" s="1" t="n">
        <v>44826.33715277778</v>
      </c>
      <c r="C4785" s="1" t="n">
        <v>45957</v>
      </c>
      <c r="D4785" t="inlineStr">
        <is>
          <t>KRONOBERGS LÄN</t>
        </is>
      </c>
      <c r="E4785" t="inlineStr">
        <is>
          <t>ÄLMHULT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2806-2024</t>
        </is>
      </c>
      <c r="B4786" s="1" t="n">
        <v>45314.68846064815</v>
      </c>
      <c r="C4786" s="1" t="n">
        <v>45957</v>
      </c>
      <c r="D4786" t="inlineStr">
        <is>
          <t>KRONOBERGS LÄN</t>
        </is>
      </c>
      <c r="E4786" t="inlineStr">
        <is>
          <t>TINGSRYD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11624-2025</t>
        </is>
      </c>
      <c r="B4787" s="1" t="n">
        <v>45727.45702546297</v>
      </c>
      <c r="C4787" s="1" t="n">
        <v>45957</v>
      </c>
      <c r="D4787" t="inlineStr">
        <is>
          <t>KRONOBERGS LÄN</t>
        </is>
      </c>
      <c r="E4787" t="inlineStr">
        <is>
          <t>TINGSRYD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2119-2024</t>
        </is>
      </c>
      <c r="B4788" s="1" t="n">
        <v>45309.49473379629</v>
      </c>
      <c r="C4788" s="1" t="n">
        <v>45957</v>
      </c>
      <c r="D4788" t="inlineStr">
        <is>
          <t>KRONOBERGS LÄN</t>
        </is>
      </c>
      <c r="E4788" t="inlineStr">
        <is>
          <t>VÄXJÖ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32495-2023</t>
        </is>
      </c>
      <c r="B4789" s="1" t="n">
        <v>45121</v>
      </c>
      <c r="C4789" s="1" t="n">
        <v>45957</v>
      </c>
      <c r="D4789" t="inlineStr">
        <is>
          <t>KRONOBERGS LÄN</t>
        </is>
      </c>
      <c r="E4789" t="inlineStr">
        <is>
          <t>VÄXJÖ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38544-2023</t>
        </is>
      </c>
      <c r="B4790" s="1" t="n">
        <v>45162.588125</v>
      </c>
      <c r="C4790" s="1" t="n">
        <v>45957</v>
      </c>
      <c r="D4790" t="inlineStr">
        <is>
          <t>KRONOBERGS LÄN</t>
        </is>
      </c>
      <c r="E4790" t="inlineStr">
        <is>
          <t>LJUNGBY</t>
        </is>
      </c>
      <c r="G4790" t="n">
        <v>1.1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45020-2025</t>
        </is>
      </c>
      <c r="B4791" s="1" t="n">
        <v>45918</v>
      </c>
      <c r="C4791" s="1" t="n">
        <v>45957</v>
      </c>
      <c r="D4791" t="inlineStr">
        <is>
          <t>KRONOBERGS LÄN</t>
        </is>
      </c>
      <c r="E4791" t="inlineStr">
        <is>
          <t>VÄXJÖ</t>
        </is>
      </c>
      <c r="G4791" t="n">
        <v>2.8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37220-2025</t>
        </is>
      </c>
      <c r="B4792" s="1" t="n">
        <v>45875</v>
      </c>
      <c r="C4792" s="1" t="n">
        <v>45957</v>
      </c>
      <c r="D4792" t="inlineStr">
        <is>
          <t>KRONOBERGS LÄN</t>
        </is>
      </c>
      <c r="E4792" t="inlineStr">
        <is>
          <t>ALVESTA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44671-2025</t>
        </is>
      </c>
      <c r="B4793" s="1" t="n">
        <v>45917.56575231482</v>
      </c>
      <c r="C4793" s="1" t="n">
        <v>45957</v>
      </c>
      <c r="D4793" t="inlineStr">
        <is>
          <t>KRONOBERGS LÄN</t>
        </is>
      </c>
      <c r="E4793" t="inlineStr">
        <is>
          <t>MARKARYD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30110-2022</t>
        </is>
      </c>
      <c r="B4794" s="1" t="n">
        <v>44757.40538194445</v>
      </c>
      <c r="C4794" s="1" t="n">
        <v>45957</v>
      </c>
      <c r="D4794" t="inlineStr">
        <is>
          <t>KRONOBERGS LÄN</t>
        </is>
      </c>
      <c r="E4794" t="inlineStr">
        <is>
          <t>UPPVIDINGE</t>
        </is>
      </c>
      <c r="F4794" t="inlineStr">
        <is>
          <t>Sveaskog</t>
        </is>
      </c>
      <c r="G4794" t="n">
        <v>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36626-2022</t>
        </is>
      </c>
      <c r="B4795" s="1" t="n">
        <v>44804</v>
      </c>
      <c r="C4795" s="1" t="n">
        <v>45957</v>
      </c>
      <c r="D4795" t="inlineStr">
        <is>
          <t>KRONOBERGS LÄN</t>
        </is>
      </c>
      <c r="E4795" t="inlineStr">
        <is>
          <t>TINGSRYD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17095-2022</t>
        </is>
      </c>
      <c r="B4796" s="1" t="n">
        <v>44677.39790509259</v>
      </c>
      <c r="C4796" s="1" t="n">
        <v>45957</v>
      </c>
      <c r="D4796" t="inlineStr">
        <is>
          <t>KRONOBERGS LÄN</t>
        </is>
      </c>
      <c r="E4796" t="inlineStr">
        <is>
          <t>VÄXJÖ</t>
        </is>
      </c>
      <c r="G4796" t="n">
        <v>0.8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52407-2025</t>
        </is>
      </c>
      <c r="B4797" s="1" t="n">
        <v>45954.35844907408</v>
      </c>
      <c r="C4797" s="1" t="n">
        <v>45957</v>
      </c>
      <c r="D4797" t="inlineStr">
        <is>
          <t>KRONOBERGS LÄN</t>
        </is>
      </c>
      <c r="E4797" t="inlineStr">
        <is>
          <t>ÄLMHULT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37924-2022</t>
        </is>
      </c>
      <c r="B4798" s="1" t="n">
        <v>44811.45271990741</v>
      </c>
      <c r="C4798" s="1" t="n">
        <v>45957</v>
      </c>
      <c r="D4798" t="inlineStr">
        <is>
          <t>KRONOBERGS LÄN</t>
        </is>
      </c>
      <c r="E4798" t="inlineStr">
        <is>
          <t>VÄXJÖ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10755-2023</t>
        </is>
      </c>
      <c r="B4799" s="1" t="n">
        <v>44988.85038194444</v>
      </c>
      <c r="C4799" s="1" t="n">
        <v>45957</v>
      </c>
      <c r="D4799" t="inlineStr">
        <is>
          <t>KRONOBERGS LÄN</t>
        </is>
      </c>
      <c r="E4799" t="inlineStr">
        <is>
          <t>LJUNGBY</t>
        </is>
      </c>
      <c r="G4799" t="n">
        <v>2.7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28801-2022</t>
        </is>
      </c>
      <c r="B4800" s="1" t="n">
        <v>44749</v>
      </c>
      <c r="C4800" s="1" t="n">
        <v>45957</v>
      </c>
      <c r="D4800" t="inlineStr">
        <is>
          <t>KRONOBERGS LÄN</t>
        </is>
      </c>
      <c r="E4800" t="inlineStr">
        <is>
          <t>VÄXJÖ</t>
        </is>
      </c>
      <c r="G4800" t="n">
        <v>3.9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6052-2022</t>
        </is>
      </c>
      <c r="B4801" s="1" t="n">
        <v>44599.53033564815</v>
      </c>
      <c r="C4801" s="1" t="n">
        <v>45957</v>
      </c>
      <c r="D4801" t="inlineStr">
        <is>
          <t>KRONOBERGS LÄN</t>
        </is>
      </c>
      <c r="E4801" t="inlineStr">
        <is>
          <t>VÄXJÖ</t>
        </is>
      </c>
      <c r="G4801" t="n">
        <v>2.6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5166-2024</t>
        </is>
      </c>
      <c r="B4802" s="1" t="n">
        <v>45330</v>
      </c>
      <c r="C4802" s="1" t="n">
        <v>45957</v>
      </c>
      <c r="D4802" t="inlineStr">
        <is>
          <t>KRONOBERGS LÄN</t>
        </is>
      </c>
      <c r="E4802" t="inlineStr">
        <is>
          <t>ALVESTA</t>
        </is>
      </c>
      <c r="F4802" t="inlineStr">
        <is>
          <t>Övriga Aktiebolag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16271-2022</t>
        </is>
      </c>
      <c r="B4803" s="1" t="n">
        <v>44670.47001157407</v>
      </c>
      <c r="C4803" s="1" t="n">
        <v>45957</v>
      </c>
      <c r="D4803" t="inlineStr">
        <is>
          <t>KRONOBERGS LÄN</t>
        </is>
      </c>
      <c r="E4803" t="inlineStr">
        <is>
          <t>ALVESTA</t>
        </is>
      </c>
      <c r="G4803" t="n">
        <v>1.3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35707-2021</t>
        </is>
      </c>
      <c r="B4804" s="1" t="n">
        <v>44386.50340277778</v>
      </c>
      <c r="C4804" s="1" t="n">
        <v>45957</v>
      </c>
      <c r="D4804" t="inlineStr">
        <is>
          <t>KRONOBERGS LÄN</t>
        </is>
      </c>
      <c r="E4804" t="inlineStr">
        <is>
          <t>ÄLMHULT</t>
        </is>
      </c>
      <c r="G4804" t="n">
        <v>2.7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59985-2023</t>
        </is>
      </c>
      <c r="B4805" s="1" t="n">
        <v>45257</v>
      </c>
      <c r="C4805" s="1" t="n">
        <v>45957</v>
      </c>
      <c r="D4805" t="inlineStr">
        <is>
          <t>KRONOBERGS LÄN</t>
        </is>
      </c>
      <c r="E4805" t="inlineStr">
        <is>
          <t>MARKARYD</t>
        </is>
      </c>
      <c r="G4805" t="n">
        <v>2.9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28972-2023</t>
        </is>
      </c>
      <c r="B4806" s="1" t="n">
        <v>45104.60564814815</v>
      </c>
      <c r="C4806" s="1" t="n">
        <v>45957</v>
      </c>
      <c r="D4806" t="inlineStr">
        <is>
          <t>KRONOBERGS LÄN</t>
        </is>
      </c>
      <c r="E4806" t="inlineStr">
        <is>
          <t>VÄXJÖ</t>
        </is>
      </c>
      <c r="G4806" t="n">
        <v>1.3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53492-2023</t>
        </is>
      </c>
      <c r="B4807" s="1" t="n">
        <v>45230</v>
      </c>
      <c r="C4807" s="1" t="n">
        <v>45957</v>
      </c>
      <c r="D4807" t="inlineStr">
        <is>
          <t>KRONOBERGS LÄN</t>
        </is>
      </c>
      <c r="E4807" t="inlineStr">
        <is>
          <t>UPPVIDINGE</t>
        </is>
      </c>
      <c r="F4807" t="inlineStr">
        <is>
          <t>Sveaskog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53505-2023</t>
        </is>
      </c>
      <c r="B4808" s="1" t="n">
        <v>45230.39855324074</v>
      </c>
      <c r="C4808" s="1" t="n">
        <v>45957</v>
      </c>
      <c r="D4808" t="inlineStr">
        <is>
          <t>KRONOBERGS LÄN</t>
        </is>
      </c>
      <c r="E4808" t="inlineStr">
        <is>
          <t>MARKARYD</t>
        </is>
      </c>
      <c r="G4808" t="n">
        <v>0.7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41774-2023</t>
        </is>
      </c>
      <c r="B4809" s="1" t="n">
        <v>45176.46609953704</v>
      </c>
      <c r="C4809" s="1" t="n">
        <v>45957</v>
      </c>
      <c r="D4809" t="inlineStr">
        <is>
          <t>KRONOBERGS LÄN</t>
        </is>
      </c>
      <c r="E4809" t="inlineStr">
        <is>
          <t>TINGSRYD</t>
        </is>
      </c>
      <c r="G4809" t="n">
        <v>0.7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13088-2025</t>
        </is>
      </c>
      <c r="B4810" s="1" t="n">
        <v>45734</v>
      </c>
      <c r="C4810" s="1" t="n">
        <v>45957</v>
      </c>
      <c r="D4810" t="inlineStr">
        <is>
          <t>KRONOBERGS LÄN</t>
        </is>
      </c>
      <c r="E4810" t="inlineStr">
        <is>
          <t>UPPVIDINGE</t>
        </is>
      </c>
      <c r="G4810" t="n">
        <v>2.7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8123-2024</t>
        </is>
      </c>
      <c r="B4811" s="1" t="n">
        <v>45351</v>
      </c>
      <c r="C4811" s="1" t="n">
        <v>45957</v>
      </c>
      <c r="D4811" t="inlineStr">
        <is>
          <t>KRONOBERGS LÄN</t>
        </is>
      </c>
      <c r="E4811" t="inlineStr">
        <is>
          <t>UPPVIDINGE</t>
        </is>
      </c>
      <c r="G4811" t="n">
        <v>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52146-2025</t>
        </is>
      </c>
      <c r="B4812" s="1" t="n">
        <v>45953.34363425926</v>
      </c>
      <c r="C4812" s="1" t="n">
        <v>45957</v>
      </c>
      <c r="D4812" t="inlineStr">
        <is>
          <t>KRONOBERGS LÄN</t>
        </is>
      </c>
      <c r="E4812" t="inlineStr">
        <is>
          <t>ÄLMHULT</t>
        </is>
      </c>
      <c r="G4812" t="n">
        <v>1.7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44711-2025</t>
        </is>
      </c>
      <c r="B4813" s="1" t="n">
        <v>45917.61854166666</v>
      </c>
      <c r="C4813" s="1" t="n">
        <v>45957</v>
      </c>
      <c r="D4813" t="inlineStr">
        <is>
          <t>KRONOBERGS LÄN</t>
        </is>
      </c>
      <c r="E4813" t="inlineStr">
        <is>
          <t>MARKARYD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52544-2025</t>
        </is>
      </c>
      <c r="B4814" s="1" t="n">
        <v>45954.55127314815</v>
      </c>
      <c r="C4814" s="1" t="n">
        <v>45957</v>
      </c>
      <c r="D4814" t="inlineStr">
        <is>
          <t>KRONOBERGS LÄN</t>
        </is>
      </c>
      <c r="E4814" t="inlineStr">
        <is>
          <t>LESSEBO</t>
        </is>
      </c>
      <c r="F4814" t="inlineStr">
        <is>
          <t>Sveaskog</t>
        </is>
      </c>
      <c r="G4814" t="n">
        <v>4.6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52546-2025</t>
        </is>
      </c>
      <c r="B4815" s="1" t="n">
        <v>45954.55186342593</v>
      </c>
      <c r="C4815" s="1" t="n">
        <v>45957</v>
      </c>
      <c r="D4815" t="inlineStr">
        <is>
          <t>KRONOBERGS LÄN</t>
        </is>
      </c>
      <c r="E4815" t="inlineStr">
        <is>
          <t>LESSEBO</t>
        </is>
      </c>
      <c r="F4815" t="inlineStr">
        <is>
          <t>Sveaskog</t>
        </is>
      </c>
      <c r="G4815" t="n">
        <v>5.4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52557-2025</t>
        </is>
      </c>
      <c r="B4816" s="1" t="n">
        <v>45954.56895833334</v>
      </c>
      <c r="C4816" s="1" t="n">
        <v>45957</v>
      </c>
      <c r="D4816" t="inlineStr">
        <is>
          <t>KRONOBERGS LÄN</t>
        </is>
      </c>
      <c r="E4816" t="inlineStr">
        <is>
          <t>ALVESTA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64512-2023</t>
        </is>
      </c>
      <c r="B4817" s="1" t="n">
        <v>45281.30739583333</v>
      </c>
      <c r="C4817" s="1" t="n">
        <v>45957</v>
      </c>
      <c r="D4817" t="inlineStr">
        <is>
          <t>KRONOBERGS LÄN</t>
        </is>
      </c>
      <c r="E4817" t="inlineStr">
        <is>
          <t>MARKARYD</t>
        </is>
      </c>
      <c r="G4817" t="n">
        <v>0.9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10453-2024</t>
        </is>
      </c>
      <c r="B4818" s="1" t="n">
        <v>45366.35745370371</v>
      </c>
      <c r="C4818" s="1" t="n">
        <v>45957</v>
      </c>
      <c r="D4818" t="inlineStr">
        <is>
          <t>KRONOBERGS LÄN</t>
        </is>
      </c>
      <c r="E4818" t="inlineStr">
        <is>
          <t>TINGSRYD</t>
        </is>
      </c>
      <c r="G4818" t="n">
        <v>0.8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58473-2023</t>
        </is>
      </c>
      <c r="B4819" s="1" t="n">
        <v>45250.99255787037</v>
      </c>
      <c r="C4819" s="1" t="n">
        <v>45957</v>
      </c>
      <c r="D4819" t="inlineStr">
        <is>
          <t>KRONOBERGS LÄN</t>
        </is>
      </c>
      <c r="E4819" t="inlineStr">
        <is>
          <t>ÄLMHULT</t>
        </is>
      </c>
      <c r="G4819" t="n">
        <v>0.5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58474-2023</t>
        </is>
      </c>
      <c r="B4820" s="1" t="n">
        <v>45250.99520833333</v>
      </c>
      <c r="C4820" s="1" t="n">
        <v>45957</v>
      </c>
      <c r="D4820" t="inlineStr">
        <is>
          <t>KRONOBERGS LÄN</t>
        </is>
      </c>
      <c r="E4820" t="inlineStr">
        <is>
          <t>ÄLMHULT</t>
        </is>
      </c>
      <c r="G4820" t="n">
        <v>0.1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29916-2022</t>
        </is>
      </c>
      <c r="B4821" s="1" t="n">
        <v>44756</v>
      </c>
      <c r="C4821" s="1" t="n">
        <v>45957</v>
      </c>
      <c r="D4821" t="inlineStr">
        <is>
          <t>KRONOBERGS LÄN</t>
        </is>
      </c>
      <c r="E4821" t="inlineStr">
        <is>
          <t>TINGSRYD</t>
        </is>
      </c>
      <c r="G4821" t="n">
        <v>0.6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61398-2023</t>
        </is>
      </c>
      <c r="B4822" s="1" t="n">
        <v>45264.6516087963</v>
      </c>
      <c r="C4822" s="1" t="n">
        <v>45957</v>
      </c>
      <c r="D4822" t="inlineStr">
        <is>
          <t>KRONOBERGS LÄN</t>
        </is>
      </c>
      <c r="E4822" t="inlineStr">
        <is>
          <t>UPPVIDINGE</t>
        </is>
      </c>
      <c r="G4822" t="n">
        <v>2.8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58251-2022</t>
        </is>
      </c>
      <c r="B4823" s="1" t="n">
        <v>44901.43681712963</v>
      </c>
      <c r="C4823" s="1" t="n">
        <v>45957</v>
      </c>
      <c r="D4823" t="inlineStr">
        <is>
          <t>KRONOBERGS LÄN</t>
        </is>
      </c>
      <c r="E4823" t="inlineStr">
        <is>
          <t>TINGSRYD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58256-2022</t>
        </is>
      </c>
      <c r="B4824" s="1" t="n">
        <v>44901.44385416667</v>
      </c>
      <c r="C4824" s="1" t="n">
        <v>45957</v>
      </c>
      <c r="D4824" t="inlineStr">
        <is>
          <t>KRONOBERGS LÄN</t>
        </is>
      </c>
      <c r="E4824" t="inlineStr">
        <is>
          <t>TINGSRYD</t>
        </is>
      </c>
      <c r="G4824" t="n">
        <v>0.5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62209-2023</t>
        </is>
      </c>
      <c r="B4825" s="1" t="n">
        <v>45267.48949074074</v>
      </c>
      <c r="C4825" s="1" t="n">
        <v>45957</v>
      </c>
      <c r="D4825" t="inlineStr">
        <is>
          <t>KRONOBERGS LÄN</t>
        </is>
      </c>
      <c r="E4825" t="inlineStr">
        <is>
          <t>TINGSRYD</t>
        </is>
      </c>
      <c r="G4825" t="n">
        <v>0.8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56008-2023</t>
        </is>
      </c>
      <c r="B4826" s="1" t="n">
        <v>45240.40707175926</v>
      </c>
      <c r="C4826" s="1" t="n">
        <v>45957</v>
      </c>
      <c r="D4826" t="inlineStr">
        <is>
          <t>KRONOBERGS LÄN</t>
        </is>
      </c>
      <c r="E4826" t="inlineStr">
        <is>
          <t>MARKARYD</t>
        </is>
      </c>
      <c r="G4826" t="n">
        <v>2.9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2045-2023</t>
        </is>
      </c>
      <c r="B4827" s="1" t="n">
        <v>44939</v>
      </c>
      <c r="C4827" s="1" t="n">
        <v>45957</v>
      </c>
      <c r="D4827" t="inlineStr">
        <is>
          <t>KRONOBERGS LÄN</t>
        </is>
      </c>
      <c r="E4827" t="inlineStr">
        <is>
          <t>UPPVIDINGE</t>
        </is>
      </c>
      <c r="G4827" t="n">
        <v>7.9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2053-2023</t>
        </is>
      </c>
      <c r="B4828" s="1" t="n">
        <v>44939</v>
      </c>
      <c r="C4828" s="1" t="n">
        <v>45957</v>
      </c>
      <c r="D4828" t="inlineStr">
        <is>
          <t>KRONOBERGS LÄN</t>
        </is>
      </c>
      <c r="E4828" t="inlineStr">
        <is>
          <t>UPPVIDINGE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48472-2021</t>
        </is>
      </c>
      <c r="B4829" s="1" t="n">
        <v>44452.39638888889</v>
      </c>
      <c r="C4829" s="1" t="n">
        <v>45957</v>
      </c>
      <c r="D4829" t="inlineStr">
        <is>
          <t>KRONOBERGS LÄN</t>
        </is>
      </c>
      <c r="E4829" t="inlineStr">
        <is>
          <t>VÄXJÖ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19239-2025</t>
        </is>
      </c>
      <c r="B4830" s="1" t="n">
        <v>45769.47380787037</v>
      </c>
      <c r="C4830" s="1" t="n">
        <v>45957</v>
      </c>
      <c r="D4830" t="inlineStr">
        <is>
          <t>KRONOBERGS LÄN</t>
        </is>
      </c>
      <c r="E4830" t="inlineStr">
        <is>
          <t>VÄXJÖ</t>
        </is>
      </c>
      <c r="G4830" t="n">
        <v>5.7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19247-2025</t>
        </is>
      </c>
      <c r="B4831" s="1" t="n">
        <v>45769.48512731482</v>
      </c>
      <c r="C4831" s="1" t="n">
        <v>45957</v>
      </c>
      <c r="D4831" t="inlineStr">
        <is>
          <t>KRONOBERGS LÄN</t>
        </is>
      </c>
      <c r="E4831" t="inlineStr">
        <is>
          <t>VÄXJÖ</t>
        </is>
      </c>
      <c r="G4831" t="n">
        <v>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19256-2025</t>
        </is>
      </c>
      <c r="B4832" s="1" t="n">
        <v>45769.49739583334</v>
      </c>
      <c r="C4832" s="1" t="n">
        <v>45957</v>
      </c>
      <c r="D4832" t="inlineStr">
        <is>
          <t>KRONOBERGS LÄN</t>
        </is>
      </c>
      <c r="E4832" t="inlineStr">
        <is>
          <t>VÄXJÖ</t>
        </is>
      </c>
      <c r="G4832" t="n">
        <v>1.8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15132-2024</t>
        </is>
      </c>
      <c r="B4833" s="1" t="n">
        <v>45399</v>
      </c>
      <c r="C4833" s="1" t="n">
        <v>45957</v>
      </c>
      <c r="D4833" t="inlineStr">
        <is>
          <t>KRONOBERGS LÄN</t>
        </is>
      </c>
      <c r="E4833" t="inlineStr">
        <is>
          <t>TINGSRYD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8835-2024</t>
        </is>
      </c>
      <c r="B4834" s="1" t="n">
        <v>45356.68585648148</v>
      </c>
      <c r="C4834" s="1" t="n">
        <v>45957</v>
      </c>
      <c r="D4834" t="inlineStr">
        <is>
          <t>KRONOBERGS LÄN</t>
        </is>
      </c>
      <c r="E4834" t="inlineStr">
        <is>
          <t>LJUNGBY</t>
        </is>
      </c>
      <c r="G4834" t="n">
        <v>0.8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50697-2023</t>
        </is>
      </c>
      <c r="B4835" s="1" t="n">
        <v>45217.54987268519</v>
      </c>
      <c r="C4835" s="1" t="n">
        <v>45957</v>
      </c>
      <c r="D4835" t="inlineStr">
        <is>
          <t>KRONOBERGS LÄN</t>
        </is>
      </c>
      <c r="E4835" t="inlineStr">
        <is>
          <t>ALVESTA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59169-2022</t>
        </is>
      </c>
      <c r="B4836" s="1" t="n">
        <v>44904.48119212963</v>
      </c>
      <c r="C4836" s="1" t="n">
        <v>45957</v>
      </c>
      <c r="D4836" t="inlineStr">
        <is>
          <t>KRONOBERGS LÄN</t>
        </is>
      </c>
      <c r="E4836" t="inlineStr">
        <is>
          <t>TINGSRYD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51096-2023</t>
        </is>
      </c>
      <c r="B4837" s="1" t="n">
        <v>45218.86829861111</v>
      </c>
      <c r="C4837" s="1" t="n">
        <v>45957</v>
      </c>
      <c r="D4837" t="inlineStr">
        <is>
          <t>KRONOBERGS LÄN</t>
        </is>
      </c>
      <c r="E4837" t="inlineStr">
        <is>
          <t>LJUNGBY</t>
        </is>
      </c>
      <c r="G4837" t="n">
        <v>0.5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39436-2022</t>
        </is>
      </c>
      <c r="B4838" s="1" t="n">
        <v>44818.32547453704</v>
      </c>
      <c r="C4838" s="1" t="n">
        <v>45957</v>
      </c>
      <c r="D4838" t="inlineStr">
        <is>
          <t>KRONOBERGS LÄN</t>
        </is>
      </c>
      <c r="E4838" t="inlineStr">
        <is>
          <t>LESSEBO</t>
        </is>
      </c>
      <c r="G4838" t="n">
        <v>2.7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52541-2025</t>
        </is>
      </c>
      <c r="B4839" s="1" t="n">
        <v>45954.54858796296</v>
      </c>
      <c r="C4839" s="1" t="n">
        <v>45957</v>
      </c>
      <c r="D4839" t="inlineStr">
        <is>
          <t>KRONOBERGS LÄN</t>
        </is>
      </c>
      <c r="E4839" t="inlineStr">
        <is>
          <t>LESSEBO</t>
        </is>
      </c>
      <c r="F4839" t="inlineStr">
        <is>
          <t>Sveaskog</t>
        </is>
      </c>
      <c r="G4839" t="n">
        <v>3.2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59265-2023</t>
        </is>
      </c>
      <c r="B4840" s="1" t="n">
        <v>45253.55111111111</v>
      </c>
      <c r="C4840" s="1" t="n">
        <v>45957</v>
      </c>
      <c r="D4840" t="inlineStr">
        <is>
          <t>KRONOBERGS LÄN</t>
        </is>
      </c>
      <c r="E4840" t="inlineStr">
        <is>
          <t>ÄLMHULT</t>
        </is>
      </c>
      <c r="G4840" t="n">
        <v>1.3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50715-2022</t>
        </is>
      </c>
      <c r="B4841" s="1" t="n">
        <v>44867</v>
      </c>
      <c r="C4841" s="1" t="n">
        <v>45957</v>
      </c>
      <c r="D4841" t="inlineStr">
        <is>
          <t>KRONOBERGS LÄN</t>
        </is>
      </c>
      <c r="E4841" t="inlineStr">
        <is>
          <t>TINGSRYD</t>
        </is>
      </c>
      <c r="G4841" t="n">
        <v>3.6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52539-2025</t>
        </is>
      </c>
      <c r="B4842" s="1" t="n">
        <v>45954.54627314815</v>
      </c>
      <c r="C4842" s="1" t="n">
        <v>45957</v>
      </c>
      <c r="D4842" t="inlineStr">
        <is>
          <t>KRONOBERGS LÄN</t>
        </is>
      </c>
      <c r="E4842" t="inlineStr">
        <is>
          <t>LESSEBO</t>
        </is>
      </c>
      <c r="F4842" t="inlineStr">
        <is>
          <t>Sveaskog</t>
        </is>
      </c>
      <c r="G4842" t="n">
        <v>0.7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52542-2025</t>
        </is>
      </c>
      <c r="B4843" s="1" t="n">
        <v>45954.54986111111</v>
      </c>
      <c r="C4843" s="1" t="n">
        <v>45957</v>
      </c>
      <c r="D4843" t="inlineStr">
        <is>
          <t>KRONOBERGS LÄN</t>
        </is>
      </c>
      <c r="E4843" t="inlineStr">
        <is>
          <t>LESSEBO</t>
        </is>
      </c>
      <c r="F4843" t="inlineStr">
        <is>
          <t>Sveaskog</t>
        </is>
      </c>
      <c r="G4843" t="n">
        <v>2.9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43619-2025</t>
        </is>
      </c>
      <c r="B4844" s="1" t="n">
        <v>45911.68001157408</v>
      </c>
      <c r="C4844" s="1" t="n">
        <v>45957</v>
      </c>
      <c r="D4844" t="inlineStr">
        <is>
          <t>KRONOBERGS LÄN</t>
        </is>
      </c>
      <c r="E4844" t="inlineStr">
        <is>
          <t>MARKARYD</t>
        </is>
      </c>
      <c r="G4844" t="n">
        <v>2.5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45919-2023</t>
        </is>
      </c>
      <c r="B4845" s="1" t="n">
        <v>45195.85668981481</v>
      </c>
      <c r="C4845" s="1" t="n">
        <v>45957</v>
      </c>
      <c r="D4845" t="inlineStr">
        <is>
          <t>KRONOBERGS LÄN</t>
        </is>
      </c>
      <c r="E4845" t="inlineStr">
        <is>
          <t>LJUNGBY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60350-2021</t>
        </is>
      </c>
      <c r="B4846" s="1" t="n">
        <v>44496</v>
      </c>
      <c r="C4846" s="1" t="n">
        <v>45957</v>
      </c>
      <c r="D4846" t="inlineStr">
        <is>
          <t>KRONOBERGS LÄN</t>
        </is>
      </c>
      <c r="E4846" t="inlineStr">
        <is>
          <t>VÄXJÖ</t>
        </is>
      </c>
      <c r="G4846" t="n">
        <v>0.4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25261-2024</t>
        </is>
      </c>
      <c r="B4847" s="1" t="n">
        <v>45462</v>
      </c>
      <c r="C4847" s="1" t="n">
        <v>45957</v>
      </c>
      <c r="D4847" t="inlineStr">
        <is>
          <t>KRONOBERGS LÄN</t>
        </is>
      </c>
      <c r="E4847" t="inlineStr">
        <is>
          <t>ALVESTA</t>
        </is>
      </c>
      <c r="G4847" t="n">
        <v>0.9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36376-2021</t>
        </is>
      </c>
      <c r="B4848" s="1" t="n">
        <v>44390.6009837963</v>
      </c>
      <c r="C4848" s="1" t="n">
        <v>45957</v>
      </c>
      <c r="D4848" t="inlineStr">
        <is>
          <t>KRONOBERGS LÄN</t>
        </is>
      </c>
      <c r="E4848" t="inlineStr">
        <is>
          <t>TINGSRYD</t>
        </is>
      </c>
      <c r="G4848" t="n">
        <v>1.5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59688-2022</t>
        </is>
      </c>
      <c r="B4849" s="1" t="n">
        <v>44908</v>
      </c>
      <c r="C4849" s="1" t="n">
        <v>45957</v>
      </c>
      <c r="D4849" t="inlineStr">
        <is>
          <t>KRONOBERGS LÄN</t>
        </is>
      </c>
      <c r="E4849" t="inlineStr">
        <is>
          <t>LJUNGBY</t>
        </is>
      </c>
      <c r="F4849" t="inlineStr">
        <is>
          <t>Sveaskog</t>
        </is>
      </c>
      <c r="G4849" t="n">
        <v>1.9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25644-2021</t>
        </is>
      </c>
      <c r="B4850" s="1" t="n">
        <v>44343.54256944444</v>
      </c>
      <c r="C4850" s="1" t="n">
        <v>45957</v>
      </c>
      <c r="D4850" t="inlineStr">
        <is>
          <t>KRONOBERGS LÄN</t>
        </is>
      </c>
      <c r="E4850" t="inlineStr">
        <is>
          <t>MARKARYD</t>
        </is>
      </c>
      <c r="F4850" t="inlineStr">
        <is>
          <t>Kommuner</t>
        </is>
      </c>
      <c r="G4850" t="n">
        <v>0.9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48414-2022</t>
        </is>
      </c>
      <c r="B4851" s="1" t="n">
        <v>44858.63208333333</v>
      </c>
      <c r="C4851" s="1" t="n">
        <v>45957</v>
      </c>
      <c r="D4851" t="inlineStr">
        <is>
          <t>KRONOBERGS LÄN</t>
        </is>
      </c>
      <c r="E4851" t="inlineStr">
        <is>
          <t>LJUNGBY</t>
        </is>
      </c>
      <c r="G4851" t="n">
        <v>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3588-2023</t>
        </is>
      </c>
      <c r="B4852" s="1" t="n">
        <v>44950</v>
      </c>
      <c r="C4852" s="1" t="n">
        <v>45957</v>
      </c>
      <c r="D4852" t="inlineStr">
        <is>
          <t>KRONOBERGS LÄN</t>
        </is>
      </c>
      <c r="E4852" t="inlineStr">
        <is>
          <t>TINGSRYD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18251-2024</t>
        </is>
      </c>
      <c r="B4853" s="1" t="n">
        <v>45421.47430555556</v>
      </c>
      <c r="C4853" s="1" t="n">
        <v>45957</v>
      </c>
      <c r="D4853" t="inlineStr">
        <is>
          <t>KRONOBERGS LÄN</t>
        </is>
      </c>
      <c r="E4853" t="inlineStr">
        <is>
          <t>ÄLMHULT</t>
        </is>
      </c>
      <c r="G4853" t="n">
        <v>0.5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14429-2023</t>
        </is>
      </c>
      <c r="B4854" s="1" t="n">
        <v>45012</v>
      </c>
      <c r="C4854" s="1" t="n">
        <v>45957</v>
      </c>
      <c r="D4854" t="inlineStr">
        <is>
          <t>KRONOBERGS LÄN</t>
        </is>
      </c>
      <c r="E4854" t="inlineStr">
        <is>
          <t>ÄLMHULT</t>
        </is>
      </c>
      <c r="G4854" t="n">
        <v>1.5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48236-2022</t>
        </is>
      </c>
      <c r="B4855" s="1" t="n">
        <v>44858</v>
      </c>
      <c r="C4855" s="1" t="n">
        <v>45957</v>
      </c>
      <c r="D4855" t="inlineStr">
        <is>
          <t>KRONOBERGS LÄN</t>
        </is>
      </c>
      <c r="E4855" t="inlineStr">
        <is>
          <t>VÄXJÖ</t>
        </is>
      </c>
      <c r="G4855" t="n">
        <v>4.1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42522-2022</t>
        </is>
      </c>
      <c r="B4856" s="1" t="n">
        <v>44831.61528935185</v>
      </c>
      <c r="C4856" s="1" t="n">
        <v>45957</v>
      </c>
      <c r="D4856" t="inlineStr">
        <is>
          <t>KRONOBERGS LÄN</t>
        </is>
      </c>
      <c r="E4856" t="inlineStr">
        <is>
          <t>TINGSRYD</t>
        </is>
      </c>
      <c r="G4856" t="n">
        <v>1.2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42526-2022</t>
        </is>
      </c>
      <c r="B4857" s="1" t="n">
        <v>44831.61790509259</v>
      </c>
      <c r="C4857" s="1" t="n">
        <v>45957</v>
      </c>
      <c r="D4857" t="inlineStr">
        <is>
          <t>KRONOBERGS LÄN</t>
        </is>
      </c>
      <c r="E4857" t="inlineStr">
        <is>
          <t>TINGSRYD</t>
        </is>
      </c>
      <c r="G4857" t="n">
        <v>1.3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6746-2025</t>
        </is>
      </c>
      <c r="B4858" s="1" t="n">
        <v>45700.60534722222</v>
      </c>
      <c r="C4858" s="1" t="n">
        <v>45957</v>
      </c>
      <c r="D4858" t="inlineStr">
        <is>
          <t>KRONOBERGS LÄN</t>
        </is>
      </c>
      <c r="E4858" t="inlineStr">
        <is>
          <t>MARKARYD</t>
        </is>
      </c>
      <c r="G4858" t="n">
        <v>2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49578-2023</t>
        </is>
      </c>
      <c r="B4859" s="1" t="n">
        <v>45211.66349537037</v>
      </c>
      <c r="C4859" s="1" t="n">
        <v>45957</v>
      </c>
      <c r="D4859" t="inlineStr">
        <is>
          <t>KRONOBERGS LÄN</t>
        </is>
      </c>
      <c r="E4859" t="inlineStr">
        <is>
          <t>ÄLMHULT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66789-2021</t>
        </is>
      </c>
      <c r="B4860" s="1" t="n">
        <v>44522.34871527777</v>
      </c>
      <c r="C4860" s="1" t="n">
        <v>45957</v>
      </c>
      <c r="D4860" t="inlineStr">
        <is>
          <t>KRONOBERGS LÄN</t>
        </is>
      </c>
      <c r="E4860" t="inlineStr">
        <is>
          <t>TINGSRYD</t>
        </is>
      </c>
      <c r="F4860" t="inlineStr">
        <is>
          <t>Övriga Aktiebolag</t>
        </is>
      </c>
      <c r="G4860" t="n">
        <v>1.8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24431-2023</t>
        </is>
      </c>
      <c r="B4861" s="1" t="n">
        <v>45082</v>
      </c>
      <c r="C4861" s="1" t="n">
        <v>45957</v>
      </c>
      <c r="D4861" t="inlineStr">
        <is>
          <t>KRONOBERGS LÄN</t>
        </is>
      </c>
      <c r="E4861" t="inlineStr">
        <is>
          <t>TINGSRYD</t>
        </is>
      </c>
      <c r="G4861" t="n">
        <v>1.9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44776-2025</t>
        </is>
      </c>
      <c r="B4862" s="1" t="n">
        <v>45917.84770833333</v>
      </c>
      <c r="C4862" s="1" t="n">
        <v>45957</v>
      </c>
      <c r="D4862" t="inlineStr">
        <is>
          <t>KRONOBERGS LÄN</t>
        </is>
      </c>
      <c r="E4862" t="inlineStr">
        <is>
          <t>TINGSRYD</t>
        </is>
      </c>
      <c r="G4862" t="n">
        <v>1.3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40852-2023</t>
        </is>
      </c>
      <c r="B4863" s="1" t="n">
        <v>45173</v>
      </c>
      <c r="C4863" s="1" t="n">
        <v>45957</v>
      </c>
      <c r="D4863" t="inlineStr">
        <is>
          <t>KRONOBERGS LÄN</t>
        </is>
      </c>
      <c r="E4863" t="inlineStr">
        <is>
          <t>MARKARYD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4217-2024</t>
        </is>
      </c>
      <c r="B4864" s="1" t="n">
        <v>45324.40112268519</v>
      </c>
      <c r="C4864" s="1" t="n">
        <v>45957</v>
      </c>
      <c r="D4864" t="inlineStr">
        <is>
          <t>KRONOBERGS LÄN</t>
        </is>
      </c>
      <c r="E4864" t="inlineStr">
        <is>
          <t>UPPVIDINGE</t>
        </is>
      </c>
      <c r="G4864" t="n">
        <v>1.3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44027-2025</t>
        </is>
      </c>
      <c r="B4865" s="1" t="n">
        <v>45915.48717592593</v>
      </c>
      <c r="C4865" s="1" t="n">
        <v>45957</v>
      </c>
      <c r="D4865" t="inlineStr">
        <is>
          <t>KRONOBERGS LÄN</t>
        </is>
      </c>
      <c r="E4865" t="inlineStr">
        <is>
          <t>ALVESTA</t>
        </is>
      </c>
      <c r="G4865" t="n">
        <v>1.1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15349-2025</t>
        </is>
      </c>
      <c r="B4866" s="1" t="n">
        <v>45747.38277777778</v>
      </c>
      <c r="C4866" s="1" t="n">
        <v>45957</v>
      </c>
      <c r="D4866" t="inlineStr">
        <is>
          <t>KRONOBERGS LÄN</t>
        </is>
      </c>
      <c r="E4866" t="inlineStr">
        <is>
          <t>VÄXJÖ</t>
        </is>
      </c>
      <c r="G4866" t="n">
        <v>1.8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61285-2023</t>
        </is>
      </c>
      <c r="B4867" s="1" t="n">
        <v>45264</v>
      </c>
      <c r="C4867" s="1" t="n">
        <v>45957</v>
      </c>
      <c r="D4867" t="inlineStr">
        <is>
          <t>KRONOBERGS LÄN</t>
        </is>
      </c>
      <c r="E4867" t="inlineStr">
        <is>
          <t>ALVESTA</t>
        </is>
      </c>
      <c r="G4867" t="n">
        <v>0.3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47243-2022</t>
        </is>
      </c>
      <c r="B4868" s="1" t="n">
        <v>44852.89560185185</v>
      </c>
      <c r="C4868" s="1" t="n">
        <v>45957</v>
      </c>
      <c r="D4868" t="inlineStr">
        <is>
          <t>KRONOBERGS LÄN</t>
        </is>
      </c>
      <c r="E4868" t="inlineStr">
        <is>
          <t>LJUNGBY</t>
        </is>
      </c>
      <c r="G4868" t="n">
        <v>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64041-2023</t>
        </is>
      </c>
      <c r="B4869" s="1" t="n">
        <v>45279</v>
      </c>
      <c r="C4869" s="1" t="n">
        <v>45957</v>
      </c>
      <c r="D4869" t="inlineStr">
        <is>
          <t>KRONOBERGS LÄN</t>
        </is>
      </c>
      <c r="E4869" t="inlineStr">
        <is>
          <t>UPPVIDINGE</t>
        </is>
      </c>
      <c r="G4869" t="n">
        <v>2.6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61639-2023</t>
        </is>
      </c>
      <c r="B4870" s="1" t="n">
        <v>45265.56513888889</v>
      </c>
      <c r="C4870" s="1" t="n">
        <v>45957</v>
      </c>
      <c r="D4870" t="inlineStr">
        <is>
          <t>KRONOBERGS LÄN</t>
        </is>
      </c>
      <c r="E4870" t="inlineStr">
        <is>
          <t>MARKARYD</t>
        </is>
      </c>
      <c r="G4870" t="n">
        <v>5.6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37087-2025</t>
        </is>
      </c>
      <c r="B4871" s="1" t="n">
        <v>45875.45658564815</v>
      </c>
      <c r="C4871" s="1" t="n">
        <v>45957</v>
      </c>
      <c r="D4871" t="inlineStr">
        <is>
          <t>KRONOBERGS LÄN</t>
        </is>
      </c>
      <c r="E4871" t="inlineStr">
        <is>
          <t>LJUNGBY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37157-2025</t>
        </is>
      </c>
      <c r="B4872" s="1" t="n">
        <v>45875.59371527778</v>
      </c>
      <c r="C4872" s="1" t="n">
        <v>45957</v>
      </c>
      <c r="D4872" t="inlineStr">
        <is>
          <t>KRONOBERGS LÄN</t>
        </is>
      </c>
      <c r="E4872" t="inlineStr">
        <is>
          <t>TINGSRYD</t>
        </is>
      </c>
      <c r="G4872" t="n">
        <v>1.7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63485-2023</t>
        </is>
      </c>
      <c r="B4873" s="1" t="n">
        <v>45274.6619212963</v>
      </c>
      <c r="C4873" s="1" t="n">
        <v>45957</v>
      </c>
      <c r="D4873" t="inlineStr">
        <is>
          <t>KRONOBERGS LÄN</t>
        </is>
      </c>
      <c r="E4873" t="inlineStr">
        <is>
          <t>VÄXJÖ</t>
        </is>
      </c>
      <c r="G4873" t="n">
        <v>2.8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14324-2025</t>
        </is>
      </c>
      <c r="B4874" s="1" t="n">
        <v>45740.79685185185</v>
      </c>
      <c r="C4874" s="1" t="n">
        <v>45957</v>
      </c>
      <c r="D4874" t="inlineStr">
        <is>
          <t>KRONOBERGS LÄN</t>
        </is>
      </c>
      <c r="E4874" t="inlineStr">
        <is>
          <t>VÄXJÖ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57444-2023</t>
        </is>
      </c>
      <c r="B4875" s="1" t="n">
        <v>45246.34271990741</v>
      </c>
      <c r="C4875" s="1" t="n">
        <v>45957</v>
      </c>
      <c r="D4875" t="inlineStr">
        <is>
          <t>KRONOBERGS LÄN</t>
        </is>
      </c>
      <c r="E4875" t="inlineStr">
        <is>
          <t>VÄXJÖ</t>
        </is>
      </c>
      <c r="G4875" t="n">
        <v>1.6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8755-2025</t>
        </is>
      </c>
      <c r="B4876" s="1" t="n">
        <v>45712.57320601852</v>
      </c>
      <c r="C4876" s="1" t="n">
        <v>45957</v>
      </c>
      <c r="D4876" t="inlineStr">
        <is>
          <t>KRONOBERGS LÄN</t>
        </is>
      </c>
      <c r="E4876" t="inlineStr">
        <is>
          <t>LJUNGBY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4570-2024</t>
        </is>
      </c>
      <c r="B4877" s="1" t="n">
        <v>45327.82774305555</v>
      </c>
      <c r="C4877" s="1" t="n">
        <v>45957</v>
      </c>
      <c r="D4877" t="inlineStr">
        <is>
          <t>KRONOBERGS LÄN</t>
        </is>
      </c>
      <c r="E4877" t="inlineStr">
        <is>
          <t>TINGSRYD</t>
        </is>
      </c>
      <c r="F4877" t="inlineStr">
        <is>
          <t>Sveaskog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14602-2025</t>
        </is>
      </c>
      <c r="B4878" s="1" t="n">
        <v>45742.36822916667</v>
      </c>
      <c r="C4878" s="1" t="n">
        <v>45957</v>
      </c>
      <c r="D4878" t="inlineStr">
        <is>
          <t>KRONOBERGS LÄN</t>
        </is>
      </c>
      <c r="E4878" t="inlineStr">
        <is>
          <t>LJUNGBY</t>
        </is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64354-2023</t>
        </is>
      </c>
      <c r="B4879" s="1" t="n">
        <v>45280</v>
      </c>
      <c r="C4879" s="1" t="n">
        <v>45957</v>
      </c>
      <c r="D4879" t="inlineStr">
        <is>
          <t>KRONOBERGS LÄN</t>
        </is>
      </c>
      <c r="E4879" t="inlineStr">
        <is>
          <t>LJUNGBY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44682-2025</t>
        </is>
      </c>
      <c r="B4880" s="1" t="n">
        <v>45917.58024305556</v>
      </c>
      <c r="C4880" s="1" t="n">
        <v>45957</v>
      </c>
      <c r="D4880" t="inlineStr">
        <is>
          <t>KRONOBERGS LÄN</t>
        </is>
      </c>
      <c r="E4880" t="inlineStr">
        <is>
          <t>LJUNGBY</t>
        </is>
      </c>
      <c r="G4880" t="n">
        <v>1.8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62969-2023</t>
        </is>
      </c>
      <c r="B4881" s="1" t="n">
        <v>45272.57439814815</v>
      </c>
      <c r="C4881" s="1" t="n">
        <v>45957</v>
      </c>
      <c r="D4881" t="inlineStr">
        <is>
          <t>KRONOBERGS LÄN</t>
        </is>
      </c>
      <c r="E4881" t="inlineStr">
        <is>
          <t>ALVESTA</t>
        </is>
      </c>
      <c r="G4881" t="n">
        <v>0.5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62975-2023</t>
        </is>
      </c>
      <c r="B4882" s="1" t="n">
        <v>45272.58155092593</v>
      </c>
      <c r="C4882" s="1" t="n">
        <v>45957</v>
      </c>
      <c r="D4882" t="inlineStr">
        <is>
          <t>KRONOBERGS LÄN</t>
        </is>
      </c>
      <c r="E4882" t="inlineStr">
        <is>
          <t>TINGSRYD</t>
        </is>
      </c>
      <c r="G4882" t="n">
        <v>6.5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45022-2025</t>
        </is>
      </c>
      <c r="B4883" s="1" t="n">
        <v>45918</v>
      </c>
      <c r="C4883" s="1" t="n">
        <v>45957</v>
      </c>
      <c r="D4883" t="inlineStr">
        <is>
          <t>KRONOBERGS LÄN</t>
        </is>
      </c>
      <c r="E4883" t="inlineStr">
        <is>
          <t>VÄXJÖ</t>
        </is>
      </c>
      <c r="G4883" t="n">
        <v>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61194-2023</t>
        </is>
      </c>
      <c r="B4884" s="1" t="n">
        <v>45264</v>
      </c>
      <c r="C4884" s="1" t="n">
        <v>45957</v>
      </c>
      <c r="D4884" t="inlineStr">
        <is>
          <t>KRONOBERGS LÄN</t>
        </is>
      </c>
      <c r="E4884" t="inlineStr">
        <is>
          <t>TINGSRYD</t>
        </is>
      </c>
      <c r="G4884" t="n">
        <v>0.9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14989-2025</t>
        </is>
      </c>
      <c r="B4885" s="1" t="n">
        <v>45743</v>
      </c>
      <c r="C4885" s="1" t="n">
        <v>45957</v>
      </c>
      <c r="D4885" t="inlineStr">
        <is>
          <t>KRONOBERGS LÄN</t>
        </is>
      </c>
      <c r="E4885" t="inlineStr">
        <is>
          <t>VÄXJÖ</t>
        </is>
      </c>
      <c r="G4885" t="n">
        <v>0.7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44899-2025</t>
        </is>
      </c>
      <c r="B4886" s="1" t="n">
        <v>45918.50550925926</v>
      </c>
      <c r="C4886" s="1" t="n">
        <v>45957</v>
      </c>
      <c r="D4886" t="inlineStr">
        <is>
          <t>KRONOBERGS LÄN</t>
        </is>
      </c>
      <c r="E4886" t="inlineStr">
        <is>
          <t>LESSEBO</t>
        </is>
      </c>
      <c r="G4886" t="n">
        <v>0.4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44904-2025</t>
        </is>
      </c>
      <c r="B4887" s="1" t="n">
        <v>45918.51385416667</v>
      </c>
      <c r="C4887" s="1" t="n">
        <v>45957</v>
      </c>
      <c r="D4887" t="inlineStr">
        <is>
          <t>KRONOBERGS LÄN</t>
        </is>
      </c>
      <c r="E4887" t="inlineStr">
        <is>
          <t>LESSEBO</t>
        </is>
      </c>
      <c r="G4887" t="n">
        <v>0.5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37320-2025</t>
        </is>
      </c>
      <c r="B4888" s="1" t="n">
        <v>45876.62177083334</v>
      </c>
      <c r="C4888" s="1" t="n">
        <v>45957</v>
      </c>
      <c r="D4888" t="inlineStr">
        <is>
          <t>KRONOBERGS LÄN</t>
        </is>
      </c>
      <c r="E4888" t="inlineStr">
        <is>
          <t>LJUNGBY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48776-2024</t>
        </is>
      </c>
      <c r="B4889" s="1" t="n">
        <v>45593</v>
      </c>
      <c r="C4889" s="1" t="n">
        <v>45957</v>
      </c>
      <c r="D4889" t="inlineStr">
        <is>
          <t>KRONOBERGS LÄN</t>
        </is>
      </c>
      <c r="E4889" t="inlineStr">
        <is>
          <t>LJUNGBY</t>
        </is>
      </c>
      <c r="F4889" t="inlineStr">
        <is>
          <t>Kyrkan</t>
        </is>
      </c>
      <c r="G4889" t="n">
        <v>1.9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49779-2024</t>
        </is>
      </c>
      <c r="B4890" s="1" t="n">
        <v>45597.3521412037</v>
      </c>
      <c r="C4890" s="1" t="n">
        <v>45957</v>
      </c>
      <c r="D4890" t="inlineStr">
        <is>
          <t>KRONOBERGS LÄN</t>
        </is>
      </c>
      <c r="E4890" t="inlineStr">
        <is>
          <t>UPPVIDINGE</t>
        </is>
      </c>
      <c r="F4890" t="inlineStr">
        <is>
          <t>Sveaskog</t>
        </is>
      </c>
      <c r="G4890" t="n">
        <v>1.4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64052-2023</t>
        </is>
      </c>
      <c r="B4891" s="1" t="n">
        <v>45279</v>
      </c>
      <c r="C4891" s="1" t="n">
        <v>45957</v>
      </c>
      <c r="D4891" t="inlineStr">
        <is>
          <t>KRONOBERGS LÄN</t>
        </is>
      </c>
      <c r="E4891" t="inlineStr">
        <is>
          <t>LJUNGBY</t>
        </is>
      </c>
      <c r="G4891" t="n">
        <v>0.8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7104-2022</t>
        </is>
      </c>
      <c r="B4892" s="1" t="n">
        <v>44603</v>
      </c>
      <c r="C4892" s="1" t="n">
        <v>45957</v>
      </c>
      <c r="D4892" t="inlineStr">
        <is>
          <t>KRONOBERGS LÄN</t>
        </is>
      </c>
      <c r="E4892" t="inlineStr">
        <is>
          <t>UPPVIDINGE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49087-2024</t>
        </is>
      </c>
      <c r="B4893" s="1" t="n">
        <v>45594.6340625</v>
      </c>
      <c r="C4893" s="1" t="n">
        <v>45957</v>
      </c>
      <c r="D4893" t="inlineStr">
        <is>
          <t>KRONOBERGS LÄN</t>
        </is>
      </c>
      <c r="E4893" t="inlineStr">
        <is>
          <t>VÄXJÖ</t>
        </is>
      </c>
      <c r="F4893" t="inlineStr">
        <is>
          <t>Sveaskog</t>
        </is>
      </c>
      <c r="G4893" t="n">
        <v>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52540-2025</t>
        </is>
      </c>
      <c r="B4894" s="1" t="n">
        <v>45954.54748842592</v>
      </c>
      <c r="C4894" s="1" t="n">
        <v>45957</v>
      </c>
      <c r="D4894" t="inlineStr">
        <is>
          <t>KRONOBERGS LÄN</t>
        </is>
      </c>
      <c r="E4894" t="inlineStr">
        <is>
          <t>LESSEBO</t>
        </is>
      </c>
      <c r="F4894" t="inlineStr">
        <is>
          <t>Sveaskog</t>
        </is>
      </c>
      <c r="G4894" t="n">
        <v>1.5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24808-2023</t>
        </is>
      </c>
      <c r="B4895" s="1" t="n">
        <v>45084</v>
      </c>
      <c r="C4895" s="1" t="n">
        <v>45957</v>
      </c>
      <c r="D4895" t="inlineStr">
        <is>
          <t>KRONOBERGS LÄN</t>
        </is>
      </c>
      <c r="E4895" t="inlineStr">
        <is>
          <t>ÄLMHULT</t>
        </is>
      </c>
      <c r="G4895" t="n">
        <v>7.9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61422-2023</t>
        </is>
      </c>
      <c r="B4896" s="1" t="n">
        <v>45264.68416666667</v>
      </c>
      <c r="C4896" s="1" t="n">
        <v>45957</v>
      </c>
      <c r="D4896" t="inlineStr">
        <is>
          <t>KRONOBERGS LÄN</t>
        </is>
      </c>
      <c r="E4896" t="inlineStr">
        <is>
          <t>LJUNGBY</t>
        </is>
      </c>
      <c r="G4896" t="n">
        <v>0.5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60690-2021</t>
        </is>
      </c>
      <c r="B4897" s="1" t="n">
        <v>44496</v>
      </c>
      <c r="C4897" s="1" t="n">
        <v>45957</v>
      </c>
      <c r="D4897" t="inlineStr">
        <is>
          <t>KRONOBERGS LÄN</t>
        </is>
      </c>
      <c r="E4897" t="inlineStr">
        <is>
          <t>ÄLMHULT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46565-2023</t>
        </is>
      </c>
      <c r="B4898" s="1" t="n">
        <v>45198.33086805556</v>
      </c>
      <c r="C4898" s="1" t="n">
        <v>45957</v>
      </c>
      <c r="D4898" t="inlineStr">
        <is>
          <t>KRONOBERGS LÄN</t>
        </is>
      </c>
      <c r="E4898" t="inlineStr">
        <is>
          <t>VÄXJÖ</t>
        </is>
      </c>
      <c r="G4898" t="n">
        <v>1.1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49809-2024</t>
        </is>
      </c>
      <c r="B4899" s="1" t="n">
        <v>45597.38953703704</v>
      </c>
      <c r="C4899" s="1" t="n">
        <v>45957</v>
      </c>
      <c r="D4899" t="inlineStr">
        <is>
          <t>KRONOBERGS LÄN</t>
        </is>
      </c>
      <c r="E4899" t="inlineStr">
        <is>
          <t>UPPVIDINGE</t>
        </is>
      </c>
      <c r="F4899" t="inlineStr">
        <is>
          <t>Sveaskog</t>
        </is>
      </c>
      <c r="G4899" t="n">
        <v>4.7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60815-2024</t>
        </is>
      </c>
      <c r="B4900" s="1" t="n">
        <v>45644.62018518519</v>
      </c>
      <c r="C4900" s="1" t="n">
        <v>45957</v>
      </c>
      <c r="D4900" t="inlineStr">
        <is>
          <t>KRONOBERGS LÄN</t>
        </is>
      </c>
      <c r="E4900" t="inlineStr">
        <is>
          <t>VÄXJÖ</t>
        </is>
      </c>
      <c r="G4900" t="n">
        <v>0.4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39307-2023</t>
        </is>
      </c>
      <c r="B4901" s="1" t="n">
        <v>45166</v>
      </c>
      <c r="C4901" s="1" t="n">
        <v>45957</v>
      </c>
      <c r="D4901" t="inlineStr">
        <is>
          <t>KRONOBERGS LÄN</t>
        </is>
      </c>
      <c r="E4901" t="inlineStr">
        <is>
          <t>ALVESTA</t>
        </is>
      </c>
      <c r="G4901" t="n">
        <v>1.7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33393-2023</t>
        </is>
      </c>
      <c r="B4902" s="1" t="n">
        <v>45128</v>
      </c>
      <c r="C4902" s="1" t="n">
        <v>45957</v>
      </c>
      <c r="D4902" t="inlineStr">
        <is>
          <t>KRONOBERGS LÄN</t>
        </is>
      </c>
      <c r="E4902" t="inlineStr">
        <is>
          <t>VÄXJÖ</t>
        </is>
      </c>
      <c r="G4902" t="n">
        <v>2.8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62518-2023</t>
        </is>
      </c>
      <c r="B4903" s="1" t="n">
        <v>45268</v>
      </c>
      <c r="C4903" s="1" t="n">
        <v>45957</v>
      </c>
      <c r="D4903" t="inlineStr">
        <is>
          <t>KRONOBERGS LÄN</t>
        </is>
      </c>
      <c r="E4903" t="inlineStr">
        <is>
          <t>MARKARYD</t>
        </is>
      </c>
      <c r="F4903" t="inlineStr">
        <is>
          <t>Sveaskog</t>
        </is>
      </c>
      <c r="G4903" t="n">
        <v>1.9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21157-2023</t>
        </is>
      </c>
      <c r="B4904" s="1" t="n">
        <v>45062.41542824074</v>
      </c>
      <c r="C4904" s="1" t="n">
        <v>45957</v>
      </c>
      <c r="D4904" t="inlineStr">
        <is>
          <t>KRONOBERGS LÄN</t>
        </is>
      </c>
      <c r="E4904" t="inlineStr">
        <is>
          <t>TINGSRYD</t>
        </is>
      </c>
      <c r="G4904" t="n">
        <v>1.9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21164-2023</t>
        </is>
      </c>
      <c r="B4905" s="1" t="n">
        <v>45062</v>
      </c>
      <c r="C4905" s="1" t="n">
        <v>45957</v>
      </c>
      <c r="D4905" t="inlineStr">
        <is>
          <t>KRONOBERGS LÄN</t>
        </is>
      </c>
      <c r="E4905" t="inlineStr">
        <is>
          <t>ÄLMHULT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28322-2023</t>
        </is>
      </c>
      <c r="B4906" s="1" t="n">
        <v>45099</v>
      </c>
      <c r="C4906" s="1" t="n">
        <v>45957</v>
      </c>
      <c r="D4906" t="inlineStr">
        <is>
          <t>KRONOBERGS LÄN</t>
        </is>
      </c>
      <c r="E4906" t="inlineStr">
        <is>
          <t>LJUNGBY</t>
        </is>
      </c>
      <c r="G4906" t="n">
        <v>5.3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46981-2023</t>
        </is>
      </c>
      <c r="B4907" s="1" t="n">
        <v>45201</v>
      </c>
      <c r="C4907" s="1" t="n">
        <v>45957</v>
      </c>
      <c r="D4907" t="inlineStr">
        <is>
          <t>KRONOBERGS LÄN</t>
        </is>
      </c>
      <c r="E4907" t="inlineStr">
        <is>
          <t>TINGSRYD</t>
        </is>
      </c>
      <c r="G4907" t="n">
        <v>1.5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28507-2022</t>
        </is>
      </c>
      <c r="B4908" s="1" t="n">
        <v>44748.32592592593</v>
      </c>
      <c r="C4908" s="1" t="n">
        <v>45957</v>
      </c>
      <c r="D4908" t="inlineStr">
        <is>
          <t>KRONOBERGS LÄN</t>
        </is>
      </c>
      <c r="E4908" t="inlineStr">
        <is>
          <t>TINGSRYD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2159-2025</t>
        </is>
      </c>
      <c r="B4909" s="1" t="n">
        <v>45672.78414351852</v>
      </c>
      <c r="C4909" s="1" t="n">
        <v>45957</v>
      </c>
      <c r="D4909" t="inlineStr">
        <is>
          <t>KRONOBERGS LÄN</t>
        </is>
      </c>
      <c r="E4909" t="inlineStr">
        <is>
          <t>LJUNGBY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48869-2024</t>
        </is>
      </c>
      <c r="B4910" s="1" t="n">
        <v>45594</v>
      </c>
      <c r="C4910" s="1" t="n">
        <v>45957</v>
      </c>
      <c r="D4910" t="inlineStr">
        <is>
          <t>KRONOBERGS LÄN</t>
        </is>
      </c>
      <c r="E4910" t="inlineStr">
        <is>
          <t>MARKARYD</t>
        </is>
      </c>
      <c r="G4910" t="n">
        <v>4.6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17204-2025</t>
        </is>
      </c>
      <c r="B4911" s="1" t="n">
        <v>45756.42564814815</v>
      </c>
      <c r="C4911" s="1" t="n">
        <v>45957</v>
      </c>
      <c r="D4911" t="inlineStr">
        <is>
          <t>KRONOBERGS LÄN</t>
        </is>
      </c>
      <c r="E4911" t="inlineStr">
        <is>
          <t>LESSEBO</t>
        </is>
      </c>
      <c r="G4911" t="n">
        <v>0.6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14043-2025</t>
        </is>
      </c>
      <c r="B4912" s="1" t="n">
        <v>45740.37105324074</v>
      </c>
      <c r="C4912" s="1" t="n">
        <v>45957</v>
      </c>
      <c r="D4912" t="inlineStr">
        <is>
          <t>KRONOBERGS LÄN</t>
        </is>
      </c>
      <c r="E4912" t="inlineStr">
        <is>
          <t>ALVESTA</t>
        </is>
      </c>
      <c r="G4912" t="n">
        <v>0.5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14067-2025</t>
        </is>
      </c>
      <c r="B4913" s="1" t="n">
        <v>45740.41976851852</v>
      </c>
      <c r="C4913" s="1" t="n">
        <v>45957</v>
      </c>
      <c r="D4913" t="inlineStr">
        <is>
          <t>KRONOBERGS LÄN</t>
        </is>
      </c>
      <c r="E4913" t="inlineStr">
        <is>
          <t>ALVESTA</t>
        </is>
      </c>
      <c r="G4913" t="n">
        <v>1.7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4412-2025</t>
        </is>
      </c>
      <c r="B4914" s="1" t="n">
        <v>45686.44939814815</v>
      </c>
      <c r="C4914" s="1" t="n">
        <v>45957</v>
      </c>
      <c r="D4914" t="inlineStr">
        <is>
          <t>KRONOBERGS LÄN</t>
        </is>
      </c>
      <c r="E4914" t="inlineStr">
        <is>
          <t>VÄXJÖ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34149-2023</t>
        </is>
      </c>
      <c r="B4915" s="1" t="n">
        <v>45136.71178240741</v>
      </c>
      <c r="C4915" s="1" t="n">
        <v>45957</v>
      </c>
      <c r="D4915" t="inlineStr">
        <is>
          <t>KRONOBERGS LÄN</t>
        </is>
      </c>
      <c r="E4915" t="inlineStr">
        <is>
          <t>ALVESTA</t>
        </is>
      </c>
      <c r="G4915" t="n">
        <v>1.3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45848-2023</t>
        </is>
      </c>
      <c r="B4916" s="1" t="n">
        <v>45195.59162037037</v>
      </c>
      <c r="C4916" s="1" t="n">
        <v>45957</v>
      </c>
      <c r="D4916" t="inlineStr">
        <is>
          <t>KRONOBERGS LÄN</t>
        </is>
      </c>
      <c r="E4916" t="inlineStr">
        <is>
          <t>MARKARYD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63910-2023</t>
        </is>
      </c>
      <c r="B4917" s="1" t="n">
        <v>45278.58283564815</v>
      </c>
      <c r="C4917" s="1" t="n">
        <v>45957</v>
      </c>
      <c r="D4917" t="inlineStr">
        <is>
          <t>KRONOBERGS LÄN</t>
        </is>
      </c>
      <c r="E4917" t="inlineStr">
        <is>
          <t>VÄXJÖ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52061-2023</t>
        </is>
      </c>
      <c r="B4918" s="1" t="n">
        <v>45216</v>
      </c>
      <c r="C4918" s="1" t="n">
        <v>45957</v>
      </c>
      <c r="D4918" t="inlineStr">
        <is>
          <t>KRONOBERGS LÄN</t>
        </is>
      </c>
      <c r="E4918" t="inlineStr">
        <is>
          <t>ALVESTA</t>
        </is>
      </c>
      <c r="G4918" t="n">
        <v>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19124-2022</t>
        </is>
      </c>
      <c r="B4919" s="1" t="n">
        <v>44691.57900462963</v>
      </c>
      <c r="C4919" s="1" t="n">
        <v>45957</v>
      </c>
      <c r="D4919" t="inlineStr">
        <is>
          <t>KRONOBERGS LÄN</t>
        </is>
      </c>
      <c r="E4919" t="inlineStr">
        <is>
          <t>TINGSRYD</t>
        </is>
      </c>
      <c r="G4919" t="n">
        <v>2.6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40304-2021</t>
        </is>
      </c>
      <c r="B4920" s="1" t="n">
        <v>44419</v>
      </c>
      <c r="C4920" s="1" t="n">
        <v>45957</v>
      </c>
      <c r="D4920" t="inlineStr">
        <is>
          <t>KRONOBERGS LÄN</t>
        </is>
      </c>
      <c r="E4920" t="inlineStr">
        <is>
          <t>ALVESTA</t>
        </is>
      </c>
      <c r="G4920" t="n">
        <v>4.5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57121-2022</t>
        </is>
      </c>
      <c r="B4921" s="1" t="n">
        <v>44895.55027777778</v>
      </c>
      <c r="C4921" s="1" t="n">
        <v>45957</v>
      </c>
      <c r="D4921" t="inlineStr">
        <is>
          <t>KRONOBERGS LÄN</t>
        </is>
      </c>
      <c r="E4921" t="inlineStr">
        <is>
          <t>ALVESTA</t>
        </is>
      </c>
      <c r="G4921" t="n">
        <v>2.8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19704-2023</t>
        </is>
      </c>
      <c r="B4922" s="1" t="n">
        <v>45051.45070601852</v>
      </c>
      <c r="C4922" s="1" t="n">
        <v>45957</v>
      </c>
      <c r="D4922" t="inlineStr">
        <is>
          <t>KRONOBERGS LÄN</t>
        </is>
      </c>
      <c r="E4922" t="inlineStr">
        <is>
          <t>ÄLMHULT</t>
        </is>
      </c>
      <c r="G4922" t="n">
        <v>0.9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47486-2024</t>
        </is>
      </c>
      <c r="B4923" s="1" t="n">
        <v>45587</v>
      </c>
      <c r="C4923" s="1" t="n">
        <v>45957</v>
      </c>
      <c r="D4923" t="inlineStr">
        <is>
          <t>KRONOBERGS LÄN</t>
        </is>
      </c>
      <c r="E4923" t="inlineStr">
        <is>
          <t>VÄXJÖ</t>
        </is>
      </c>
      <c r="G4923" t="n">
        <v>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1336-2024</t>
        </is>
      </c>
      <c r="B4924" s="1" t="n">
        <v>45303</v>
      </c>
      <c r="C4924" s="1" t="n">
        <v>45957</v>
      </c>
      <c r="D4924" t="inlineStr">
        <is>
          <t>KRONOBERGS LÄN</t>
        </is>
      </c>
      <c r="E4924" t="inlineStr">
        <is>
          <t>TINGSRYD</t>
        </is>
      </c>
      <c r="G4924" t="n">
        <v>0.6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41149-2024</t>
        </is>
      </c>
      <c r="B4925" s="1" t="n">
        <v>45559</v>
      </c>
      <c r="C4925" s="1" t="n">
        <v>45957</v>
      </c>
      <c r="D4925" t="inlineStr">
        <is>
          <t>KRONOBERGS LÄN</t>
        </is>
      </c>
      <c r="E4925" t="inlineStr">
        <is>
          <t>VÄXJÖ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49407-2024</t>
        </is>
      </c>
      <c r="B4926" s="1" t="n">
        <v>45595.68021990741</v>
      </c>
      <c r="C4926" s="1" t="n">
        <v>45957</v>
      </c>
      <c r="D4926" t="inlineStr">
        <is>
          <t>KRONOBERGS LÄN</t>
        </is>
      </c>
      <c r="E4926" t="inlineStr">
        <is>
          <t>ALVESTA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44480-2025</t>
        </is>
      </c>
      <c r="B4927" s="1" t="n">
        <v>45916.64810185185</v>
      </c>
      <c r="C4927" s="1" t="n">
        <v>45957</v>
      </c>
      <c r="D4927" t="inlineStr">
        <is>
          <t>KRONOBERGS LÄN</t>
        </is>
      </c>
      <c r="E4927" t="inlineStr">
        <is>
          <t>ÄLMHULT</t>
        </is>
      </c>
      <c r="F4927" t="inlineStr">
        <is>
          <t>Sveaskog</t>
        </is>
      </c>
      <c r="G4927" t="n">
        <v>3.3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11286-2024</t>
        </is>
      </c>
      <c r="B4928" s="1" t="n">
        <v>45371.73100694444</v>
      </c>
      <c r="C4928" s="1" t="n">
        <v>45957</v>
      </c>
      <c r="D4928" t="inlineStr">
        <is>
          <t>KRONOBERGS LÄN</t>
        </is>
      </c>
      <c r="E4928" t="inlineStr">
        <is>
          <t>LESSEBO</t>
        </is>
      </c>
      <c r="F4928" t="inlineStr">
        <is>
          <t>Sveaskog</t>
        </is>
      </c>
      <c r="G4928" t="n">
        <v>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44539-2025</t>
        </is>
      </c>
      <c r="B4929" s="1" t="n">
        <v>45917.29179398148</v>
      </c>
      <c r="C4929" s="1" t="n">
        <v>45957</v>
      </c>
      <c r="D4929" t="inlineStr">
        <is>
          <t>KRONOBERGS LÄN</t>
        </is>
      </c>
      <c r="E4929" t="inlineStr">
        <is>
          <t>ÄLMHULT</t>
        </is>
      </c>
      <c r="F4929" t="inlineStr">
        <is>
          <t>Sveaskog</t>
        </is>
      </c>
      <c r="G4929" t="n">
        <v>2.6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22533-2025</t>
        </is>
      </c>
      <c r="B4930" s="1" t="n">
        <v>45787.28256944445</v>
      </c>
      <c r="C4930" s="1" t="n">
        <v>45957</v>
      </c>
      <c r="D4930" t="inlineStr">
        <is>
          <t>KRONOBERGS LÄN</t>
        </is>
      </c>
      <c r="E4930" t="inlineStr">
        <is>
          <t>VÄXJÖ</t>
        </is>
      </c>
      <c r="G4930" t="n">
        <v>1.5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32833-2025</t>
        </is>
      </c>
      <c r="B4931" s="1" t="n">
        <v>45839</v>
      </c>
      <c r="C4931" s="1" t="n">
        <v>45957</v>
      </c>
      <c r="D4931" t="inlineStr">
        <is>
          <t>KRONOBERGS LÄN</t>
        </is>
      </c>
      <c r="E4931" t="inlineStr">
        <is>
          <t>UPPVIDINGE</t>
        </is>
      </c>
      <c r="G4931" t="n">
        <v>2.4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49086-2024</t>
        </is>
      </c>
      <c r="B4932" s="1" t="n">
        <v>45594.63260416667</v>
      </c>
      <c r="C4932" s="1" t="n">
        <v>45957</v>
      </c>
      <c r="D4932" t="inlineStr">
        <is>
          <t>KRONOBERGS LÄN</t>
        </is>
      </c>
      <c r="E4932" t="inlineStr">
        <is>
          <t>VÄXJÖ</t>
        </is>
      </c>
      <c r="F4932" t="inlineStr">
        <is>
          <t>Sveaskog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42762-2023</t>
        </is>
      </c>
      <c r="B4933" s="1" t="n">
        <v>45181</v>
      </c>
      <c r="C4933" s="1" t="n">
        <v>45957</v>
      </c>
      <c r="D4933" t="inlineStr">
        <is>
          <t>KRONOBERGS LÄN</t>
        </is>
      </c>
      <c r="E4933" t="inlineStr">
        <is>
          <t>VÄXJÖ</t>
        </is>
      </c>
      <c r="G4933" t="n">
        <v>1.9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31983-2021</t>
        </is>
      </c>
      <c r="B4934" s="1" t="n">
        <v>44370.59787037037</v>
      </c>
      <c r="C4934" s="1" t="n">
        <v>45957</v>
      </c>
      <c r="D4934" t="inlineStr">
        <is>
          <t>KRONOBERGS LÄN</t>
        </is>
      </c>
      <c r="E4934" t="inlineStr">
        <is>
          <t>MARKARYD</t>
        </is>
      </c>
      <c r="G4934" t="n">
        <v>1.1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42360-2021</t>
        </is>
      </c>
      <c r="B4935" s="1" t="n">
        <v>44427</v>
      </c>
      <c r="C4935" s="1" t="n">
        <v>45957</v>
      </c>
      <c r="D4935" t="inlineStr">
        <is>
          <t>KRONOBERGS LÄN</t>
        </is>
      </c>
      <c r="E4935" t="inlineStr">
        <is>
          <t>VÄXJÖ</t>
        </is>
      </c>
      <c r="G4935" t="n">
        <v>0.4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31992-2021</t>
        </is>
      </c>
      <c r="B4936" s="1" t="n">
        <v>44370.60665509259</v>
      </c>
      <c r="C4936" s="1" t="n">
        <v>45957</v>
      </c>
      <c r="D4936" t="inlineStr">
        <is>
          <t>KRONOBERGS LÄN</t>
        </is>
      </c>
      <c r="E4936" t="inlineStr">
        <is>
          <t>MARKARYD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5273-2025</t>
        </is>
      </c>
      <c r="B4937" s="1" t="n">
        <v>45692</v>
      </c>
      <c r="C4937" s="1" t="n">
        <v>45957</v>
      </c>
      <c r="D4937" t="inlineStr">
        <is>
          <t>KRONOBERGS LÄN</t>
        </is>
      </c>
      <c r="E4937" t="inlineStr">
        <is>
          <t>UPPVIDINGE</t>
        </is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5288-2025</t>
        </is>
      </c>
      <c r="B4938" s="1" t="n">
        <v>45692</v>
      </c>
      <c r="C4938" s="1" t="n">
        <v>45957</v>
      </c>
      <c r="D4938" t="inlineStr">
        <is>
          <t>KRONOBERGS LÄN</t>
        </is>
      </c>
      <c r="E4938" t="inlineStr">
        <is>
          <t>VÄXJÖ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60621-2021</t>
        </is>
      </c>
      <c r="B4939" s="1" t="n">
        <v>44496.59342592592</v>
      </c>
      <c r="C4939" s="1" t="n">
        <v>45957</v>
      </c>
      <c r="D4939" t="inlineStr">
        <is>
          <t>KRONOBERGS LÄN</t>
        </is>
      </c>
      <c r="E4939" t="inlineStr">
        <is>
          <t>ÄLMHULT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14184-2021</t>
        </is>
      </c>
      <c r="B4940" s="1" t="n">
        <v>44278</v>
      </c>
      <c r="C4940" s="1" t="n">
        <v>45957</v>
      </c>
      <c r="D4940" t="inlineStr">
        <is>
          <t>KRONOBERGS LÄN</t>
        </is>
      </c>
      <c r="E4940" t="inlineStr">
        <is>
          <t>UPPVIDINGE</t>
        </is>
      </c>
      <c r="G4940" t="n">
        <v>1.3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35332-2022</t>
        </is>
      </c>
      <c r="B4941" s="1" t="n">
        <v>44798</v>
      </c>
      <c r="C4941" s="1" t="n">
        <v>45957</v>
      </c>
      <c r="D4941" t="inlineStr">
        <is>
          <t>KRONOBERGS LÄN</t>
        </is>
      </c>
      <c r="E4941" t="inlineStr">
        <is>
          <t>LESSEBO</t>
        </is>
      </c>
      <c r="G4941" t="n">
        <v>2.2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34719-2023</t>
        </is>
      </c>
      <c r="B4942" s="1" t="n">
        <v>45141.33791666666</v>
      </c>
      <c r="C4942" s="1" t="n">
        <v>45957</v>
      </c>
      <c r="D4942" t="inlineStr">
        <is>
          <t>KRONOBERGS LÄN</t>
        </is>
      </c>
      <c r="E4942" t="inlineStr">
        <is>
          <t>VÄXJÖ</t>
        </is>
      </c>
      <c r="G4942" t="n">
        <v>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35492-2023</t>
        </is>
      </c>
      <c r="B4943" s="1" t="n">
        <v>45146</v>
      </c>
      <c r="C4943" s="1" t="n">
        <v>45957</v>
      </c>
      <c r="D4943" t="inlineStr">
        <is>
          <t>KRONOBERGS LÄN</t>
        </is>
      </c>
      <c r="E4943" t="inlineStr">
        <is>
          <t>UPPVIDINGE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35494-2023</t>
        </is>
      </c>
      <c r="B4944" s="1" t="n">
        <v>45146</v>
      </c>
      <c r="C4944" s="1" t="n">
        <v>45957</v>
      </c>
      <c r="D4944" t="inlineStr">
        <is>
          <t>KRONOBERGS LÄN</t>
        </is>
      </c>
      <c r="E4944" t="inlineStr">
        <is>
          <t>UPPVIDINGE</t>
        </is>
      </c>
      <c r="G4944" t="n">
        <v>3.7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1361-2021</t>
        </is>
      </c>
      <c r="B4945" s="1" t="n">
        <v>44208</v>
      </c>
      <c r="C4945" s="1" t="n">
        <v>45957</v>
      </c>
      <c r="D4945" t="inlineStr">
        <is>
          <t>KRONOBERGS LÄN</t>
        </is>
      </c>
      <c r="E4945" t="inlineStr">
        <is>
          <t>UPPVIDINGE</t>
        </is>
      </c>
      <c r="F4945" t="inlineStr">
        <is>
          <t>Sveaskog</t>
        </is>
      </c>
      <c r="G4945" t="n">
        <v>2.4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6367-2024</t>
        </is>
      </c>
      <c r="B4946" s="1" t="n">
        <v>45338.49901620371</v>
      </c>
      <c r="C4946" s="1" t="n">
        <v>45957</v>
      </c>
      <c r="D4946" t="inlineStr">
        <is>
          <t>KRONOBERGS LÄN</t>
        </is>
      </c>
      <c r="E4946" t="inlineStr">
        <is>
          <t>ALVESTA</t>
        </is>
      </c>
      <c r="G4946" t="n">
        <v>0.5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52217-2025</t>
        </is>
      </c>
      <c r="B4947" s="1" t="n">
        <v>45953.42959490741</v>
      </c>
      <c r="C4947" s="1" t="n">
        <v>45957</v>
      </c>
      <c r="D4947" t="inlineStr">
        <is>
          <t>KRONOBERGS LÄN</t>
        </is>
      </c>
      <c r="E4947" t="inlineStr">
        <is>
          <t>TINGSRYD</t>
        </is>
      </c>
      <c r="G4947" t="n">
        <v>0.9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15130-2024</t>
        </is>
      </c>
      <c r="B4948" s="1" t="n">
        <v>45399</v>
      </c>
      <c r="C4948" s="1" t="n">
        <v>45957</v>
      </c>
      <c r="D4948" t="inlineStr">
        <is>
          <t>KRONOBERGS LÄN</t>
        </is>
      </c>
      <c r="E4948" t="inlineStr">
        <is>
          <t>TINGSRYD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11214-2025</t>
        </is>
      </c>
      <c r="B4949" s="1" t="n">
        <v>45726.3347337963</v>
      </c>
      <c r="C4949" s="1" t="n">
        <v>45957</v>
      </c>
      <c r="D4949" t="inlineStr">
        <is>
          <t>KRONOBERGS LÄN</t>
        </is>
      </c>
      <c r="E4949" t="inlineStr">
        <is>
          <t>VÄXJÖ</t>
        </is>
      </c>
      <c r="G4949" t="n">
        <v>3.7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54168-2024</t>
        </is>
      </c>
      <c r="B4950" s="1" t="n">
        <v>45616</v>
      </c>
      <c r="C4950" s="1" t="n">
        <v>45957</v>
      </c>
      <c r="D4950" t="inlineStr">
        <is>
          <t>KRONOBERGS LÄN</t>
        </is>
      </c>
      <c r="E4950" t="inlineStr">
        <is>
          <t>TINGSRYD</t>
        </is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11322-2025</t>
        </is>
      </c>
      <c r="B4951" s="1" t="n">
        <v>45726.46789351852</v>
      </c>
      <c r="C4951" s="1" t="n">
        <v>45957</v>
      </c>
      <c r="D4951" t="inlineStr">
        <is>
          <t>KRONOBERGS LÄN</t>
        </is>
      </c>
      <c r="E4951" t="inlineStr">
        <is>
          <t>LESSEBO</t>
        </is>
      </c>
      <c r="G4951" t="n">
        <v>4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3607-2024</t>
        </is>
      </c>
      <c r="B4952" s="1" t="n">
        <v>45320.88226851852</v>
      </c>
      <c r="C4952" s="1" t="n">
        <v>45957</v>
      </c>
      <c r="D4952" t="inlineStr">
        <is>
          <t>KRONOBERGS LÄN</t>
        </is>
      </c>
      <c r="E4952" t="inlineStr">
        <is>
          <t>UPPVIDINGE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45445-2023</t>
        </is>
      </c>
      <c r="B4953" s="1" t="n">
        <v>45194.39922453704</v>
      </c>
      <c r="C4953" s="1" t="n">
        <v>45957</v>
      </c>
      <c r="D4953" t="inlineStr">
        <is>
          <t>KRONOBERGS LÄN</t>
        </is>
      </c>
      <c r="E4953" t="inlineStr">
        <is>
          <t>VÄXJÖ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37243-2025</t>
        </is>
      </c>
      <c r="B4954" s="1" t="n">
        <v>45876.38861111111</v>
      </c>
      <c r="C4954" s="1" t="n">
        <v>45957</v>
      </c>
      <c r="D4954" t="inlineStr">
        <is>
          <t>KRONOBERGS LÄN</t>
        </is>
      </c>
      <c r="E4954" t="inlineStr">
        <is>
          <t>MARKARYD</t>
        </is>
      </c>
      <c r="G4954" t="n">
        <v>0.9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62481-2023</t>
        </is>
      </c>
      <c r="B4955" s="1" t="n">
        <v>45268.57665509259</v>
      </c>
      <c r="C4955" s="1" t="n">
        <v>45957</v>
      </c>
      <c r="D4955" t="inlineStr">
        <is>
          <t>KRONOBERGS LÄN</t>
        </is>
      </c>
      <c r="E4955" t="inlineStr">
        <is>
          <t>ÄLMHULT</t>
        </is>
      </c>
      <c r="G4955" t="n">
        <v>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7175-2023</t>
        </is>
      </c>
      <c r="B4956" s="1" t="n">
        <v>44970.5053587963</v>
      </c>
      <c r="C4956" s="1" t="n">
        <v>45957</v>
      </c>
      <c r="D4956" t="inlineStr">
        <is>
          <t>KRONOBERGS LÄN</t>
        </is>
      </c>
      <c r="E4956" t="inlineStr">
        <is>
          <t>ALVESTA</t>
        </is>
      </c>
      <c r="G4956" t="n">
        <v>1.3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1234-2024</t>
        </is>
      </c>
      <c r="B4957" s="1" t="n">
        <v>45302.71091435185</v>
      </c>
      <c r="C4957" s="1" t="n">
        <v>45957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37331-2025</t>
        </is>
      </c>
      <c r="B4958" s="1" t="n">
        <v>45876.65726851852</v>
      </c>
      <c r="C4958" s="1" t="n">
        <v>45957</v>
      </c>
      <c r="D4958" t="inlineStr">
        <is>
          <t>KRONOBERGS LÄN</t>
        </is>
      </c>
      <c r="E4958" t="inlineStr">
        <is>
          <t>TINGSRYD</t>
        </is>
      </c>
      <c r="G4958" t="n">
        <v>4.1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37217-2025</t>
        </is>
      </c>
      <c r="B4959" s="1" t="n">
        <v>45875</v>
      </c>
      <c r="C4959" s="1" t="n">
        <v>45957</v>
      </c>
      <c r="D4959" t="inlineStr">
        <is>
          <t>KRONOBERGS LÄN</t>
        </is>
      </c>
      <c r="E4959" t="inlineStr">
        <is>
          <t>ALVESTA</t>
        </is>
      </c>
      <c r="G4959" t="n">
        <v>2.1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42411-2023</t>
        </is>
      </c>
      <c r="B4960" s="1" t="n">
        <v>45180</v>
      </c>
      <c r="C4960" s="1" t="n">
        <v>45957</v>
      </c>
      <c r="D4960" t="inlineStr">
        <is>
          <t>KRONOBERGS LÄN</t>
        </is>
      </c>
      <c r="E4960" t="inlineStr">
        <is>
          <t>ALVESTA</t>
        </is>
      </c>
      <c r="G4960" t="n">
        <v>0.7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11265-2025</t>
        </is>
      </c>
      <c r="B4961" s="1" t="n">
        <v>45726.40159722222</v>
      </c>
      <c r="C4961" s="1" t="n">
        <v>45957</v>
      </c>
      <c r="D4961" t="inlineStr">
        <is>
          <t>KRONOBERGS LÄN</t>
        </is>
      </c>
      <c r="E4961" t="inlineStr">
        <is>
          <t>VÄXJÖ</t>
        </is>
      </c>
      <c r="G4961" t="n">
        <v>0.6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2890-2025</t>
        </is>
      </c>
      <c r="B4962" s="1" t="n">
        <v>45677</v>
      </c>
      <c r="C4962" s="1" t="n">
        <v>45957</v>
      </c>
      <c r="D4962" t="inlineStr">
        <is>
          <t>KRONOBERGS LÄN</t>
        </is>
      </c>
      <c r="E4962" t="inlineStr">
        <is>
          <t>VÄXJÖ</t>
        </is>
      </c>
      <c r="G4962" t="n">
        <v>2.3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44716-2025</t>
        </is>
      </c>
      <c r="B4963" s="1" t="n">
        <v>45917.62997685185</v>
      </c>
      <c r="C4963" s="1" t="n">
        <v>45957</v>
      </c>
      <c r="D4963" t="inlineStr">
        <is>
          <t>KRONOBERGS LÄN</t>
        </is>
      </c>
      <c r="E4963" t="inlineStr">
        <is>
          <t>MARKARYD</t>
        </is>
      </c>
      <c r="G4963" t="n">
        <v>0.9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37188-2025</t>
        </is>
      </c>
      <c r="B4964" s="1" t="n">
        <v>45875.64696759259</v>
      </c>
      <c r="C4964" s="1" t="n">
        <v>45957</v>
      </c>
      <c r="D4964" t="inlineStr">
        <is>
          <t>KRONOBERGS LÄN</t>
        </is>
      </c>
      <c r="E4964" t="inlineStr">
        <is>
          <t>LJUNGBY</t>
        </is>
      </c>
      <c r="G4964" t="n">
        <v>0.4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44469-2025</t>
        </is>
      </c>
      <c r="B4965" s="1" t="n">
        <v>45916.63920138889</v>
      </c>
      <c r="C4965" s="1" t="n">
        <v>45957</v>
      </c>
      <c r="D4965" t="inlineStr">
        <is>
          <t>KRONOBERGS LÄN</t>
        </is>
      </c>
      <c r="E4965" t="inlineStr">
        <is>
          <t>ÄLMHULT</t>
        </is>
      </c>
      <c r="F4965" t="inlineStr">
        <is>
          <t>Sveaskog</t>
        </is>
      </c>
      <c r="G4965" t="n">
        <v>5.6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44477-2025</t>
        </is>
      </c>
      <c r="B4966" s="1" t="n">
        <v>45916.6452662037</v>
      </c>
      <c r="C4966" s="1" t="n">
        <v>45957</v>
      </c>
      <c r="D4966" t="inlineStr">
        <is>
          <t>KRONOBERGS LÄN</t>
        </is>
      </c>
      <c r="E4966" t="inlineStr">
        <is>
          <t>ÄLMHULT</t>
        </is>
      </c>
      <c r="F4966" t="inlineStr">
        <is>
          <t>Sveaskog</t>
        </is>
      </c>
      <c r="G4966" t="n">
        <v>4.2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44481-2025</t>
        </is>
      </c>
      <c r="B4967" s="1" t="n">
        <v>45916.64881944445</v>
      </c>
      <c r="C4967" s="1" t="n">
        <v>45957</v>
      </c>
      <c r="D4967" t="inlineStr">
        <is>
          <t>KRONOBERGS LÄN</t>
        </is>
      </c>
      <c r="E4967" t="inlineStr">
        <is>
          <t>ALVESTA</t>
        </is>
      </c>
      <c r="G4967" t="n">
        <v>2.1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44540-2025</t>
        </is>
      </c>
      <c r="B4968" s="1" t="n">
        <v>45917.29707175926</v>
      </c>
      <c r="C4968" s="1" t="n">
        <v>45957</v>
      </c>
      <c r="D4968" t="inlineStr">
        <is>
          <t>KRONOBERGS LÄN</t>
        </is>
      </c>
      <c r="E4968" t="inlineStr">
        <is>
          <t>ÄLMHULT</t>
        </is>
      </c>
      <c r="F4968" t="inlineStr">
        <is>
          <t>Sveaskog</t>
        </is>
      </c>
      <c r="G4968" t="n">
        <v>3.3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37026-2025</t>
        </is>
      </c>
      <c r="B4969" s="1" t="n">
        <v>45874.81962962963</v>
      </c>
      <c r="C4969" s="1" t="n">
        <v>45957</v>
      </c>
      <c r="D4969" t="inlineStr">
        <is>
          <t>KRONOBERGS LÄN</t>
        </is>
      </c>
      <c r="E4969" t="inlineStr">
        <is>
          <t>MARKARYD</t>
        </is>
      </c>
      <c r="G4969" t="n">
        <v>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44510-2025</t>
        </is>
      </c>
      <c r="B4970" s="1" t="n">
        <v>45916.69076388889</v>
      </c>
      <c r="C4970" s="1" t="n">
        <v>45957</v>
      </c>
      <c r="D4970" t="inlineStr">
        <is>
          <t>KRONOBERGS LÄN</t>
        </is>
      </c>
      <c r="E4970" t="inlineStr">
        <is>
          <t>ÄLMHULT</t>
        </is>
      </c>
      <c r="G4970" t="n">
        <v>5.3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62559-2022</t>
        </is>
      </c>
      <c r="B4971" s="1" t="n">
        <v>44924.77766203704</v>
      </c>
      <c r="C4971" s="1" t="n">
        <v>45957</v>
      </c>
      <c r="D4971" t="inlineStr">
        <is>
          <t>KRONOBERGS LÄN</t>
        </is>
      </c>
      <c r="E4971" t="inlineStr">
        <is>
          <t>UPPVIDINGE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15571-2025</t>
        </is>
      </c>
      <c r="B4972" s="1" t="n">
        <v>45747.78081018518</v>
      </c>
      <c r="C4972" s="1" t="n">
        <v>45957</v>
      </c>
      <c r="D4972" t="inlineStr">
        <is>
          <t>KRONOBERGS LÄN</t>
        </is>
      </c>
      <c r="E4972" t="inlineStr">
        <is>
          <t>LJUNGBY</t>
        </is>
      </c>
      <c r="G4972" t="n">
        <v>2.1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15504-2024</t>
        </is>
      </c>
      <c r="B4973" s="1" t="n">
        <v>45401</v>
      </c>
      <c r="C4973" s="1" t="n">
        <v>45957</v>
      </c>
      <c r="D4973" t="inlineStr">
        <is>
          <t>KRONOBERGS LÄN</t>
        </is>
      </c>
      <c r="E4973" t="inlineStr">
        <is>
          <t>VÄXJÖ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57041-2023</t>
        </is>
      </c>
      <c r="B4974" s="1" t="n">
        <v>45244</v>
      </c>
      <c r="C4974" s="1" t="n">
        <v>45957</v>
      </c>
      <c r="D4974" t="inlineStr">
        <is>
          <t>KRONOBERGS LÄN</t>
        </is>
      </c>
      <c r="E4974" t="inlineStr">
        <is>
          <t>VÄXJÖ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32549-2021</t>
        </is>
      </c>
      <c r="B4975" s="1" t="n">
        <v>44370</v>
      </c>
      <c r="C4975" s="1" t="n">
        <v>45957</v>
      </c>
      <c r="D4975" t="inlineStr">
        <is>
          <t>KRONOBERGS LÄN</t>
        </is>
      </c>
      <c r="E4975" t="inlineStr">
        <is>
          <t>VÄXJÖ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8389-2023</t>
        </is>
      </c>
      <c r="B4976" s="1" t="n">
        <v>44977.41337962963</v>
      </c>
      <c r="C4976" s="1" t="n">
        <v>45957</v>
      </c>
      <c r="D4976" t="inlineStr">
        <is>
          <t>KRONOBERGS LÄN</t>
        </is>
      </c>
      <c r="E4976" t="inlineStr">
        <is>
          <t>TINGSRYD</t>
        </is>
      </c>
      <c r="G4976" t="n">
        <v>2.1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19377-2024</t>
        </is>
      </c>
      <c r="B4977" s="1" t="n">
        <v>45428</v>
      </c>
      <c r="C4977" s="1" t="n">
        <v>45957</v>
      </c>
      <c r="D4977" t="inlineStr">
        <is>
          <t>KRONOBERGS LÄN</t>
        </is>
      </c>
      <c r="E4977" t="inlineStr">
        <is>
          <t>VÄXJÖ</t>
        </is>
      </c>
      <c r="F4977" t="inlineStr">
        <is>
          <t>Kyrkan</t>
        </is>
      </c>
      <c r="G4977" t="n">
        <v>9.199999999999999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19380-2024</t>
        </is>
      </c>
      <c r="B4978" s="1" t="n">
        <v>45429</v>
      </c>
      <c r="C4978" s="1" t="n">
        <v>45957</v>
      </c>
      <c r="D4978" t="inlineStr">
        <is>
          <t>KRONOBERGS LÄN</t>
        </is>
      </c>
      <c r="E4978" t="inlineStr">
        <is>
          <t>TINGSRYD</t>
        </is>
      </c>
      <c r="G4978" t="n">
        <v>0.9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19382-2024</t>
        </is>
      </c>
      <c r="B4979" s="1" t="n">
        <v>45429.37171296297</v>
      </c>
      <c r="C4979" s="1" t="n">
        <v>45957</v>
      </c>
      <c r="D4979" t="inlineStr">
        <is>
          <t>KRONOBERGS LÄN</t>
        </is>
      </c>
      <c r="E4979" t="inlineStr">
        <is>
          <t>TINGSRYD</t>
        </is>
      </c>
      <c r="G4979" t="n">
        <v>1.8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51972-2025</t>
        </is>
      </c>
      <c r="B4980" s="1" t="n">
        <v>45952</v>
      </c>
      <c r="C4980" s="1" t="n">
        <v>45957</v>
      </c>
      <c r="D4980" t="inlineStr">
        <is>
          <t>KRONOBERGS LÄN</t>
        </is>
      </c>
      <c r="E4980" t="inlineStr">
        <is>
          <t>ALVESTA</t>
        </is>
      </c>
      <c r="G4980" t="n">
        <v>3.2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43495-2025</t>
        </is>
      </c>
      <c r="B4981" s="1" t="n">
        <v>45911.52278935185</v>
      </c>
      <c r="C4981" s="1" t="n">
        <v>45957</v>
      </c>
      <c r="D4981" t="inlineStr">
        <is>
          <t>KRONOBERGS LÄN</t>
        </is>
      </c>
      <c r="E4981" t="inlineStr">
        <is>
          <t>ALVESTA</t>
        </is>
      </c>
      <c r="G4981" t="n">
        <v>1.9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43486-2025</t>
        </is>
      </c>
      <c r="B4982" s="1" t="n">
        <v>45911.5083912037</v>
      </c>
      <c r="C4982" s="1" t="n">
        <v>45957</v>
      </c>
      <c r="D4982" t="inlineStr">
        <is>
          <t>KRONOBERGS LÄN</t>
        </is>
      </c>
      <c r="E4982" t="inlineStr">
        <is>
          <t>TINGSRYD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43493-2025</t>
        </is>
      </c>
      <c r="B4983" s="1" t="n">
        <v>45911.51697916666</v>
      </c>
      <c r="C4983" s="1" t="n">
        <v>45957</v>
      </c>
      <c r="D4983" t="inlineStr">
        <is>
          <t>KRONOBERGS LÄN</t>
        </is>
      </c>
      <c r="E4983" t="inlineStr">
        <is>
          <t>VÄXJÖ</t>
        </is>
      </c>
      <c r="G4983" t="n">
        <v>4.8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26516-2024</t>
        </is>
      </c>
      <c r="B4984" s="1" t="n">
        <v>45469.59653935185</v>
      </c>
      <c r="C4984" s="1" t="n">
        <v>45957</v>
      </c>
      <c r="D4984" t="inlineStr">
        <is>
          <t>KRONOBERGS LÄN</t>
        </is>
      </c>
      <c r="E4984" t="inlineStr">
        <is>
          <t>ÄLMHULT</t>
        </is>
      </c>
      <c r="G4984" t="n">
        <v>3.1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61885-2020</t>
        </is>
      </c>
      <c r="B4985" s="1" t="n">
        <v>44159</v>
      </c>
      <c r="C4985" s="1" t="n">
        <v>45957</v>
      </c>
      <c r="D4985" t="inlineStr">
        <is>
          <t>KRONOBERGS LÄN</t>
        </is>
      </c>
      <c r="E4985" t="inlineStr">
        <is>
          <t>VÄXJÖ</t>
        </is>
      </c>
      <c r="G4985" t="n">
        <v>0.9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61909-2020</t>
        </is>
      </c>
      <c r="B4986" s="1" t="n">
        <v>44159</v>
      </c>
      <c r="C4986" s="1" t="n">
        <v>45957</v>
      </c>
      <c r="D4986" t="inlineStr">
        <is>
          <t>KRONOBERGS LÄN</t>
        </is>
      </c>
      <c r="E4986" t="inlineStr">
        <is>
          <t>MARKARYD</t>
        </is>
      </c>
      <c r="G4986" t="n">
        <v>3.5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36390-2023</t>
        </is>
      </c>
      <c r="B4987" s="1" t="n">
        <v>45152.53986111111</v>
      </c>
      <c r="C4987" s="1" t="n">
        <v>45957</v>
      </c>
      <c r="D4987" t="inlineStr">
        <is>
          <t>KRONOBERGS LÄN</t>
        </is>
      </c>
      <c r="E4987" t="inlineStr">
        <is>
          <t>VÄXJÖ</t>
        </is>
      </c>
      <c r="G4987" t="n">
        <v>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47149-2023</t>
        </is>
      </c>
      <c r="B4988" s="1" t="n">
        <v>45201.86790509259</v>
      </c>
      <c r="C4988" s="1" t="n">
        <v>45957</v>
      </c>
      <c r="D4988" t="inlineStr">
        <is>
          <t>KRONOBERGS LÄN</t>
        </is>
      </c>
      <c r="E4988" t="inlineStr">
        <is>
          <t>TINGSRYD</t>
        </is>
      </c>
      <c r="G4988" t="n">
        <v>0.7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56467-2024</t>
        </is>
      </c>
      <c r="B4989" s="1" t="n">
        <v>45625.45383101852</v>
      </c>
      <c r="C4989" s="1" t="n">
        <v>45957</v>
      </c>
      <c r="D4989" t="inlineStr">
        <is>
          <t>KRONOBERGS LÄN</t>
        </is>
      </c>
      <c r="E4989" t="inlineStr">
        <is>
          <t>LESSEBO</t>
        </is>
      </c>
      <c r="G4989" t="n">
        <v>1.4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44670-2025</t>
        </is>
      </c>
      <c r="B4990" s="1" t="n">
        <v>45917.56428240741</v>
      </c>
      <c r="C4990" s="1" t="n">
        <v>45957</v>
      </c>
      <c r="D4990" t="inlineStr">
        <is>
          <t>KRONOBERGS LÄN</t>
        </is>
      </c>
      <c r="E4990" t="inlineStr">
        <is>
          <t>LJUNGBY</t>
        </is>
      </c>
      <c r="G4990" t="n">
        <v>1.7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44673-2025</t>
        </is>
      </c>
      <c r="B4991" s="1" t="n">
        <v>45917.56846064814</v>
      </c>
      <c r="C4991" s="1" t="n">
        <v>45957</v>
      </c>
      <c r="D4991" t="inlineStr">
        <is>
          <t>KRONOBERGS LÄN</t>
        </is>
      </c>
      <c r="E4991" t="inlineStr">
        <is>
          <t>MARKARYD</t>
        </is>
      </c>
      <c r="G4991" t="n">
        <v>1.6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44676-2025</t>
        </is>
      </c>
      <c r="B4992" s="1" t="n">
        <v>45917.56862268518</v>
      </c>
      <c r="C4992" s="1" t="n">
        <v>45957</v>
      </c>
      <c r="D4992" t="inlineStr">
        <is>
          <t>KRONOBERGS LÄN</t>
        </is>
      </c>
      <c r="E4992" t="inlineStr">
        <is>
          <t>LJUNGBY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37187-2025</t>
        </is>
      </c>
      <c r="B4993" s="1" t="n">
        <v>45875.6449537037</v>
      </c>
      <c r="C4993" s="1" t="n">
        <v>45957</v>
      </c>
      <c r="D4993" t="inlineStr">
        <is>
          <t>KRONOBERGS LÄN</t>
        </is>
      </c>
      <c r="E4993" t="inlineStr">
        <is>
          <t>LJUNGBY</t>
        </is>
      </c>
      <c r="G4993" t="n">
        <v>0.4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31506-2025</t>
        </is>
      </c>
      <c r="B4994" s="1" t="n">
        <v>45833.59498842592</v>
      </c>
      <c r="C4994" s="1" t="n">
        <v>45957</v>
      </c>
      <c r="D4994" t="inlineStr">
        <is>
          <t>KRONOBERGS LÄN</t>
        </is>
      </c>
      <c r="E4994" t="inlineStr">
        <is>
          <t>ÄLMHULT</t>
        </is>
      </c>
      <c r="G4994" t="n">
        <v>1.2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13287-2021</t>
        </is>
      </c>
      <c r="B4995" s="1" t="n">
        <v>44272</v>
      </c>
      <c r="C4995" s="1" t="n">
        <v>45957</v>
      </c>
      <c r="D4995" t="inlineStr">
        <is>
          <t>KRONOBERGS LÄN</t>
        </is>
      </c>
      <c r="E4995" t="inlineStr">
        <is>
          <t>LJUNGBY</t>
        </is>
      </c>
      <c r="G4995" t="n">
        <v>0.9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21173-2021</t>
        </is>
      </c>
      <c r="B4996" s="1" t="n">
        <v>44320</v>
      </c>
      <c r="C4996" s="1" t="n">
        <v>45957</v>
      </c>
      <c r="D4996" t="inlineStr">
        <is>
          <t>KRONOBERGS LÄN</t>
        </is>
      </c>
      <c r="E4996" t="inlineStr">
        <is>
          <t>ALVESTA</t>
        </is>
      </c>
      <c r="G4996" t="n">
        <v>5.7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30756-2021</t>
        </is>
      </c>
      <c r="B4997" s="1" t="n">
        <v>44365</v>
      </c>
      <c r="C4997" s="1" t="n">
        <v>45957</v>
      </c>
      <c r="D4997" t="inlineStr">
        <is>
          <t>KRONOBERGS LÄN</t>
        </is>
      </c>
      <c r="E4997" t="inlineStr">
        <is>
          <t>ALVESTA</t>
        </is>
      </c>
      <c r="G4997" t="n">
        <v>0.1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37091-2025</t>
        </is>
      </c>
      <c r="B4998" s="1" t="n">
        <v>45875.46413194444</v>
      </c>
      <c r="C4998" s="1" t="n">
        <v>45957</v>
      </c>
      <c r="D4998" t="inlineStr">
        <is>
          <t>KRONOBERGS LÄN</t>
        </is>
      </c>
      <c r="E4998" t="inlineStr">
        <is>
          <t>ALVESTA</t>
        </is>
      </c>
      <c r="G4998" t="n">
        <v>4.7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44439-2025</t>
        </is>
      </c>
      <c r="B4999" s="1" t="n">
        <v>45916.58863425926</v>
      </c>
      <c r="C4999" s="1" t="n">
        <v>45957</v>
      </c>
      <c r="D4999" t="inlineStr">
        <is>
          <t>KRONOBERGS LÄN</t>
        </is>
      </c>
      <c r="E4999" t="inlineStr">
        <is>
          <t>MARKARYD</t>
        </is>
      </c>
      <c r="G4999" t="n">
        <v>1.3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44513-2025</t>
        </is>
      </c>
      <c r="B5000" s="1" t="n">
        <v>45916.69763888889</v>
      </c>
      <c r="C5000" s="1" t="n">
        <v>45957</v>
      </c>
      <c r="D5000" t="inlineStr">
        <is>
          <t>KRONOBERGS LÄN</t>
        </is>
      </c>
      <c r="E5000" t="inlineStr">
        <is>
          <t>LJUNGBY</t>
        </is>
      </c>
      <c r="G5000" t="n">
        <v>0.5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19034-2025</t>
        </is>
      </c>
      <c r="B5001" s="1" t="n">
        <v>45764.67251157408</v>
      </c>
      <c r="C5001" s="1" t="n">
        <v>45957</v>
      </c>
      <c r="D5001" t="inlineStr">
        <is>
          <t>KRONOBERGS LÄN</t>
        </is>
      </c>
      <c r="E5001" t="inlineStr">
        <is>
          <t>UPPVIDINGE</t>
        </is>
      </c>
      <c r="G5001" t="n">
        <v>0.6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7299-2025</t>
        </is>
      </c>
      <c r="B5002" s="1" t="n">
        <v>45702.65407407407</v>
      </c>
      <c r="C5002" s="1" t="n">
        <v>45957</v>
      </c>
      <c r="D5002" t="inlineStr">
        <is>
          <t>KRONOBERGS LÄN</t>
        </is>
      </c>
      <c r="E5002" t="inlineStr">
        <is>
          <t>VÄXJÖ</t>
        </is>
      </c>
      <c r="G5002" t="n">
        <v>1.2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54819-2023</t>
        </is>
      </c>
      <c r="B5003" s="1" t="n">
        <v>45236.53990740741</v>
      </c>
      <c r="C5003" s="1" t="n">
        <v>45957</v>
      </c>
      <c r="D5003" t="inlineStr">
        <is>
          <t>KRONOBERGS LÄN</t>
        </is>
      </c>
      <c r="E5003" t="inlineStr">
        <is>
          <t>MARKARYD</t>
        </is>
      </c>
      <c r="G5003" t="n">
        <v>2.4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41485-2023</t>
        </is>
      </c>
      <c r="B5004" s="1" t="n">
        <v>45175</v>
      </c>
      <c r="C5004" s="1" t="n">
        <v>45957</v>
      </c>
      <c r="D5004" t="inlineStr">
        <is>
          <t>KRONOBERGS LÄN</t>
        </is>
      </c>
      <c r="E5004" t="inlineStr">
        <is>
          <t>ÄLMHULT</t>
        </is>
      </c>
      <c r="G5004" t="n">
        <v>0.8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46992-2021</t>
        </is>
      </c>
      <c r="B5005" s="1" t="n">
        <v>44446.56373842592</v>
      </c>
      <c r="C5005" s="1" t="n">
        <v>45957</v>
      </c>
      <c r="D5005" t="inlineStr">
        <is>
          <t>KRONOBERGS LÄN</t>
        </is>
      </c>
      <c r="E5005" t="inlineStr">
        <is>
          <t>TINGSRYD</t>
        </is>
      </c>
      <c r="G5005" t="n">
        <v>6.7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52618-2023</t>
        </is>
      </c>
      <c r="B5006" s="1" t="n">
        <v>45225.63304398148</v>
      </c>
      <c r="C5006" s="1" t="n">
        <v>45957</v>
      </c>
      <c r="D5006" t="inlineStr">
        <is>
          <t>KRONOBERGS LÄN</t>
        </is>
      </c>
      <c r="E5006" t="inlineStr">
        <is>
          <t>LJUNGBY</t>
        </is>
      </c>
      <c r="G5006" t="n">
        <v>2.7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8420-2025</t>
        </is>
      </c>
      <c r="B5007" s="1" t="n">
        <v>45709.40309027778</v>
      </c>
      <c r="C5007" s="1" t="n">
        <v>45957</v>
      </c>
      <c r="D5007" t="inlineStr">
        <is>
          <t>KRONOBERGS LÄN</t>
        </is>
      </c>
      <c r="E5007" t="inlineStr">
        <is>
          <t>UPPVIDINGE</t>
        </is>
      </c>
      <c r="F5007" t="inlineStr">
        <is>
          <t>Sveaskog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53053-2022</t>
        </is>
      </c>
      <c r="B5008" s="1" t="n">
        <v>44876.35701388889</v>
      </c>
      <c r="C5008" s="1" t="n">
        <v>45957</v>
      </c>
      <c r="D5008" t="inlineStr">
        <is>
          <t>KRONOBERGS LÄN</t>
        </is>
      </c>
      <c r="E5008" t="inlineStr">
        <is>
          <t>ÄLMHULT</t>
        </is>
      </c>
      <c r="G5008" t="n">
        <v>0.9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10743-2025</t>
        </is>
      </c>
      <c r="B5009" s="1" t="n">
        <v>45722.41969907407</v>
      </c>
      <c r="C5009" s="1" t="n">
        <v>45957</v>
      </c>
      <c r="D5009" t="inlineStr">
        <is>
          <t>KRONOBERGS LÄN</t>
        </is>
      </c>
      <c r="E5009" t="inlineStr">
        <is>
          <t>ÄLMHULT</t>
        </is>
      </c>
      <c r="G5009" t="n">
        <v>3.4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1918-2024</t>
        </is>
      </c>
      <c r="B5010" s="1" t="n">
        <v>45308</v>
      </c>
      <c r="C5010" s="1" t="n">
        <v>45957</v>
      </c>
      <c r="D5010" t="inlineStr">
        <is>
          <t>KRONOBERGS LÄN</t>
        </is>
      </c>
      <c r="E5010" t="inlineStr">
        <is>
          <t>UPPVIDINGE</t>
        </is>
      </c>
      <c r="G5010" t="n">
        <v>2.5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44674-2024</t>
        </is>
      </c>
      <c r="B5011" s="1" t="n">
        <v>45574</v>
      </c>
      <c r="C5011" s="1" t="n">
        <v>45957</v>
      </c>
      <c r="D5011" t="inlineStr">
        <is>
          <t>KRONOBERGS LÄN</t>
        </is>
      </c>
      <c r="E5011" t="inlineStr">
        <is>
          <t>TINGSRYD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26549-2023</t>
        </is>
      </c>
      <c r="B5012" s="1" t="n">
        <v>45092.59658564815</v>
      </c>
      <c r="C5012" s="1" t="n">
        <v>45957</v>
      </c>
      <c r="D5012" t="inlineStr">
        <is>
          <t>KRONOBERGS LÄN</t>
        </is>
      </c>
      <c r="E5012" t="inlineStr">
        <is>
          <t>MARKARYD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31516-2021</t>
        </is>
      </c>
      <c r="B5013" s="1" t="n">
        <v>44369.46261574074</v>
      </c>
      <c r="C5013" s="1" t="n">
        <v>45957</v>
      </c>
      <c r="D5013" t="inlineStr">
        <is>
          <t>KRONOBERGS LÄN</t>
        </is>
      </c>
      <c r="E5013" t="inlineStr">
        <is>
          <t>UPPVIDINGE</t>
        </is>
      </c>
      <c r="G5013" t="n">
        <v>3.5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37355-2021</t>
        </is>
      </c>
      <c r="B5014" s="1" t="n">
        <v>44397.68809027778</v>
      </c>
      <c r="C5014" s="1" t="n">
        <v>45957</v>
      </c>
      <c r="D5014" t="inlineStr">
        <is>
          <t>KRONOBERGS LÄN</t>
        </is>
      </c>
      <c r="E5014" t="inlineStr">
        <is>
          <t>VÄXJÖ</t>
        </is>
      </c>
      <c r="G5014" t="n">
        <v>4.3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9357-2025</t>
        </is>
      </c>
      <c r="B5015" s="1" t="n">
        <v>45714.9666087963</v>
      </c>
      <c r="C5015" s="1" t="n">
        <v>45957</v>
      </c>
      <c r="D5015" t="inlineStr">
        <is>
          <t>KRONOBERGS LÄN</t>
        </is>
      </c>
      <c r="E5015" t="inlineStr">
        <is>
          <t>VÄXJÖ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44129-2023</t>
        </is>
      </c>
      <c r="B5016" s="1" t="n">
        <v>45188</v>
      </c>
      <c r="C5016" s="1" t="n">
        <v>45957</v>
      </c>
      <c r="D5016" t="inlineStr">
        <is>
          <t>KRONOBERGS LÄN</t>
        </is>
      </c>
      <c r="E5016" t="inlineStr">
        <is>
          <t>LJUNGBY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48268-2022</t>
        </is>
      </c>
      <c r="B5017" s="1" t="n">
        <v>44858</v>
      </c>
      <c r="C5017" s="1" t="n">
        <v>45957</v>
      </c>
      <c r="D5017" t="inlineStr">
        <is>
          <t>KRONOBERGS LÄN</t>
        </is>
      </c>
      <c r="E5017" t="inlineStr">
        <is>
          <t>VÄXJÖ</t>
        </is>
      </c>
      <c r="G5017" t="n">
        <v>3.7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14718-2025</t>
        </is>
      </c>
      <c r="B5018" s="1" t="n">
        <v>45742.61196759259</v>
      </c>
      <c r="C5018" s="1" t="n">
        <v>45957</v>
      </c>
      <c r="D5018" t="inlineStr">
        <is>
          <t>KRONOBERGS LÄN</t>
        </is>
      </c>
      <c r="E5018" t="inlineStr">
        <is>
          <t>LJUNGBY</t>
        </is>
      </c>
      <c r="G5018" t="n">
        <v>11.4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4028-2024</t>
        </is>
      </c>
      <c r="B5019" s="1" t="n">
        <v>45323.40289351852</v>
      </c>
      <c r="C5019" s="1" t="n">
        <v>45957</v>
      </c>
      <c r="D5019" t="inlineStr">
        <is>
          <t>KRONOBERGS LÄN</t>
        </is>
      </c>
      <c r="E5019" t="inlineStr">
        <is>
          <t>MARKARYD</t>
        </is>
      </c>
      <c r="G5019" t="n">
        <v>1.1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24003-2023</t>
        </is>
      </c>
      <c r="B5020" s="1" t="n">
        <v>45078.66384259259</v>
      </c>
      <c r="C5020" s="1" t="n">
        <v>45957</v>
      </c>
      <c r="D5020" t="inlineStr">
        <is>
          <t>KRONOBERGS LÄN</t>
        </is>
      </c>
      <c r="E5020" t="inlineStr">
        <is>
          <t>TINGSRYD</t>
        </is>
      </c>
      <c r="G5020" t="n">
        <v>0.8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28027-2024</t>
        </is>
      </c>
      <c r="B5021" s="1" t="n">
        <v>45476.48416666667</v>
      </c>
      <c r="C5021" s="1" t="n">
        <v>45957</v>
      </c>
      <c r="D5021" t="inlineStr">
        <is>
          <t>KRONOBERGS LÄN</t>
        </is>
      </c>
      <c r="E5021" t="inlineStr">
        <is>
          <t>ALVESTA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740-2022</t>
        </is>
      </c>
      <c r="B5022" s="1" t="n">
        <v>44568.79167824074</v>
      </c>
      <c r="C5022" s="1" t="n">
        <v>45957</v>
      </c>
      <c r="D5022" t="inlineStr">
        <is>
          <t>KRONOBERGS LÄN</t>
        </is>
      </c>
      <c r="E5022" t="inlineStr">
        <is>
          <t>ÄLMHULT</t>
        </is>
      </c>
      <c r="G5022" t="n">
        <v>1.1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44542-2025</t>
        </is>
      </c>
      <c r="B5023" s="1" t="n">
        <v>45917.29938657407</v>
      </c>
      <c r="C5023" s="1" t="n">
        <v>45957</v>
      </c>
      <c r="D5023" t="inlineStr">
        <is>
          <t>KRONOBERGS LÄN</t>
        </is>
      </c>
      <c r="E5023" t="inlineStr">
        <is>
          <t>ÄLMHULT</t>
        </is>
      </c>
      <c r="F5023" t="inlineStr">
        <is>
          <t>Sveaskog</t>
        </is>
      </c>
      <c r="G5023" t="n">
        <v>1.5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44684-2025</t>
        </is>
      </c>
      <c r="B5024" s="1" t="n">
        <v>45917.58282407407</v>
      </c>
      <c r="C5024" s="1" t="n">
        <v>45957</v>
      </c>
      <c r="D5024" t="inlineStr">
        <is>
          <t>KRONOBERGS LÄN</t>
        </is>
      </c>
      <c r="E5024" t="inlineStr">
        <is>
          <t>LJUNGBY</t>
        </is>
      </c>
      <c r="G5024" t="n">
        <v>2.8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1093-2024</t>
        </is>
      </c>
      <c r="B5025" s="1" t="n">
        <v>45302.37436342592</v>
      </c>
      <c r="C5025" s="1" t="n">
        <v>45957</v>
      </c>
      <c r="D5025" t="inlineStr">
        <is>
          <t>KRONOBERGS LÄN</t>
        </is>
      </c>
      <c r="E5025" t="inlineStr">
        <is>
          <t>ALVESTA</t>
        </is>
      </c>
      <c r="G5025" t="n">
        <v>0.9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44740-2025</t>
        </is>
      </c>
      <c r="B5026" s="1" t="n">
        <v>45917.66189814815</v>
      </c>
      <c r="C5026" s="1" t="n">
        <v>45957</v>
      </c>
      <c r="D5026" t="inlineStr">
        <is>
          <t>KRONOBERGS LÄN</t>
        </is>
      </c>
      <c r="E5026" t="inlineStr">
        <is>
          <t>LJUNGBY</t>
        </is>
      </c>
      <c r="G5026" t="n">
        <v>11.2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44882-2025</t>
        </is>
      </c>
      <c r="B5027" s="1" t="n">
        <v>45918.48403935185</v>
      </c>
      <c r="C5027" s="1" t="n">
        <v>45957</v>
      </c>
      <c r="D5027" t="inlineStr">
        <is>
          <t>KRONOBERGS LÄN</t>
        </is>
      </c>
      <c r="E5027" t="inlineStr">
        <is>
          <t>VÄXJÖ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9987-2023</t>
        </is>
      </c>
      <c r="B5028" s="1" t="n">
        <v>44985</v>
      </c>
      <c r="C5028" s="1" t="n">
        <v>45957</v>
      </c>
      <c r="D5028" t="inlineStr">
        <is>
          <t>KRONOBERGS LÄN</t>
        </is>
      </c>
      <c r="E5028" t="inlineStr">
        <is>
          <t>ALVESTA</t>
        </is>
      </c>
      <c r="G5028" t="n">
        <v>0.4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28086-2024</t>
        </is>
      </c>
      <c r="B5029" s="1" t="n">
        <v>45476.59524305556</v>
      </c>
      <c r="C5029" s="1" t="n">
        <v>45957</v>
      </c>
      <c r="D5029" t="inlineStr">
        <is>
          <t>KRONOBERGS LÄN</t>
        </is>
      </c>
      <c r="E5029" t="inlineStr">
        <is>
          <t>MARKARYD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52363-2023</t>
        </is>
      </c>
      <c r="B5030" s="1" t="n">
        <v>45224.70244212963</v>
      </c>
      <c r="C5030" s="1" t="n">
        <v>45957</v>
      </c>
      <c r="D5030" t="inlineStr">
        <is>
          <t>KRONOBERGS LÄN</t>
        </is>
      </c>
      <c r="E5030" t="inlineStr">
        <is>
          <t>LJUNGBY</t>
        </is>
      </c>
      <c r="G5030" t="n">
        <v>0.3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17518-2023</t>
        </is>
      </c>
      <c r="B5031" s="1" t="n">
        <v>45036</v>
      </c>
      <c r="C5031" s="1" t="n">
        <v>45957</v>
      </c>
      <c r="D5031" t="inlineStr">
        <is>
          <t>KRONOBERGS LÄN</t>
        </is>
      </c>
      <c r="E5031" t="inlineStr">
        <is>
          <t>TINGSRYD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61964-2021</t>
        </is>
      </c>
      <c r="B5032" s="1" t="n">
        <v>44502</v>
      </c>
      <c r="C5032" s="1" t="n">
        <v>45957</v>
      </c>
      <c r="D5032" t="inlineStr">
        <is>
          <t>KRONOBERGS LÄN</t>
        </is>
      </c>
      <c r="E5032" t="inlineStr">
        <is>
          <t>VÄXJÖ</t>
        </is>
      </c>
      <c r="G5032" t="n">
        <v>1.6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26085-2023</t>
        </is>
      </c>
      <c r="B5033" s="1" t="n">
        <v>45091.38644675926</v>
      </c>
      <c r="C5033" s="1" t="n">
        <v>45957</v>
      </c>
      <c r="D5033" t="inlineStr">
        <is>
          <t>KRONOBERGS LÄN</t>
        </is>
      </c>
      <c r="E5033" t="inlineStr">
        <is>
          <t>VÄXJÖ</t>
        </is>
      </c>
      <c r="G5033" t="n">
        <v>3.3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16584-2023</t>
        </is>
      </c>
      <c r="B5034" s="1" t="n">
        <v>45030</v>
      </c>
      <c r="C5034" s="1" t="n">
        <v>45957</v>
      </c>
      <c r="D5034" t="inlineStr">
        <is>
          <t>KRONOBERGS LÄN</t>
        </is>
      </c>
      <c r="E5034" t="inlineStr">
        <is>
          <t>VÄXJÖ</t>
        </is>
      </c>
      <c r="G5034" t="n">
        <v>3.7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38854-2024</t>
        </is>
      </c>
      <c r="B5035" s="1" t="n">
        <v>45547.62391203704</v>
      </c>
      <c r="C5035" s="1" t="n">
        <v>45957</v>
      </c>
      <c r="D5035" t="inlineStr">
        <is>
          <t>KRONOBERGS LÄN</t>
        </is>
      </c>
      <c r="E5035" t="inlineStr">
        <is>
          <t>UPPVIDINGE</t>
        </is>
      </c>
      <c r="G5035" t="n">
        <v>0.2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38855-2024</t>
        </is>
      </c>
      <c r="B5036" s="1" t="n">
        <v>45547.62475694445</v>
      </c>
      <c r="C5036" s="1" t="n">
        <v>45957</v>
      </c>
      <c r="D5036" t="inlineStr">
        <is>
          <t>KRONOBERGS LÄN</t>
        </is>
      </c>
      <c r="E5036" t="inlineStr">
        <is>
          <t>UPPVIDINGE</t>
        </is>
      </c>
      <c r="G5036" t="n">
        <v>0.4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38899-2024</t>
        </is>
      </c>
      <c r="B5037" s="1" t="n">
        <v>45547.69391203704</v>
      </c>
      <c r="C5037" s="1" t="n">
        <v>45957</v>
      </c>
      <c r="D5037" t="inlineStr">
        <is>
          <t>KRONOBERGS LÄN</t>
        </is>
      </c>
      <c r="E5037" t="inlineStr">
        <is>
          <t>ALVESTA</t>
        </is>
      </c>
      <c r="G5037" t="n">
        <v>1.2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1286-2024</t>
        </is>
      </c>
      <c r="B5038" s="1" t="n">
        <v>45303</v>
      </c>
      <c r="C5038" s="1" t="n">
        <v>45957</v>
      </c>
      <c r="D5038" t="inlineStr">
        <is>
          <t>KRONOBERGS LÄN</t>
        </is>
      </c>
      <c r="E5038" t="inlineStr">
        <is>
          <t>ÄLMHULT</t>
        </is>
      </c>
      <c r="G5038" t="n">
        <v>5.5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60627-2024</t>
        </is>
      </c>
      <c r="B5039" s="1" t="n">
        <v>45644.39822916667</v>
      </c>
      <c r="C5039" s="1" t="n">
        <v>45957</v>
      </c>
      <c r="D5039" t="inlineStr">
        <is>
          <t>KRONOBERGS LÄN</t>
        </is>
      </c>
      <c r="E5039" t="inlineStr">
        <is>
          <t>TINGSRYD</t>
        </is>
      </c>
      <c r="G5039" t="n">
        <v>1.6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3517-2025</t>
        </is>
      </c>
      <c r="B5040" s="1" t="n">
        <v>45680.59917824074</v>
      </c>
      <c r="C5040" s="1" t="n">
        <v>45957</v>
      </c>
      <c r="D5040" t="inlineStr">
        <is>
          <t>KRONOBERGS LÄN</t>
        </is>
      </c>
      <c r="E5040" t="inlineStr">
        <is>
          <t>ÄLMHULT</t>
        </is>
      </c>
      <c r="F5040" t="inlineStr">
        <is>
          <t>Sveaskog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9216-2025</t>
        </is>
      </c>
      <c r="B5041" s="1" t="n">
        <v>45714.513125</v>
      </c>
      <c r="C5041" s="1" t="n">
        <v>45957</v>
      </c>
      <c r="D5041" t="inlineStr">
        <is>
          <t>KRONOBERGS LÄN</t>
        </is>
      </c>
      <c r="E5041" t="inlineStr">
        <is>
          <t>LESSEBO</t>
        </is>
      </c>
      <c r="G5041" t="n">
        <v>0.9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24401-2021</t>
        </is>
      </c>
      <c r="B5042" s="1" t="n">
        <v>44337.48540509259</v>
      </c>
      <c r="C5042" s="1" t="n">
        <v>45957</v>
      </c>
      <c r="D5042" t="inlineStr">
        <is>
          <t>KRONOBERGS LÄN</t>
        </is>
      </c>
      <c r="E5042" t="inlineStr">
        <is>
          <t>LJUNGBY</t>
        </is>
      </c>
      <c r="G5042" t="n">
        <v>2.3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13269-2024</t>
        </is>
      </c>
      <c r="B5043" s="1" t="n">
        <v>45386.59690972222</v>
      </c>
      <c r="C5043" s="1" t="n">
        <v>45957</v>
      </c>
      <c r="D5043" t="inlineStr">
        <is>
          <t>KRONOBERGS LÄN</t>
        </is>
      </c>
      <c r="E5043" t="inlineStr">
        <is>
          <t>TINGSRYD</t>
        </is>
      </c>
      <c r="G5043" t="n">
        <v>0.4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21241-2024</t>
        </is>
      </c>
      <c r="B5044" s="1" t="n">
        <v>45440.59321759259</v>
      </c>
      <c r="C5044" s="1" t="n">
        <v>45957</v>
      </c>
      <c r="D5044" t="inlineStr">
        <is>
          <t>KRONOBERGS LÄN</t>
        </is>
      </c>
      <c r="E5044" t="inlineStr">
        <is>
          <t>ÄLMHULT</t>
        </is>
      </c>
      <c r="G5044" t="n">
        <v>1.5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51495-2024</t>
        </is>
      </c>
      <c r="B5045" s="1" t="n">
        <v>45604.54047453704</v>
      </c>
      <c r="C5045" s="1" t="n">
        <v>45957</v>
      </c>
      <c r="D5045" t="inlineStr">
        <is>
          <t>KRONOBERGS LÄN</t>
        </is>
      </c>
      <c r="E5045" t="inlineStr">
        <is>
          <t>LJUNGBY</t>
        </is>
      </c>
      <c r="G5045" t="n">
        <v>1.3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34433-2021</t>
        </is>
      </c>
      <c r="B5046" s="1" t="n">
        <v>44380</v>
      </c>
      <c r="C5046" s="1" t="n">
        <v>45957</v>
      </c>
      <c r="D5046" t="inlineStr">
        <is>
          <t>KRONOBERGS LÄN</t>
        </is>
      </c>
      <c r="E5046" t="inlineStr">
        <is>
          <t>LJUNGBY</t>
        </is>
      </c>
      <c r="G5046" t="n">
        <v>0.4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19053-2025</t>
        </is>
      </c>
      <c r="B5047" s="1" t="n">
        <v>45764</v>
      </c>
      <c r="C5047" s="1" t="n">
        <v>45957</v>
      </c>
      <c r="D5047" t="inlineStr">
        <is>
          <t>KRONOBERGS LÄN</t>
        </is>
      </c>
      <c r="E5047" t="inlineStr">
        <is>
          <t>UPPVIDINGE</t>
        </is>
      </c>
      <c r="F5047" t="inlineStr">
        <is>
          <t>Sveaskog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19054-2025</t>
        </is>
      </c>
      <c r="B5048" s="1" t="n">
        <v>45764.84103009259</v>
      </c>
      <c r="C5048" s="1" t="n">
        <v>45957</v>
      </c>
      <c r="D5048" t="inlineStr">
        <is>
          <t>KRONOBERGS LÄN</t>
        </is>
      </c>
      <c r="E5048" t="inlineStr">
        <is>
          <t>UPPVIDINGE</t>
        </is>
      </c>
      <c r="F5048" t="inlineStr">
        <is>
          <t>Sveaskog</t>
        </is>
      </c>
      <c r="G5048" t="n">
        <v>1.4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37755-2024</t>
        </is>
      </c>
      <c r="B5049" s="1" t="n">
        <v>45541.73261574074</v>
      </c>
      <c r="C5049" s="1" t="n">
        <v>45957</v>
      </c>
      <c r="D5049" t="inlineStr">
        <is>
          <t>KRONOBERGS LÄN</t>
        </is>
      </c>
      <c r="E5049" t="inlineStr">
        <is>
          <t>VÄXJÖ</t>
        </is>
      </c>
      <c r="G5049" t="n">
        <v>0.9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45014-2025</t>
        </is>
      </c>
      <c r="B5050" s="1" t="n">
        <v>45918</v>
      </c>
      <c r="C5050" s="1" t="n">
        <v>45957</v>
      </c>
      <c r="D5050" t="inlineStr">
        <is>
          <t>KRONOBERGS LÄN</t>
        </is>
      </c>
      <c r="E5050" t="inlineStr">
        <is>
          <t>VÄXJÖ</t>
        </is>
      </c>
      <c r="G5050" t="n">
        <v>8.1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45021-2025</t>
        </is>
      </c>
      <c r="B5051" s="1" t="n">
        <v>45918</v>
      </c>
      <c r="C5051" s="1" t="n">
        <v>45957</v>
      </c>
      <c r="D5051" t="inlineStr">
        <is>
          <t>KRONOBERGS LÄN</t>
        </is>
      </c>
      <c r="E5051" t="inlineStr">
        <is>
          <t>VÄXJÖ</t>
        </is>
      </c>
      <c r="G5051" t="n">
        <v>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45118-2025</t>
        </is>
      </c>
      <c r="B5052" s="1" t="n">
        <v>45919.42663194444</v>
      </c>
      <c r="C5052" s="1" t="n">
        <v>45957</v>
      </c>
      <c r="D5052" t="inlineStr">
        <is>
          <t>KRONOBERGS LÄN</t>
        </is>
      </c>
      <c r="E5052" t="inlineStr">
        <is>
          <t>LJUNGBY</t>
        </is>
      </c>
      <c r="G5052" t="n">
        <v>2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35729-2024</t>
        </is>
      </c>
      <c r="B5053" s="1" t="n">
        <v>45532.51449074074</v>
      </c>
      <c r="C5053" s="1" t="n">
        <v>45957</v>
      </c>
      <c r="D5053" t="inlineStr">
        <is>
          <t>KRONOBERGS LÄN</t>
        </is>
      </c>
      <c r="E5053" t="inlineStr">
        <is>
          <t>ALVESTA</t>
        </is>
      </c>
      <c r="G5053" t="n">
        <v>4.7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16992-2024</t>
        </is>
      </c>
      <c r="B5054" s="1" t="n">
        <v>45412.33401620371</v>
      </c>
      <c r="C5054" s="1" t="n">
        <v>45957</v>
      </c>
      <c r="D5054" t="inlineStr">
        <is>
          <t>KRONOBERGS LÄN</t>
        </is>
      </c>
      <c r="E5054" t="inlineStr">
        <is>
          <t>TINGSRYD</t>
        </is>
      </c>
      <c r="G5054" t="n">
        <v>1.7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13428-2025</t>
        </is>
      </c>
      <c r="B5055" s="1" t="n">
        <v>45736.32997685186</v>
      </c>
      <c r="C5055" s="1" t="n">
        <v>45957</v>
      </c>
      <c r="D5055" t="inlineStr">
        <is>
          <t>KRONOBERGS LÄN</t>
        </is>
      </c>
      <c r="E5055" t="inlineStr">
        <is>
          <t>UPPVIDINGE</t>
        </is>
      </c>
      <c r="F5055" t="inlineStr">
        <is>
          <t>Sveaskog</t>
        </is>
      </c>
      <c r="G5055" t="n">
        <v>0.5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13429-2025</t>
        </is>
      </c>
      <c r="B5056" s="1" t="n">
        <v>45736.33076388889</v>
      </c>
      <c r="C5056" s="1" t="n">
        <v>45957</v>
      </c>
      <c r="D5056" t="inlineStr">
        <is>
          <t>KRONOBERGS LÄN</t>
        </is>
      </c>
      <c r="E5056" t="inlineStr">
        <is>
          <t>UPPVIDINGE</t>
        </is>
      </c>
      <c r="F5056" t="inlineStr">
        <is>
          <t>Sveaskog</t>
        </is>
      </c>
      <c r="G5056" t="n">
        <v>0.3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771-2024</t>
        </is>
      </c>
      <c r="B5057" s="1" t="n">
        <v>45300.52561342593</v>
      </c>
      <c r="C5057" s="1" t="n">
        <v>45957</v>
      </c>
      <c r="D5057" t="inlineStr">
        <is>
          <t>KRONOBERGS LÄN</t>
        </is>
      </c>
      <c r="E5057" t="inlineStr">
        <is>
          <t>VÄXJÖ</t>
        </is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780-2024</t>
        </is>
      </c>
      <c r="B5058" s="1" t="n">
        <v>45300.54975694444</v>
      </c>
      <c r="C5058" s="1" t="n">
        <v>45957</v>
      </c>
      <c r="D5058" t="inlineStr">
        <is>
          <t>KRONOBERGS LÄN</t>
        </is>
      </c>
      <c r="E5058" t="inlineStr">
        <is>
          <t>VÄXJÖ</t>
        </is>
      </c>
      <c r="G5058" t="n">
        <v>0.5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59320-2024</t>
        </is>
      </c>
      <c r="B5059" s="1" t="n">
        <v>45637.7069212963</v>
      </c>
      <c r="C5059" s="1" t="n">
        <v>45957</v>
      </c>
      <c r="D5059" t="inlineStr">
        <is>
          <t>KRONOBERGS LÄN</t>
        </is>
      </c>
      <c r="E5059" t="inlineStr">
        <is>
          <t>LESSEBO</t>
        </is>
      </c>
      <c r="F5059" t="inlineStr">
        <is>
          <t>Sveaskog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13132-2025</t>
        </is>
      </c>
      <c r="B5060" s="1" t="n">
        <v>45734.93418981481</v>
      </c>
      <c r="C5060" s="1" t="n">
        <v>45957</v>
      </c>
      <c r="D5060" t="inlineStr">
        <is>
          <t>KRONOBERGS LÄN</t>
        </is>
      </c>
      <c r="E5060" t="inlineStr">
        <is>
          <t>LJUNGBY</t>
        </is>
      </c>
      <c r="G5060" t="n">
        <v>0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9826-2023</t>
        </is>
      </c>
      <c r="B5061" s="1" t="n">
        <v>44984</v>
      </c>
      <c r="C5061" s="1" t="n">
        <v>45957</v>
      </c>
      <c r="D5061" t="inlineStr">
        <is>
          <t>KRONOBERGS LÄN</t>
        </is>
      </c>
      <c r="E5061" t="inlineStr">
        <is>
          <t>TINGSRYD</t>
        </is>
      </c>
      <c r="G5061" t="n">
        <v>12.4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11182-2024</t>
        </is>
      </c>
      <c r="B5062" s="1" t="n">
        <v>45371.52966435185</v>
      </c>
      <c r="C5062" s="1" t="n">
        <v>45957</v>
      </c>
      <c r="D5062" t="inlineStr">
        <is>
          <t>KRONOBERGS LÄN</t>
        </is>
      </c>
      <c r="E5062" t="inlineStr">
        <is>
          <t>TINGSRYD</t>
        </is>
      </c>
      <c r="G5062" t="n">
        <v>1.1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19622-2025</t>
        </is>
      </c>
      <c r="B5063" s="1" t="n">
        <v>45770.625625</v>
      </c>
      <c r="C5063" s="1" t="n">
        <v>45957</v>
      </c>
      <c r="D5063" t="inlineStr">
        <is>
          <t>KRONOBERGS LÄN</t>
        </is>
      </c>
      <c r="E5063" t="inlineStr">
        <is>
          <t>UPPVIDINGE</t>
        </is>
      </c>
      <c r="G5063" t="n">
        <v>0.5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12877-2025</t>
        </is>
      </c>
      <c r="B5064" s="1" t="n">
        <v>45733.6841087963</v>
      </c>
      <c r="C5064" s="1" t="n">
        <v>45957</v>
      </c>
      <c r="D5064" t="inlineStr">
        <is>
          <t>KRONOBERGS LÄN</t>
        </is>
      </c>
      <c r="E5064" t="inlineStr">
        <is>
          <t>ÄLMHULT</t>
        </is>
      </c>
      <c r="G5064" t="n">
        <v>2.3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16144-2024</t>
        </is>
      </c>
      <c r="B5065" s="1" t="n">
        <v>45406.56274305555</v>
      </c>
      <c r="C5065" s="1" t="n">
        <v>45957</v>
      </c>
      <c r="D5065" t="inlineStr">
        <is>
          <t>KRONOBERGS LÄN</t>
        </is>
      </c>
      <c r="E5065" t="inlineStr">
        <is>
          <t>TINGSRYD</t>
        </is>
      </c>
      <c r="G5065" t="n">
        <v>1.7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56824-2024</t>
        </is>
      </c>
      <c r="B5066" s="1" t="n">
        <v>45628.49255787037</v>
      </c>
      <c r="C5066" s="1" t="n">
        <v>45957</v>
      </c>
      <c r="D5066" t="inlineStr">
        <is>
          <t>KRONOBERGS LÄN</t>
        </is>
      </c>
      <c r="E5066" t="inlineStr">
        <is>
          <t>MARKARYD</t>
        </is>
      </c>
      <c r="G5066" t="n">
        <v>1.4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61637-2024</t>
        </is>
      </c>
      <c r="B5067" s="1" t="n">
        <v>45646.67726851852</v>
      </c>
      <c r="C5067" s="1" t="n">
        <v>45957</v>
      </c>
      <c r="D5067" t="inlineStr">
        <is>
          <t>KRONOBERGS LÄN</t>
        </is>
      </c>
      <c r="E5067" t="inlineStr">
        <is>
          <t>LJUNGBY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62639-2020</t>
        </is>
      </c>
      <c r="B5068" s="1" t="n">
        <v>44161</v>
      </c>
      <c r="C5068" s="1" t="n">
        <v>45957</v>
      </c>
      <c r="D5068" t="inlineStr">
        <is>
          <t>KRONOBERGS LÄN</t>
        </is>
      </c>
      <c r="E5068" t="inlineStr">
        <is>
          <t>ÄLMHULT</t>
        </is>
      </c>
      <c r="G5068" t="n">
        <v>1.1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62120-2022</t>
        </is>
      </c>
      <c r="B5069" s="1" t="n">
        <v>44921</v>
      </c>
      <c r="C5069" s="1" t="n">
        <v>45957</v>
      </c>
      <c r="D5069" t="inlineStr">
        <is>
          <t>KRONOBERGS LÄN</t>
        </is>
      </c>
      <c r="E5069" t="inlineStr">
        <is>
          <t>ÄLMHULT</t>
        </is>
      </c>
      <c r="G5069" t="n">
        <v>2.2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33832-2024</t>
        </is>
      </c>
      <c r="B5070" s="1" t="n">
        <v>45520.62033564815</v>
      </c>
      <c r="C5070" s="1" t="n">
        <v>45957</v>
      </c>
      <c r="D5070" t="inlineStr">
        <is>
          <t>KRONOBERGS LÄN</t>
        </is>
      </c>
      <c r="E5070" t="inlineStr">
        <is>
          <t>LESSEBO</t>
        </is>
      </c>
      <c r="G5070" t="n">
        <v>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37453-2025</t>
        </is>
      </c>
      <c r="B5071" s="1" t="n">
        <v>45877</v>
      </c>
      <c r="C5071" s="1" t="n">
        <v>45957</v>
      </c>
      <c r="D5071" t="inlineStr">
        <is>
          <t>KRONOBERGS LÄN</t>
        </is>
      </c>
      <c r="E5071" t="inlineStr">
        <is>
          <t>VÄXJÖ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45337-2025</t>
        </is>
      </c>
      <c r="B5072" s="1" t="n">
        <v>45922.34325231481</v>
      </c>
      <c r="C5072" s="1" t="n">
        <v>45957</v>
      </c>
      <c r="D5072" t="inlineStr">
        <is>
          <t>KRONOBERGS LÄN</t>
        </is>
      </c>
      <c r="E5072" t="inlineStr">
        <is>
          <t>TINGSRYD</t>
        </is>
      </c>
      <c r="G5072" t="n">
        <v>0.6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4334-2024</t>
        </is>
      </c>
      <c r="B5073" s="1" t="n">
        <v>45324.69274305556</v>
      </c>
      <c r="C5073" s="1" t="n">
        <v>45957</v>
      </c>
      <c r="D5073" t="inlineStr">
        <is>
          <t>KRONOBERGS LÄN</t>
        </is>
      </c>
      <c r="E5073" t="inlineStr">
        <is>
          <t>ALVESTA</t>
        </is>
      </c>
      <c r="G5073" t="n">
        <v>1.3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62176-2022</t>
        </is>
      </c>
      <c r="B5074" s="1" t="n">
        <v>44922.50314814815</v>
      </c>
      <c r="C5074" s="1" t="n">
        <v>45957</v>
      </c>
      <c r="D5074" t="inlineStr">
        <is>
          <t>KRONOBERGS LÄN</t>
        </is>
      </c>
      <c r="E5074" t="inlineStr">
        <is>
          <t>UPPVIDINGE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6870-2024</t>
        </is>
      </c>
      <c r="B5075" s="1" t="n">
        <v>45342.75077546296</v>
      </c>
      <c r="C5075" s="1" t="n">
        <v>45957</v>
      </c>
      <c r="D5075" t="inlineStr">
        <is>
          <t>KRONOBERGS LÄN</t>
        </is>
      </c>
      <c r="E5075" t="inlineStr">
        <is>
          <t>VÄXJÖ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12947-2025</t>
        </is>
      </c>
      <c r="B5076" s="1" t="n">
        <v>45734.3918287037</v>
      </c>
      <c r="C5076" s="1" t="n">
        <v>45957</v>
      </c>
      <c r="D5076" t="inlineStr">
        <is>
          <t>KRONOBERGS LÄN</t>
        </is>
      </c>
      <c r="E5076" t="inlineStr">
        <is>
          <t>ÄLMHULT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1239-2024</t>
        </is>
      </c>
      <c r="B5077" s="1" t="n">
        <v>45302.71799768518</v>
      </c>
      <c r="C5077" s="1" t="n">
        <v>45957</v>
      </c>
      <c r="D5077" t="inlineStr">
        <is>
          <t>KRONOBERGS LÄN</t>
        </is>
      </c>
      <c r="E5077" t="inlineStr">
        <is>
          <t>VÄXJÖ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3879-2024</t>
        </is>
      </c>
      <c r="B5078" s="1" t="n">
        <v>45322.43651620371</v>
      </c>
      <c r="C5078" s="1" t="n">
        <v>45957</v>
      </c>
      <c r="D5078" t="inlineStr">
        <is>
          <t>KRONOBERGS LÄN</t>
        </is>
      </c>
      <c r="E5078" t="inlineStr">
        <is>
          <t>VÄXJÖ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17298-2023</t>
        </is>
      </c>
      <c r="B5079" s="1" t="n">
        <v>45035</v>
      </c>
      <c r="C5079" s="1" t="n">
        <v>45957</v>
      </c>
      <c r="D5079" t="inlineStr">
        <is>
          <t>KRONOBERGS LÄN</t>
        </is>
      </c>
      <c r="E5079" t="inlineStr">
        <is>
          <t>LJUNGBY</t>
        </is>
      </c>
      <c r="G5079" t="n">
        <v>4.8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17333-2023</t>
        </is>
      </c>
      <c r="B5080" s="1" t="n">
        <v>45035.56302083333</v>
      </c>
      <c r="C5080" s="1" t="n">
        <v>45957</v>
      </c>
      <c r="D5080" t="inlineStr">
        <is>
          <t>KRONOBERGS LÄN</t>
        </is>
      </c>
      <c r="E5080" t="inlineStr">
        <is>
          <t>TINGSRYD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7535-2025</t>
        </is>
      </c>
      <c r="B5081" s="1" t="n">
        <v>45705.5654050926</v>
      </c>
      <c r="C5081" s="1" t="n">
        <v>45957</v>
      </c>
      <c r="D5081" t="inlineStr">
        <is>
          <t>KRONOBERGS LÄN</t>
        </is>
      </c>
      <c r="E5081" t="inlineStr">
        <is>
          <t>LJUNGBY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12787-2025</t>
        </is>
      </c>
      <c r="B5082" s="1" t="n">
        <v>45733.60265046296</v>
      </c>
      <c r="C5082" s="1" t="n">
        <v>45957</v>
      </c>
      <c r="D5082" t="inlineStr">
        <is>
          <t>KRONOBERGS LÄN</t>
        </is>
      </c>
      <c r="E5082" t="inlineStr">
        <is>
          <t>LJUNGBY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37396-2025</t>
        </is>
      </c>
      <c r="B5083" s="1" t="n">
        <v>45877.42953703704</v>
      </c>
      <c r="C5083" s="1" t="n">
        <v>45957</v>
      </c>
      <c r="D5083" t="inlineStr">
        <is>
          <t>KRONOBERGS LÄN</t>
        </is>
      </c>
      <c r="E5083" t="inlineStr">
        <is>
          <t>LJUNGBY</t>
        </is>
      </c>
      <c r="G5083" t="n">
        <v>0.9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11912-2022</t>
        </is>
      </c>
      <c r="B5084" s="1" t="n">
        <v>44635</v>
      </c>
      <c r="C5084" s="1" t="n">
        <v>45957</v>
      </c>
      <c r="D5084" t="inlineStr">
        <is>
          <t>KRONOBERGS LÄN</t>
        </is>
      </c>
      <c r="E5084" t="inlineStr">
        <is>
          <t>ALVESTA</t>
        </is>
      </c>
      <c r="G5084" t="n">
        <v>1.6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14230-2022</t>
        </is>
      </c>
      <c r="B5085" s="1" t="n">
        <v>44651</v>
      </c>
      <c r="C5085" s="1" t="n">
        <v>45957</v>
      </c>
      <c r="D5085" t="inlineStr">
        <is>
          <t>KRONOBERGS LÄN</t>
        </is>
      </c>
      <c r="E5085" t="inlineStr">
        <is>
          <t>LJUNGBY</t>
        </is>
      </c>
      <c r="G5085" t="n">
        <v>2.6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23844-2021</t>
        </is>
      </c>
      <c r="B5086" s="1" t="n">
        <v>44335</v>
      </c>
      <c r="C5086" s="1" t="n">
        <v>45957</v>
      </c>
      <c r="D5086" t="inlineStr">
        <is>
          <t>KRONOBERGS LÄN</t>
        </is>
      </c>
      <c r="E5086" t="inlineStr">
        <is>
          <t>ÄLMHULT</t>
        </is>
      </c>
      <c r="F5086" t="inlineStr">
        <is>
          <t>Kommuner</t>
        </is>
      </c>
      <c r="G5086" t="n">
        <v>1.3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58559-2024</t>
        </is>
      </c>
      <c r="B5087" s="1" t="n">
        <v>45635.46958333333</v>
      </c>
      <c r="C5087" s="1" t="n">
        <v>45957</v>
      </c>
      <c r="D5087" t="inlineStr">
        <is>
          <t>KRONOBERGS LÄN</t>
        </is>
      </c>
      <c r="E5087" t="inlineStr">
        <is>
          <t>TINGSRYD</t>
        </is>
      </c>
      <c r="F5087" t="inlineStr">
        <is>
          <t>Övriga Aktiebolag</t>
        </is>
      </c>
      <c r="G5087" t="n">
        <v>2.6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64797-2021</t>
        </is>
      </c>
      <c r="B5088" s="1" t="n">
        <v>44512.50164351852</v>
      </c>
      <c r="C5088" s="1" t="n">
        <v>45957</v>
      </c>
      <c r="D5088" t="inlineStr">
        <is>
          <t>KRONOBERGS LÄN</t>
        </is>
      </c>
      <c r="E5088" t="inlineStr">
        <is>
          <t>ALVESTA</t>
        </is>
      </c>
      <c r="G5088" t="n">
        <v>4.2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52175-2024</t>
        </is>
      </c>
      <c r="B5089" s="1" t="n">
        <v>45608.5525</v>
      </c>
      <c r="C5089" s="1" t="n">
        <v>45957</v>
      </c>
      <c r="D5089" t="inlineStr">
        <is>
          <t>KRONOBERGS LÄN</t>
        </is>
      </c>
      <c r="E5089" t="inlineStr">
        <is>
          <t>ÄLMHULT</t>
        </is>
      </c>
      <c r="G5089" t="n">
        <v>1.8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69518-2020</t>
        </is>
      </c>
      <c r="B5090" s="1" t="n">
        <v>44194</v>
      </c>
      <c r="C5090" s="1" t="n">
        <v>45957</v>
      </c>
      <c r="D5090" t="inlineStr">
        <is>
          <t>KRONOBERGS LÄN</t>
        </is>
      </c>
      <c r="E5090" t="inlineStr">
        <is>
          <t>VÄXJÖ</t>
        </is>
      </c>
      <c r="G5090" t="n">
        <v>0.7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35469-2025</t>
        </is>
      </c>
      <c r="B5091" s="1" t="n">
        <v>45855.66106481481</v>
      </c>
      <c r="C5091" s="1" t="n">
        <v>45957</v>
      </c>
      <c r="D5091" t="inlineStr">
        <is>
          <t>KRONOBERGS LÄN</t>
        </is>
      </c>
      <c r="E5091" t="inlineStr">
        <is>
          <t>VÄXJÖ</t>
        </is>
      </c>
      <c r="G5091" t="n">
        <v>4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37522-2025</t>
        </is>
      </c>
      <c r="B5092" s="1" t="n">
        <v>45877</v>
      </c>
      <c r="C5092" s="1" t="n">
        <v>45957</v>
      </c>
      <c r="D5092" t="inlineStr">
        <is>
          <t>KRONOBERGS LÄN</t>
        </is>
      </c>
      <c r="E5092" t="inlineStr">
        <is>
          <t>TINGSRYD</t>
        </is>
      </c>
      <c r="G5092" t="n">
        <v>2.2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68208-2020</t>
        </is>
      </c>
      <c r="B5093" s="1" t="n">
        <v>44183</v>
      </c>
      <c r="C5093" s="1" t="n">
        <v>45957</v>
      </c>
      <c r="D5093" t="inlineStr">
        <is>
          <t>KRONOBERGS LÄN</t>
        </is>
      </c>
      <c r="E5093" t="inlineStr">
        <is>
          <t>VÄXJÖ</t>
        </is>
      </c>
      <c r="F5093" t="inlineStr">
        <is>
          <t>Sveaskog</t>
        </is>
      </c>
      <c r="G5093" t="n">
        <v>2.1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37603-2025</t>
        </is>
      </c>
      <c r="B5094" s="1" t="n">
        <v>45880.42453703703</v>
      </c>
      <c r="C5094" s="1" t="n">
        <v>45957</v>
      </c>
      <c r="D5094" t="inlineStr">
        <is>
          <t>KRONOBERGS LÄN</t>
        </is>
      </c>
      <c r="E5094" t="inlineStr">
        <is>
          <t>MARKARYD</t>
        </is>
      </c>
      <c r="G5094" t="n">
        <v>0.8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44648-2025</t>
        </is>
      </c>
      <c r="B5095" s="1" t="n">
        <v>45917</v>
      </c>
      <c r="C5095" s="1" t="n">
        <v>45957</v>
      </c>
      <c r="D5095" t="inlineStr">
        <is>
          <t>KRONOBERGS LÄN</t>
        </is>
      </c>
      <c r="E5095" t="inlineStr">
        <is>
          <t>ALVESTA</t>
        </is>
      </c>
      <c r="G5095" t="n">
        <v>1.1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37397-2025</t>
        </is>
      </c>
      <c r="B5096" s="1" t="n">
        <v>45877</v>
      </c>
      <c r="C5096" s="1" t="n">
        <v>45957</v>
      </c>
      <c r="D5096" t="inlineStr">
        <is>
          <t>KRONOBERGS LÄN</t>
        </is>
      </c>
      <c r="E5096" t="inlineStr">
        <is>
          <t>UPPVIDINGE</t>
        </is>
      </c>
      <c r="G5096" t="n">
        <v>1.9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28666-2025</t>
        </is>
      </c>
      <c r="B5097" s="1" t="n">
        <v>45819.6641087963</v>
      </c>
      <c r="C5097" s="1" t="n">
        <v>45957</v>
      </c>
      <c r="D5097" t="inlineStr">
        <is>
          <t>KRONOBERGS LÄN</t>
        </is>
      </c>
      <c r="E5097" t="inlineStr">
        <is>
          <t>ÄLMHULT</t>
        </is>
      </c>
      <c r="G5097" t="n">
        <v>5.6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45474-2025</t>
        </is>
      </c>
      <c r="B5098" s="1" t="n">
        <v>45922.51623842592</v>
      </c>
      <c r="C5098" s="1" t="n">
        <v>45957</v>
      </c>
      <c r="D5098" t="inlineStr">
        <is>
          <t>KRONOBERGS LÄN</t>
        </is>
      </c>
      <c r="E5098" t="inlineStr">
        <is>
          <t>TINGSRYD</t>
        </is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45475-2025</t>
        </is>
      </c>
      <c r="B5099" s="1" t="n">
        <v>45922.51841435185</v>
      </c>
      <c r="C5099" s="1" t="n">
        <v>45957</v>
      </c>
      <c r="D5099" t="inlineStr">
        <is>
          <t>KRONOBERGS LÄN</t>
        </is>
      </c>
      <c r="E5099" t="inlineStr">
        <is>
          <t>TINGSRYD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6930-2022</t>
        </is>
      </c>
      <c r="B5100" s="1" t="n">
        <v>44602</v>
      </c>
      <c r="C5100" s="1" t="n">
        <v>45957</v>
      </c>
      <c r="D5100" t="inlineStr">
        <is>
          <t>KRONOBERGS LÄN</t>
        </is>
      </c>
      <c r="E5100" t="inlineStr">
        <is>
          <t>TINGSRYD</t>
        </is>
      </c>
      <c r="G5100" t="n">
        <v>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63873-2020</t>
        </is>
      </c>
      <c r="B5101" s="1" t="n">
        <v>44166</v>
      </c>
      <c r="C5101" s="1" t="n">
        <v>45957</v>
      </c>
      <c r="D5101" t="inlineStr">
        <is>
          <t>KRONOBERGS LÄN</t>
        </is>
      </c>
      <c r="E5101" t="inlineStr">
        <is>
          <t>VÄXJÖ</t>
        </is>
      </c>
      <c r="G5101" t="n">
        <v>4.8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32162-2024</t>
        </is>
      </c>
      <c r="B5102" s="1" t="n">
        <v>45511.58850694444</v>
      </c>
      <c r="C5102" s="1" t="n">
        <v>45957</v>
      </c>
      <c r="D5102" t="inlineStr">
        <is>
          <t>KRONOBERGS LÄN</t>
        </is>
      </c>
      <c r="E5102" t="inlineStr">
        <is>
          <t>VÄXJÖ</t>
        </is>
      </c>
      <c r="G5102" t="n">
        <v>1.5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63658-2020</t>
        </is>
      </c>
      <c r="B5103" s="1" t="n">
        <v>44166</v>
      </c>
      <c r="C5103" s="1" t="n">
        <v>45957</v>
      </c>
      <c r="D5103" t="inlineStr">
        <is>
          <t>KRONOBERGS LÄN</t>
        </is>
      </c>
      <c r="E5103" t="inlineStr">
        <is>
          <t>LESSEBO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61354-2022</t>
        </is>
      </c>
      <c r="B5104" s="1" t="n">
        <v>44915</v>
      </c>
      <c r="C5104" s="1" t="n">
        <v>45957</v>
      </c>
      <c r="D5104" t="inlineStr">
        <is>
          <t>KRONOBERGS LÄN</t>
        </is>
      </c>
      <c r="E5104" t="inlineStr">
        <is>
          <t>VÄXJÖ</t>
        </is>
      </c>
      <c r="G5104" t="n">
        <v>2.3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19501-2021</t>
        </is>
      </c>
      <c r="B5105" s="1" t="n">
        <v>44308</v>
      </c>
      <c r="C5105" s="1" t="n">
        <v>45957</v>
      </c>
      <c r="D5105" t="inlineStr">
        <is>
          <t>KRONOBERGS LÄN</t>
        </is>
      </c>
      <c r="E5105" t="inlineStr">
        <is>
          <t>VÄXJÖ</t>
        </is>
      </c>
      <c r="G5105" t="n">
        <v>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10858-2023</t>
        </is>
      </c>
      <c r="B5106" s="1" t="n">
        <v>44991.38001157407</v>
      </c>
      <c r="C5106" s="1" t="n">
        <v>45957</v>
      </c>
      <c r="D5106" t="inlineStr">
        <is>
          <t>KRONOBERGS LÄN</t>
        </is>
      </c>
      <c r="E5106" t="inlineStr">
        <is>
          <t>ALVESTA</t>
        </is>
      </c>
      <c r="G5106" t="n">
        <v>0.5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38428-2024</t>
        </is>
      </c>
      <c r="B5107" s="1" t="n">
        <v>45546.38291666667</v>
      </c>
      <c r="C5107" s="1" t="n">
        <v>45957</v>
      </c>
      <c r="D5107" t="inlineStr">
        <is>
          <t>KRONOBERGS LÄN</t>
        </is>
      </c>
      <c r="E5107" t="inlineStr">
        <is>
          <t>ÄLMHULT</t>
        </is>
      </c>
      <c r="G5107" t="n">
        <v>0.6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35377-2021</t>
        </is>
      </c>
      <c r="B5108" s="1" t="n">
        <v>44385</v>
      </c>
      <c r="C5108" s="1" t="n">
        <v>45957</v>
      </c>
      <c r="D5108" t="inlineStr">
        <is>
          <t>KRONOBERGS LÄN</t>
        </is>
      </c>
      <c r="E5108" t="inlineStr">
        <is>
          <t>ALVESTA</t>
        </is>
      </c>
      <c r="G5108" t="n">
        <v>1.5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41746-2021</t>
        </is>
      </c>
      <c r="B5109" s="1" t="n">
        <v>44425</v>
      </c>
      <c r="C5109" s="1" t="n">
        <v>45957</v>
      </c>
      <c r="D5109" t="inlineStr">
        <is>
          <t>KRONOBERGS LÄN</t>
        </is>
      </c>
      <c r="E5109" t="inlineStr">
        <is>
          <t>TINGSRYD</t>
        </is>
      </c>
      <c r="G5109" t="n">
        <v>3.6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1052-2023</t>
        </is>
      </c>
      <c r="B5110" s="1" t="n">
        <v>44935</v>
      </c>
      <c r="C5110" s="1" t="n">
        <v>45957</v>
      </c>
      <c r="D5110" t="inlineStr">
        <is>
          <t>KRONOBERGS LÄN</t>
        </is>
      </c>
      <c r="E5110" t="inlineStr">
        <is>
          <t>MARKARYD</t>
        </is>
      </c>
      <c r="G5110" t="n">
        <v>1.5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1055-2023</t>
        </is>
      </c>
      <c r="B5111" s="1" t="n">
        <v>44935.49515046296</v>
      </c>
      <c r="C5111" s="1" t="n">
        <v>45957</v>
      </c>
      <c r="D5111" t="inlineStr">
        <is>
          <t>KRONOBERGS LÄN</t>
        </is>
      </c>
      <c r="E5111" t="inlineStr">
        <is>
          <t>ALVESTA</t>
        </is>
      </c>
      <c r="G5111" t="n">
        <v>0.5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1080-2023</t>
        </is>
      </c>
      <c r="B5112" s="1" t="n">
        <v>44935.54856481482</v>
      </c>
      <c r="C5112" s="1" t="n">
        <v>45957</v>
      </c>
      <c r="D5112" t="inlineStr">
        <is>
          <t>KRONOBERGS LÄN</t>
        </is>
      </c>
      <c r="E5112" t="inlineStr">
        <is>
          <t>MARKARYD</t>
        </is>
      </c>
      <c r="G5112" t="n">
        <v>1.2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12924-2024</t>
        </is>
      </c>
      <c r="B5113" s="1" t="n">
        <v>45385.44706018519</v>
      </c>
      <c r="C5113" s="1" t="n">
        <v>45957</v>
      </c>
      <c r="D5113" t="inlineStr">
        <is>
          <t>KRONOBERGS LÄN</t>
        </is>
      </c>
      <c r="E5113" t="inlineStr">
        <is>
          <t>UPPVIDINGE</t>
        </is>
      </c>
      <c r="F5113" t="inlineStr">
        <is>
          <t>Sveaskog</t>
        </is>
      </c>
      <c r="G5113" t="n">
        <v>3.2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44827-2022</t>
        </is>
      </c>
      <c r="B5114" s="1" t="n">
        <v>44839</v>
      </c>
      <c r="C5114" s="1" t="n">
        <v>45957</v>
      </c>
      <c r="D5114" t="inlineStr">
        <is>
          <t>KRONOBERGS LÄN</t>
        </is>
      </c>
      <c r="E5114" t="inlineStr">
        <is>
          <t>MARKARYD</t>
        </is>
      </c>
      <c r="F5114" t="inlineStr">
        <is>
          <t>Kyrkan</t>
        </is>
      </c>
      <c r="G5114" t="n">
        <v>2.3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26840-2025</t>
        </is>
      </c>
      <c r="B5115" s="1" t="n">
        <v>45810.65920138889</v>
      </c>
      <c r="C5115" s="1" t="n">
        <v>45957</v>
      </c>
      <c r="D5115" t="inlineStr">
        <is>
          <t>KRONOBERGS LÄN</t>
        </is>
      </c>
      <c r="E5115" t="inlineStr">
        <is>
          <t>MARKARYD</t>
        </is>
      </c>
      <c r="G5115" t="n">
        <v>1.1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1387-2022</t>
        </is>
      </c>
      <c r="B5116" s="1" t="n">
        <v>44573</v>
      </c>
      <c r="C5116" s="1" t="n">
        <v>45957</v>
      </c>
      <c r="D5116" t="inlineStr">
        <is>
          <t>KRONOBERGS LÄN</t>
        </is>
      </c>
      <c r="E5116" t="inlineStr">
        <is>
          <t>LJUNGBY</t>
        </is>
      </c>
      <c r="F5116" t="inlineStr">
        <is>
          <t>Kommuner</t>
        </is>
      </c>
      <c r="G5116" t="n">
        <v>2.4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65249-2020</t>
        </is>
      </c>
      <c r="B5117" s="1" t="n">
        <v>44172</v>
      </c>
      <c r="C5117" s="1" t="n">
        <v>45957</v>
      </c>
      <c r="D5117" t="inlineStr">
        <is>
          <t>KRONOBERGS LÄN</t>
        </is>
      </c>
      <c r="E5117" t="inlineStr">
        <is>
          <t>VÄXJÖ</t>
        </is>
      </c>
      <c r="G5117" t="n">
        <v>2.9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59278-2024</t>
        </is>
      </c>
      <c r="B5118" s="1" t="n">
        <v>45637.63881944444</v>
      </c>
      <c r="C5118" s="1" t="n">
        <v>45957</v>
      </c>
      <c r="D5118" t="inlineStr">
        <is>
          <t>KRONOBERGS LÄN</t>
        </is>
      </c>
      <c r="E5118" t="inlineStr">
        <is>
          <t>UPPVIDINGE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8599-2021</t>
        </is>
      </c>
      <c r="B5119" s="1" t="n">
        <v>44245</v>
      </c>
      <c r="C5119" s="1" t="n">
        <v>45957</v>
      </c>
      <c r="D5119" t="inlineStr">
        <is>
          <t>KRONOBERGS LÄN</t>
        </is>
      </c>
      <c r="E5119" t="inlineStr">
        <is>
          <t>VÄXJÖ</t>
        </is>
      </c>
      <c r="G5119" t="n">
        <v>4.8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63927-2021</t>
        </is>
      </c>
      <c r="B5120" s="1" t="n">
        <v>44509.69895833333</v>
      </c>
      <c r="C5120" s="1" t="n">
        <v>45957</v>
      </c>
      <c r="D5120" t="inlineStr">
        <is>
          <t>KRONOBERGS LÄN</t>
        </is>
      </c>
      <c r="E5120" t="inlineStr">
        <is>
          <t>LESSEBO</t>
        </is>
      </c>
      <c r="F5120" t="inlineStr">
        <is>
          <t>Sveaskog</t>
        </is>
      </c>
      <c r="G5120" t="n">
        <v>2.6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68681-2021</t>
        </is>
      </c>
      <c r="B5121" s="1" t="n">
        <v>44529</v>
      </c>
      <c r="C5121" s="1" t="n">
        <v>45957</v>
      </c>
      <c r="D5121" t="inlineStr">
        <is>
          <t>KRONOBERGS LÄN</t>
        </is>
      </c>
      <c r="E5121" t="inlineStr">
        <is>
          <t>TINGSRYD</t>
        </is>
      </c>
      <c r="G5121" t="n">
        <v>1.5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37688-2025</t>
        </is>
      </c>
      <c r="B5122" s="1" t="n">
        <v>45880.56395833333</v>
      </c>
      <c r="C5122" s="1" t="n">
        <v>45957</v>
      </c>
      <c r="D5122" t="inlineStr">
        <is>
          <t>KRONOBERGS LÄN</t>
        </is>
      </c>
      <c r="E5122" t="inlineStr">
        <is>
          <t>LJUNGBY</t>
        </is>
      </c>
      <c r="G5122" t="n">
        <v>8.800000000000001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43640-2025</t>
        </is>
      </c>
      <c r="B5123" s="1" t="n">
        <v>45911.7464699074</v>
      </c>
      <c r="C5123" s="1" t="n">
        <v>45957</v>
      </c>
      <c r="D5123" t="inlineStr">
        <is>
          <t>KRONOBERGS LÄN</t>
        </is>
      </c>
      <c r="E5123" t="inlineStr">
        <is>
          <t>VÄXJÖ</t>
        </is>
      </c>
      <c r="G5123" t="n">
        <v>0.9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73861-2021</t>
        </is>
      </c>
      <c r="B5124" s="1" t="n">
        <v>44553.3641087963</v>
      </c>
      <c r="C5124" s="1" t="n">
        <v>45957</v>
      </c>
      <c r="D5124" t="inlineStr">
        <is>
          <t>KRONOBERGS LÄN</t>
        </is>
      </c>
      <c r="E5124" t="inlineStr">
        <is>
          <t>MARKARYD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60457-2022</t>
        </is>
      </c>
      <c r="B5125" s="1" t="n">
        <v>44911.38021990741</v>
      </c>
      <c r="C5125" s="1" t="n">
        <v>45957</v>
      </c>
      <c r="D5125" t="inlineStr">
        <is>
          <t>KRONOBERGS LÄN</t>
        </is>
      </c>
      <c r="E5125" t="inlineStr">
        <is>
          <t>MARKARYD</t>
        </is>
      </c>
      <c r="G5125" t="n">
        <v>1.4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14934-2022</t>
        </is>
      </c>
      <c r="B5126" s="1" t="n">
        <v>44657.40945601852</v>
      </c>
      <c r="C5126" s="1" t="n">
        <v>45957</v>
      </c>
      <c r="D5126" t="inlineStr">
        <is>
          <t>KRONOBERGS LÄN</t>
        </is>
      </c>
      <c r="E5126" t="inlineStr">
        <is>
          <t>TINGSRYD</t>
        </is>
      </c>
      <c r="G5126" t="n">
        <v>2.3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8165-2021</t>
        </is>
      </c>
      <c r="B5127" s="1" t="n">
        <v>44244</v>
      </c>
      <c r="C5127" s="1" t="n">
        <v>45957</v>
      </c>
      <c r="D5127" t="inlineStr">
        <is>
          <t>KRONOBERGS LÄN</t>
        </is>
      </c>
      <c r="E5127" t="inlineStr">
        <is>
          <t>VÄXJÖ</t>
        </is>
      </c>
      <c r="G5127" t="n">
        <v>1.9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10087-2022</t>
        </is>
      </c>
      <c r="B5128" s="1" t="n">
        <v>44621.66988425926</v>
      </c>
      <c r="C5128" s="1" t="n">
        <v>45957</v>
      </c>
      <c r="D5128" t="inlineStr">
        <is>
          <t>KRONOBERGS LÄN</t>
        </is>
      </c>
      <c r="E5128" t="inlineStr">
        <is>
          <t>ÄLMHULT</t>
        </is>
      </c>
      <c r="G5128" t="n">
        <v>2.2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6338-2024</t>
        </is>
      </c>
      <c r="B5129" s="1" t="n">
        <v>45338</v>
      </c>
      <c r="C5129" s="1" t="n">
        <v>45957</v>
      </c>
      <c r="D5129" t="inlineStr">
        <is>
          <t>KRONOBERGS LÄN</t>
        </is>
      </c>
      <c r="E5129" t="inlineStr">
        <is>
          <t>UPPVIDINGE</t>
        </is>
      </c>
      <c r="F5129" t="inlineStr">
        <is>
          <t>Sveaskog</t>
        </is>
      </c>
      <c r="G5129" t="n">
        <v>1.5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6340-2024</t>
        </is>
      </c>
      <c r="B5130" s="1" t="n">
        <v>45338.43268518519</v>
      </c>
      <c r="C5130" s="1" t="n">
        <v>45957</v>
      </c>
      <c r="D5130" t="inlineStr">
        <is>
          <t>KRONOBERGS LÄN</t>
        </is>
      </c>
      <c r="E5130" t="inlineStr">
        <is>
          <t>UPPVIDINGE</t>
        </is>
      </c>
      <c r="F5130" t="inlineStr">
        <is>
          <t>Sveaskog</t>
        </is>
      </c>
      <c r="G5130" t="n">
        <v>2.1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58582-2020</t>
        </is>
      </c>
      <c r="B5131" s="1" t="n">
        <v>44145</v>
      </c>
      <c r="C5131" s="1" t="n">
        <v>45957</v>
      </c>
      <c r="D5131" t="inlineStr">
        <is>
          <t>KRONOBERGS LÄN</t>
        </is>
      </c>
      <c r="E5131" t="inlineStr">
        <is>
          <t>TINGSRYD</t>
        </is>
      </c>
      <c r="G5131" t="n">
        <v>2.4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23440-2021</t>
        </is>
      </c>
      <c r="B5132" s="1" t="n">
        <v>44333.80888888889</v>
      </c>
      <c r="C5132" s="1" t="n">
        <v>45957</v>
      </c>
      <c r="D5132" t="inlineStr">
        <is>
          <t>KRONOBERGS LÄN</t>
        </is>
      </c>
      <c r="E5132" t="inlineStr">
        <is>
          <t>MARKARYD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58440-2020</t>
        </is>
      </c>
      <c r="B5133" s="1" t="n">
        <v>44145</v>
      </c>
      <c r="C5133" s="1" t="n">
        <v>45957</v>
      </c>
      <c r="D5133" t="inlineStr">
        <is>
          <t>KRONOBERGS LÄN</t>
        </is>
      </c>
      <c r="E5133" t="inlineStr">
        <is>
          <t>VÄXJÖ</t>
        </is>
      </c>
      <c r="G5133" t="n">
        <v>7.4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20028-2021</t>
        </is>
      </c>
      <c r="B5134" s="1" t="n">
        <v>44313</v>
      </c>
      <c r="C5134" s="1" t="n">
        <v>45957</v>
      </c>
      <c r="D5134" t="inlineStr">
        <is>
          <t>KRONOBERGS LÄN</t>
        </is>
      </c>
      <c r="E5134" t="inlineStr">
        <is>
          <t>ALVESTA</t>
        </is>
      </c>
      <c r="G5134" t="n">
        <v>2.2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9825-2022</t>
        </is>
      </c>
      <c r="B5135" s="1" t="n">
        <v>44620.45334490741</v>
      </c>
      <c r="C5135" s="1" t="n">
        <v>45957</v>
      </c>
      <c r="D5135" t="inlineStr">
        <is>
          <t>KRONOBERGS LÄN</t>
        </is>
      </c>
      <c r="E5135" t="inlineStr">
        <is>
          <t>LJUNGBY</t>
        </is>
      </c>
      <c r="G5135" t="n">
        <v>1.9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40092-2022</t>
        </is>
      </c>
      <c r="B5136" s="1" t="n">
        <v>44820</v>
      </c>
      <c r="C5136" s="1" t="n">
        <v>45957</v>
      </c>
      <c r="D5136" t="inlineStr">
        <is>
          <t>KRONOBERGS LÄN</t>
        </is>
      </c>
      <c r="E5136" t="inlineStr">
        <is>
          <t>LJUNGBY</t>
        </is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14380-2022</t>
        </is>
      </c>
      <c r="B5137" s="1" t="n">
        <v>44652</v>
      </c>
      <c r="C5137" s="1" t="n">
        <v>45957</v>
      </c>
      <c r="D5137" t="inlineStr">
        <is>
          <t>KRONOBERGS LÄN</t>
        </is>
      </c>
      <c r="E5137" t="inlineStr">
        <is>
          <t>VÄXJÖ</t>
        </is>
      </c>
      <c r="G5137" t="n">
        <v>2.6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8525-2021</t>
        </is>
      </c>
      <c r="B5138" s="1" t="n">
        <v>44245</v>
      </c>
      <c r="C5138" s="1" t="n">
        <v>45957</v>
      </c>
      <c r="D5138" t="inlineStr">
        <is>
          <t>KRONOBERGS LÄN</t>
        </is>
      </c>
      <c r="E5138" t="inlineStr">
        <is>
          <t>ÄLMHULT</t>
        </is>
      </c>
      <c r="G5138" t="n">
        <v>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43899-2021</t>
        </is>
      </c>
      <c r="B5139" s="1" t="n">
        <v>44434</v>
      </c>
      <c r="C5139" s="1" t="n">
        <v>45957</v>
      </c>
      <c r="D5139" t="inlineStr">
        <is>
          <t>KRONOBERGS LÄN</t>
        </is>
      </c>
      <c r="E5139" t="inlineStr">
        <is>
          <t>VÄXJÖ</t>
        </is>
      </c>
      <c r="G5139" t="n">
        <v>1.6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51060-2021</t>
        </is>
      </c>
      <c r="B5140" s="1" t="n">
        <v>44461.34650462963</v>
      </c>
      <c r="C5140" s="1" t="n">
        <v>45957</v>
      </c>
      <c r="D5140" t="inlineStr">
        <is>
          <t>KRONOBERGS LÄN</t>
        </is>
      </c>
      <c r="E5140" t="inlineStr">
        <is>
          <t>MARKARYD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20925-2021</t>
        </is>
      </c>
      <c r="B5141" s="1" t="n">
        <v>44316</v>
      </c>
      <c r="C5141" s="1" t="n">
        <v>45957</v>
      </c>
      <c r="D5141" t="inlineStr">
        <is>
          <t>KRONOBERGS LÄN</t>
        </is>
      </c>
      <c r="E5141" t="inlineStr">
        <is>
          <t>TINGSRYD</t>
        </is>
      </c>
      <c r="G5141" t="n">
        <v>4.9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12854-2023</t>
        </is>
      </c>
      <c r="B5142" s="1" t="n">
        <v>45000</v>
      </c>
      <c r="C5142" s="1" t="n">
        <v>45957</v>
      </c>
      <c r="D5142" t="inlineStr">
        <is>
          <t>KRONOBERGS LÄN</t>
        </is>
      </c>
      <c r="E5142" t="inlineStr">
        <is>
          <t>MARKARYD</t>
        </is>
      </c>
      <c r="F5142" t="inlineStr">
        <is>
          <t>Kyrkan</t>
        </is>
      </c>
      <c r="G5142" t="n">
        <v>2.3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6554-2022</t>
        </is>
      </c>
      <c r="B5143" s="1" t="n">
        <v>44601</v>
      </c>
      <c r="C5143" s="1" t="n">
        <v>45957</v>
      </c>
      <c r="D5143" t="inlineStr">
        <is>
          <t>KRONOBERGS LÄN</t>
        </is>
      </c>
      <c r="E5143" t="inlineStr">
        <is>
          <t>MARKARYD</t>
        </is>
      </c>
      <c r="F5143" t="inlineStr">
        <is>
          <t>Kommuner</t>
        </is>
      </c>
      <c r="G5143" t="n">
        <v>2.4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7395-2022</t>
        </is>
      </c>
      <c r="B5144" s="1" t="n">
        <v>44606.6459375</v>
      </c>
      <c r="C5144" s="1" t="n">
        <v>45957</v>
      </c>
      <c r="D5144" t="inlineStr">
        <is>
          <t>KRONOBERGS LÄN</t>
        </is>
      </c>
      <c r="E5144" t="inlineStr">
        <is>
          <t>MARKARYD</t>
        </is>
      </c>
      <c r="G5144" t="n">
        <v>1.1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2833-2022</t>
        </is>
      </c>
      <c r="B5145" s="1" t="n">
        <v>44581.43471064815</v>
      </c>
      <c r="C5145" s="1" t="n">
        <v>45957</v>
      </c>
      <c r="D5145" t="inlineStr">
        <is>
          <t>KRONOBERGS LÄN</t>
        </is>
      </c>
      <c r="E5145" t="inlineStr">
        <is>
          <t>MARKARYD</t>
        </is>
      </c>
      <c r="G5145" t="n">
        <v>2.4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8516-2021</t>
        </is>
      </c>
      <c r="B5146" s="1" t="n">
        <v>44245.60391203704</v>
      </c>
      <c r="C5146" s="1" t="n">
        <v>45957</v>
      </c>
      <c r="D5146" t="inlineStr">
        <is>
          <t>KRONOBERGS LÄN</t>
        </is>
      </c>
      <c r="E5146" t="inlineStr">
        <is>
          <t>ÄLMHULT</t>
        </is>
      </c>
      <c r="G5146" t="n">
        <v>4.8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42989-2024</t>
        </is>
      </c>
      <c r="B5147" s="1" t="n">
        <v>45567.37547453704</v>
      </c>
      <c r="C5147" s="1" t="n">
        <v>45957</v>
      </c>
      <c r="D5147" t="inlineStr">
        <is>
          <t>KRONOBERGS LÄN</t>
        </is>
      </c>
      <c r="E5147" t="inlineStr">
        <is>
          <t>LJUNGBY</t>
        </is>
      </c>
      <c r="G5147" t="n">
        <v>0.7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70349-2021</t>
        </is>
      </c>
      <c r="B5148" s="1" t="n">
        <v>44536.47980324074</v>
      </c>
      <c r="C5148" s="1" t="n">
        <v>45957</v>
      </c>
      <c r="D5148" t="inlineStr">
        <is>
          <t>KRONOBERGS LÄN</t>
        </is>
      </c>
      <c r="E5148" t="inlineStr">
        <is>
          <t>LESSEBO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56385-2022</t>
        </is>
      </c>
      <c r="B5149" s="1" t="n">
        <v>44887</v>
      </c>
      <c r="C5149" s="1" t="n">
        <v>45957</v>
      </c>
      <c r="D5149" t="inlineStr">
        <is>
          <t>KRONOBERGS LÄN</t>
        </is>
      </c>
      <c r="E5149" t="inlineStr">
        <is>
          <t>LJUNGBY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1720-2023</t>
        </is>
      </c>
      <c r="B5150" s="1" t="n">
        <v>44938</v>
      </c>
      <c r="C5150" s="1" t="n">
        <v>45957</v>
      </c>
      <c r="D5150" t="inlineStr">
        <is>
          <t>KRONOBERGS LÄN</t>
        </is>
      </c>
      <c r="E5150" t="inlineStr">
        <is>
          <t>LJUNGBY</t>
        </is>
      </c>
      <c r="G5150" t="n">
        <v>0.9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70671-2021</t>
        </is>
      </c>
      <c r="B5151" s="1" t="n">
        <v>44537</v>
      </c>
      <c r="C5151" s="1" t="n">
        <v>45957</v>
      </c>
      <c r="D5151" t="inlineStr">
        <is>
          <t>KRONOBERGS LÄN</t>
        </is>
      </c>
      <c r="E5151" t="inlineStr">
        <is>
          <t>VÄXJÖ</t>
        </is>
      </c>
      <c r="G5151" t="n">
        <v>1.5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31791-2021</t>
        </is>
      </c>
      <c r="B5152" s="1" t="n">
        <v>44370</v>
      </c>
      <c r="C5152" s="1" t="n">
        <v>45957</v>
      </c>
      <c r="D5152" t="inlineStr">
        <is>
          <t>KRONOBERGS LÄN</t>
        </is>
      </c>
      <c r="E5152" t="inlineStr">
        <is>
          <t>TINGSRYD</t>
        </is>
      </c>
      <c r="G5152" t="n">
        <v>9.1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57651-2022</t>
        </is>
      </c>
      <c r="B5153" s="1" t="n">
        <v>44897.42872685185</v>
      </c>
      <c r="C5153" s="1" t="n">
        <v>45957</v>
      </c>
      <c r="D5153" t="inlineStr">
        <is>
          <t>KRONOBERGS LÄN</t>
        </is>
      </c>
      <c r="E5153" t="inlineStr">
        <is>
          <t>UPPVIDINGE</t>
        </is>
      </c>
      <c r="G5153" t="n">
        <v>3.6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8038-2022</t>
        </is>
      </c>
      <c r="B5154" s="1" t="n">
        <v>44609</v>
      </c>
      <c r="C5154" s="1" t="n">
        <v>45957</v>
      </c>
      <c r="D5154" t="inlineStr">
        <is>
          <t>KRONOBERGS LÄN</t>
        </is>
      </c>
      <c r="E5154" t="inlineStr">
        <is>
          <t>VÄXJÖ</t>
        </is>
      </c>
      <c r="G5154" t="n">
        <v>0.7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45760-2021</t>
        </is>
      </c>
      <c r="B5155" s="1" t="n">
        <v>44441</v>
      </c>
      <c r="C5155" s="1" t="n">
        <v>45957</v>
      </c>
      <c r="D5155" t="inlineStr">
        <is>
          <t>KRONOBERGS LÄN</t>
        </is>
      </c>
      <c r="E5155" t="inlineStr">
        <is>
          <t>LJUNGBY</t>
        </is>
      </c>
      <c r="G5155" t="n">
        <v>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69361-2021</t>
        </is>
      </c>
      <c r="B5156" s="1" t="n">
        <v>44531</v>
      </c>
      <c r="C5156" s="1" t="n">
        <v>45957</v>
      </c>
      <c r="D5156" t="inlineStr">
        <is>
          <t>KRONOBERGS LÄN</t>
        </is>
      </c>
      <c r="E5156" t="inlineStr">
        <is>
          <t>MARKARYD</t>
        </is>
      </c>
      <c r="G5156" t="n">
        <v>2.1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6960-2023</t>
        </is>
      </c>
      <c r="B5157" s="1" t="n">
        <v>44967</v>
      </c>
      <c r="C5157" s="1" t="n">
        <v>45957</v>
      </c>
      <c r="D5157" t="inlineStr">
        <is>
          <t>KRONOBERGS LÄN</t>
        </is>
      </c>
      <c r="E5157" t="inlineStr">
        <is>
          <t>TINGSRYD</t>
        </is>
      </c>
      <c r="G5157" t="n">
        <v>4.5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43912-2024</t>
        </is>
      </c>
      <c r="B5158" s="1" t="n">
        <v>45572.43400462963</v>
      </c>
      <c r="C5158" s="1" t="n">
        <v>45957</v>
      </c>
      <c r="D5158" t="inlineStr">
        <is>
          <t>KRONOBERGS LÄN</t>
        </is>
      </c>
      <c r="E5158" t="inlineStr">
        <is>
          <t>TINGSRYD</t>
        </is>
      </c>
      <c r="G5158" t="n">
        <v>4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8225-2023</t>
        </is>
      </c>
      <c r="B5159" s="1" t="n">
        <v>44974.57127314815</v>
      </c>
      <c r="C5159" s="1" t="n">
        <v>45957</v>
      </c>
      <c r="D5159" t="inlineStr">
        <is>
          <t>KRONOBERGS LÄN</t>
        </is>
      </c>
      <c r="E5159" t="inlineStr">
        <is>
          <t>LJUNGBY</t>
        </is>
      </c>
      <c r="G5159" t="n">
        <v>0.5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50438-2023</t>
        </is>
      </c>
      <c r="B5160" s="1" t="n">
        <v>45216.70546296296</v>
      </c>
      <c r="C5160" s="1" t="n">
        <v>45957</v>
      </c>
      <c r="D5160" t="inlineStr">
        <is>
          <t>KRONOBERGS LÄN</t>
        </is>
      </c>
      <c r="E5160" t="inlineStr">
        <is>
          <t>VÄXJÖ</t>
        </is>
      </c>
      <c r="G5160" t="n">
        <v>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6002-2021</t>
        </is>
      </c>
      <c r="B5161" s="1" t="n">
        <v>44231</v>
      </c>
      <c r="C5161" s="1" t="n">
        <v>45957</v>
      </c>
      <c r="D5161" t="inlineStr">
        <is>
          <t>KRONOBERGS LÄN</t>
        </is>
      </c>
      <c r="E5161" t="inlineStr">
        <is>
          <t>MARKARYD</t>
        </is>
      </c>
      <c r="G5161" t="n">
        <v>3.8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27158-2022</t>
        </is>
      </c>
      <c r="B5162" s="1" t="n">
        <v>44741</v>
      </c>
      <c r="C5162" s="1" t="n">
        <v>45957</v>
      </c>
      <c r="D5162" t="inlineStr">
        <is>
          <t>KRONOBERGS LÄN</t>
        </is>
      </c>
      <c r="E5162" t="inlineStr">
        <is>
          <t>VÄXJÖ</t>
        </is>
      </c>
      <c r="G5162" t="n">
        <v>1.8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11080-2022</t>
        </is>
      </c>
      <c r="B5163" s="1" t="n">
        <v>44628.67694444444</v>
      </c>
      <c r="C5163" s="1" t="n">
        <v>45957</v>
      </c>
      <c r="D5163" t="inlineStr">
        <is>
          <t>KRONOBERGS LÄN</t>
        </is>
      </c>
      <c r="E5163" t="inlineStr">
        <is>
          <t>TINGSRYD</t>
        </is>
      </c>
      <c r="G5163" t="n">
        <v>1.6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43279-2023</t>
        </is>
      </c>
      <c r="B5164" s="1" t="n">
        <v>45183.5531712963</v>
      </c>
      <c r="C5164" s="1" t="n">
        <v>45957</v>
      </c>
      <c r="D5164" t="inlineStr">
        <is>
          <t>KRONOBERGS LÄN</t>
        </is>
      </c>
      <c r="E5164" t="inlineStr">
        <is>
          <t>VÄXJÖ</t>
        </is>
      </c>
      <c r="G5164" t="n">
        <v>2.4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48331-2022</t>
        </is>
      </c>
      <c r="B5165" s="1" t="n">
        <v>44858</v>
      </c>
      <c r="C5165" s="1" t="n">
        <v>45957</v>
      </c>
      <c r="D5165" t="inlineStr">
        <is>
          <t>KRONOBERGS LÄN</t>
        </is>
      </c>
      <c r="E5165" t="inlineStr">
        <is>
          <t>ÄLMHULT</t>
        </is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37557-2022</t>
        </is>
      </c>
      <c r="B5166" s="1" t="n">
        <v>44809.64534722222</v>
      </c>
      <c r="C5166" s="1" t="n">
        <v>45957</v>
      </c>
      <c r="D5166" t="inlineStr">
        <is>
          <t>KRONOBERGS LÄN</t>
        </is>
      </c>
      <c r="E5166" t="inlineStr">
        <is>
          <t>MARKARYD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43903-2023</t>
        </is>
      </c>
      <c r="B5167" s="1" t="n">
        <v>45187.68246527778</v>
      </c>
      <c r="C5167" s="1" t="n">
        <v>45957</v>
      </c>
      <c r="D5167" t="inlineStr">
        <is>
          <t>KRONOBERGS LÄN</t>
        </is>
      </c>
      <c r="E5167" t="inlineStr">
        <is>
          <t>ÄLMHULT</t>
        </is>
      </c>
      <c r="G5167" t="n">
        <v>2.3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6009-2024</t>
        </is>
      </c>
      <c r="B5168" s="1" t="n">
        <v>45336.60260416667</v>
      </c>
      <c r="C5168" s="1" t="n">
        <v>45957</v>
      </c>
      <c r="D5168" t="inlineStr">
        <is>
          <t>KRONOBERGS LÄN</t>
        </is>
      </c>
      <c r="E5168" t="inlineStr">
        <is>
          <t>ALVESTA</t>
        </is>
      </c>
      <c r="G5168" t="n">
        <v>1.7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5363-2023</t>
        </is>
      </c>
      <c r="B5169" s="1" t="n">
        <v>44959.62519675926</v>
      </c>
      <c r="C5169" s="1" t="n">
        <v>45957</v>
      </c>
      <c r="D5169" t="inlineStr">
        <is>
          <t>KRONOBERGS LÄN</t>
        </is>
      </c>
      <c r="E5169" t="inlineStr">
        <is>
          <t>LJUNGBY</t>
        </is>
      </c>
      <c r="F5169" t="inlineStr">
        <is>
          <t>Sveaskog</t>
        </is>
      </c>
      <c r="G5169" t="n">
        <v>3.1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5401-2023</t>
        </is>
      </c>
      <c r="B5170" s="1" t="n">
        <v>44959</v>
      </c>
      <c r="C5170" s="1" t="n">
        <v>45957</v>
      </c>
      <c r="D5170" t="inlineStr">
        <is>
          <t>KRONOBERGS LÄN</t>
        </is>
      </c>
      <c r="E5170" t="inlineStr">
        <is>
          <t>LJUNGBY</t>
        </is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5405-2023</t>
        </is>
      </c>
      <c r="B5171" s="1" t="n">
        <v>44959</v>
      </c>
      <c r="C5171" s="1" t="n">
        <v>45957</v>
      </c>
      <c r="D5171" t="inlineStr">
        <is>
          <t>KRONOBERGS LÄN</t>
        </is>
      </c>
      <c r="E5171" t="inlineStr">
        <is>
          <t>LJUNGBY</t>
        </is>
      </c>
      <c r="G5171" t="n">
        <v>0.5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50487-2021</t>
        </is>
      </c>
      <c r="B5172" s="1" t="n">
        <v>44459.56224537037</v>
      </c>
      <c r="C5172" s="1" t="n">
        <v>45957</v>
      </c>
      <c r="D5172" t="inlineStr">
        <is>
          <t>KRONOBERGS LÄN</t>
        </is>
      </c>
      <c r="E5172" t="inlineStr">
        <is>
          <t>UPPVIDINGE</t>
        </is>
      </c>
      <c r="G5172" t="n">
        <v>0.7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4169-2023</t>
        </is>
      </c>
      <c r="B5173" s="1" t="n">
        <v>44951</v>
      </c>
      <c r="C5173" s="1" t="n">
        <v>45957</v>
      </c>
      <c r="D5173" t="inlineStr">
        <is>
          <t>KRONOBERGS LÄN</t>
        </is>
      </c>
      <c r="E5173" t="inlineStr">
        <is>
          <t>UPPVIDINGE</t>
        </is>
      </c>
      <c r="G5173" t="n">
        <v>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6880-2023</t>
        </is>
      </c>
      <c r="B5174" s="1" t="n">
        <v>44967</v>
      </c>
      <c r="C5174" s="1" t="n">
        <v>45957</v>
      </c>
      <c r="D5174" t="inlineStr">
        <is>
          <t>KRONOBERGS LÄN</t>
        </is>
      </c>
      <c r="E5174" t="inlineStr">
        <is>
          <t>TINGSRYD</t>
        </is>
      </c>
      <c r="F5174" t="inlineStr">
        <is>
          <t>Övriga Aktiebolag</t>
        </is>
      </c>
      <c r="G5174" t="n">
        <v>1.6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17161-2024</t>
        </is>
      </c>
      <c r="B5175" s="1" t="n">
        <v>45412.71516203704</v>
      </c>
      <c r="C5175" s="1" t="n">
        <v>45957</v>
      </c>
      <c r="D5175" t="inlineStr">
        <is>
          <t>KRONOBERGS LÄN</t>
        </is>
      </c>
      <c r="E5175" t="inlineStr">
        <is>
          <t>ÄLMHULT</t>
        </is>
      </c>
      <c r="G5175" t="n">
        <v>0.7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3604-2023</t>
        </is>
      </c>
      <c r="B5176" s="1" t="n">
        <v>44946</v>
      </c>
      <c r="C5176" s="1" t="n">
        <v>45957</v>
      </c>
      <c r="D5176" t="inlineStr">
        <is>
          <t>KRONOBERGS LÄN</t>
        </is>
      </c>
      <c r="E5176" t="inlineStr">
        <is>
          <t>UPPVIDINGE</t>
        </is>
      </c>
      <c r="G5176" t="n">
        <v>2.3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42850-2024</t>
        </is>
      </c>
      <c r="B5177" s="1" t="n">
        <v>45566.64170138889</v>
      </c>
      <c r="C5177" s="1" t="n">
        <v>45957</v>
      </c>
      <c r="D5177" t="inlineStr">
        <is>
          <t>KRONOBERGS LÄN</t>
        </is>
      </c>
      <c r="E5177" t="inlineStr">
        <is>
          <t>MARKARYD</t>
        </is>
      </c>
      <c r="G5177" t="n">
        <v>2.1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17212-2024</t>
        </is>
      </c>
      <c r="B5178" s="1" t="n">
        <v>45414.31873842593</v>
      </c>
      <c r="C5178" s="1" t="n">
        <v>45957</v>
      </c>
      <c r="D5178" t="inlineStr">
        <is>
          <t>KRONOBERGS LÄN</t>
        </is>
      </c>
      <c r="E5178" t="inlineStr">
        <is>
          <t>ÄLMHULT</t>
        </is>
      </c>
      <c r="G5178" t="n">
        <v>1.5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37771-2025</t>
        </is>
      </c>
      <c r="B5179" s="1" t="n">
        <v>45880</v>
      </c>
      <c r="C5179" s="1" t="n">
        <v>45957</v>
      </c>
      <c r="D5179" t="inlineStr">
        <is>
          <t>KRONOBERGS LÄN</t>
        </is>
      </c>
      <c r="E5179" t="inlineStr">
        <is>
          <t>ÄLMHULT</t>
        </is>
      </c>
      <c r="G5179" t="n">
        <v>0.6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11172-2023</t>
        </is>
      </c>
      <c r="B5180" s="1" t="n">
        <v>44992</v>
      </c>
      <c r="C5180" s="1" t="n">
        <v>45957</v>
      </c>
      <c r="D5180" t="inlineStr">
        <is>
          <t>KRONOBERGS LÄN</t>
        </is>
      </c>
      <c r="E5180" t="inlineStr">
        <is>
          <t>MARKARYD</t>
        </is>
      </c>
      <c r="G5180" t="n">
        <v>1.6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11188-2023</t>
        </is>
      </c>
      <c r="B5181" s="1" t="n">
        <v>44992.58211805556</v>
      </c>
      <c r="C5181" s="1" t="n">
        <v>45957</v>
      </c>
      <c r="D5181" t="inlineStr">
        <is>
          <t>KRONOBERGS LÄN</t>
        </is>
      </c>
      <c r="E5181" t="inlineStr">
        <is>
          <t>ÄLMHULT</t>
        </is>
      </c>
      <c r="G5181" t="n">
        <v>0.6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44651-2025</t>
        </is>
      </c>
      <c r="B5182" s="1" t="n">
        <v>45917</v>
      </c>
      <c r="C5182" s="1" t="n">
        <v>45957</v>
      </c>
      <c r="D5182" t="inlineStr">
        <is>
          <t>KRONOBERGS LÄN</t>
        </is>
      </c>
      <c r="E5182" t="inlineStr">
        <is>
          <t>ALVESTA</t>
        </is>
      </c>
      <c r="G5182" t="n">
        <v>0.9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45439-2025</t>
        </is>
      </c>
      <c r="B5183" s="1" t="n">
        <v>45922.47166666666</v>
      </c>
      <c r="C5183" s="1" t="n">
        <v>45957</v>
      </c>
      <c r="D5183" t="inlineStr">
        <is>
          <t>KRONOBERGS LÄN</t>
        </is>
      </c>
      <c r="E5183" t="inlineStr">
        <is>
          <t>TINGSRYD</t>
        </is>
      </c>
      <c r="G5183" t="n">
        <v>7.5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45507-2025</t>
        </is>
      </c>
      <c r="B5184" s="1" t="n">
        <v>45922.575625</v>
      </c>
      <c r="C5184" s="1" t="n">
        <v>45957</v>
      </c>
      <c r="D5184" t="inlineStr">
        <is>
          <t>KRONOBERGS LÄN</t>
        </is>
      </c>
      <c r="E5184" t="inlineStr">
        <is>
          <t>LJUNGBY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37415-2025</t>
        </is>
      </c>
      <c r="B5185" s="1" t="n">
        <v>45877.47127314815</v>
      </c>
      <c r="C5185" s="1" t="n">
        <v>45957</v>
      </c>
      <c r="D5185" t="inlineStr">
        <is>
          <t>KRONOBERGS LÄN</t>
        </is>
      </c>
      <c r="E5185" t="inlineStr">
        <is>
          <t>VÄXJÖ</t>
        </is>
      </c>
      <c r="G5185" t="n">
        <v>1.4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15364-2025</t>
        </is>
      </c>
      <c r="B5186" s="1" t="n">
        <v>45747.39719907408</v>
      </c>
      <c r="C5186" s="1" t="n">
        <v>45957</v>
      </c>
      <c r="D5186" t="inlineStr">
        <is>
          <t>KRONOBERGS LÄN</t>
        </is>
      </c>
      <c r="E5186" t="inlineStr">
        <is>
          <t>LJUNGBY</t>
        </is>
      </c>
      <c r="F5186" t="inlineStr">
        <is>
          <t>Sveaskog</t>
        </is>
      </c>
      <c r="G5186" t="n">
        <v>1.1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60841-2024</t>
        </is>
      </c>
      <c r="B5187" s="1" t="n">
        <v>45644</v>
      </c>
      <c r="C5187" s="1" t="n">
        <v>45957</v>
      </c>
      <c r="D5187" t="inlineStr">
        <is>
          <t>KRONOBERGS LÄN</t>
        </is>
      </c>
      <c r="E5187" t="inlineStr">
        <is>
          <t>ÄLMHULT</t>
        </is>
      </c>
      <c r="G5187" t="n">
        <v>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20624-2024</t>
        </is>
      </c>
      <c r="B5188" s="1" t="n">
        <v>45436.46581018518</v>
      </c>
      <c r="C5188" s="1" t="n">
        <v>45957</v>
      </c>
      <c r="D5188" t="inlineStr">
        <is>
          <t>KRONOBERGS LÄN</t>
        </is>
      </c>
      <c r="E5188" t="inlineStr">
        <is>
          <t>ALVESTA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41810-2024</t>
        </is>
      </c>
      <c r="B5189" s="1" t="n">
        <v>45561.3744212963</v>
      </c>
      <c r="C5189" s="1" t="n">
        <v>45957</v>
      </c>
      <c r="D5189" t="inlineStr">
        <is>
          <t>KRONOBERGS LÄN</t>
        </is>
      </c>
      <c r="E5189" t="inlineStr">
        <is>
          <t>UPPVIDINGE</t>
        </is>
      </c>
      <c r="G5189" t="n">
        <v>1.8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32493-2023</t>
        </is>
      </c>
      <c r="B5190" s="1" t="n">
        <v>45121</v>
      </c>
      <c r="C5190" s="1" t="n">
        <v>45957</v>
      </c>
      <c r="D5190" t="inlineStr">
        <is>
          <t>KRONOBERGS LÄN</t>
        </is>
      </c>
      <c r="E5190" t="inlineStr">
        <is>
          <t>VÄXJÖ</t>
        </is>
      </c>
      <c r="G5190" t="n">
        <v>0.3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43594-2025</t>
        </is>
      </c>
      <c r="B5191" s="1" t="n">
        <v>45911.65790509259</v>
      </c>
      <c r="C5191" s="1" t="n">
        <v>45957</v>
      </c>
      <c r="D5191" t="inlineStr">
        <is>
          <t>KRONOBERGS LÄN</t>
        </is>
      </c>
      <c r="E5191" t="inlineStr">
        <is>
          <t>ÄLMHULT</t>
        </is>
      </c>
      <c r="G5191" t="n">
        <v>2.5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52531-2025</t>
        </is>
      </c>
      <c r="B5192" s="1" t="n">
        <v>45954.53825231481</v>
      </c>
      <c r="C5192" s="1" t="n">
        <v>45957</v>
      </c>
      <c r="D5192" t="inlineStr">
        <is>
          <t>KRONOBERGS LÄN</t>
        </is>
      </c>
      <c r="E5192" t="inlineStr">
        <is>
          <t>LESSEBO</t>
        </is>
      </c>
      <c r="F5192" t="inlineStr">
        <is>
          <t>Sveaskog</t>
        </is>
      </c>
      <c r="G5192" t="n">
        <v>1.9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51888-2025</t>
        </is>
      </c>
      <c r="B5193" s="1" t="n">
        <v>45952.41342592592</v>
      </c>
      <c r="C5193" s="1" t="n">
        <v>45957</v>
      </c>
      <c r="D5193" t="inlineStr">
        <is>
          <t>KRONOBERGS LÄN</t>
        </is>
      </c>
      <c r="E5193" t="inlineStr">
        <is>
          <t>UPPVIDINGE</t>
        </is>
      </c>
      <c r="G5193" t="n">
        <v>2.8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51214-2023</t>
        </is>
      </c>
      <c r="B5194" s="1" t="n">
        <v>45219.44987268518</v>
      </c>
      <c r="C5194" s="1" t="n">
        <v>45957</v>
      </c>
      <c r="D5194" t="inlineStr">
        <is>
          <t>KRONOBERGS LÄN</t>
        </is>
      </c>
      <c r="E5194" t="inlineStr">
        <is>
          <t>UPPVIDINGE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3258-2025</t>
        </is>
      </c>
      <c r="B5195" s="1" t="n">
        <v>45679</v>
      </c>
      <c r="C5195" s="1" t="n">
        <v>45957</v>
      </c>
      <c r="D5195" t="inlineStr">
        <is>
          <t>KRONOBERGS LÄN</t>
        </is>
      </c>
      <c r="E5195" t="inlineStr">
        <is>
          <t>ÄLMHULT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18060-2024</t>
        </is>
      </c>
      <c r="B5196" s="1" t="n">
        <v>45420.39990740741</v>
      </c>
      <c r="C5196" s="1" t="n">
        <v>45957</v>
      </c>
      <c r="D5196" t="inlineStr">
        <is>
          <t>KRONOBERGS LÄN</t>
        </is>
      </c>
      <c r="E5196" t="inlineStr">
        <is>
          <t>VÄXJÖ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59298-2023</t>
        </is>
      </c>
      <c r="B5197" s="1" t="n">
        <v>45253.58075231482</v>
      </c>
      <c r="C5197" s="1" t="n">
        <v>45957</v>
      </c>
      <c r="D5197" t="inlineStr">
        <is>
          <t>KRONOBERGS LÄN</t>
        </is>
      </c>
      <c r="E5197" t="inlineStr">
        <is>
          <t>VÄXJÖ</t>
        </is>
      </c>
      <c r="G5197" t="n">
        <v>2.1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35819-2021</t>
        </is>
      </c>
      <c r="B5198" s="1" t="n">
        <v>44386</v>
      </c>
      <c r="C5198" s="1" t="n">
        <v>45957</v>
      </c>
      <c r="D5198" t="inlineStr">
        <is>
          <t>KRONOBERGS LÄN</t>
        </is>
      </c>
      <c r="E5198" t="inlineStr">
        <is>
          <t>VÄXJÖ</t>
        </is>
      </c>
      <c r="G5198" t="n">
        <v>1.1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45651-2022</t>
        </is>
      </c>
      <c r="B5199" s="1" t="n">
        <v>44845</v>
      </c>
      <c r="C5199" s="1" t="n">
        <v>45957</v>
      </c>
      <c r="D5199" t="inlineStr">
        <is>
          <t>KRONOBERGS LÄN</t>
        </is>
      </c>
      <c r="E5199" t="inlineStr">
        <is>
          <t>VÄXJÖ</t>
        </is>
      </c>
      <c r="G5199" t="n">
        <v>2.2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69278-2020</t>
        </is>
      </c>
      <c r="B5200" s="1" t="n">
        <v>44193</v>
      </c>
      <c r="C5200" s="1" t="n">
        <v>45957</v>
      </c>
      <c r="D5200" t="inlineStr">
        <is>
          <t>KRONOBERGS LÄN</t>
        </is>
      </c>
      <c r="E5200" t="inlineStr">
        <is>
          <t>MARKARYD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38407-2022</t>
        </is>
      </c>
      <c r="B5201" s="1" t="n">
        <v>44812</v>
      </c>
      <c r="C5201" s="1" t="n">
        <v>45957</v>
      </c>
      <c r="D5201" t="inlineStr">
        <is>
          <t>KRONOBERGS LÄN</t>
        </is>
      </c>
      <c r="E5201" t="inlineStr">
        <is>
          <t>LJUNGBY</t>
        </is>
      </c>
      <c r="G5201" t="n">
        <v>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8329-2022</t>
        </is>
      </c>
      <c r="B5202" s="1" t="n">
        <v>44610.53254629629</v>
      </c>
      <c r="C5202" s="1" t="n">
        <v>45957</v>
      </c>
      <c r="D5202" t="inlineStr">
        <is>
          <t>KRONOBERGS LÄN</t>
        </is>
      </c>
      <c r="E5202" t="inlineStr">
        <is>
          <t>ÄLMHULT</t>
        </is>
      </c>
      <c r="G5202" t="n">
        <v>1.5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16965-2021</t>
        </is>
      </c>
      <c r="B5203" s="1" t="n">
        <v>44295</v>
      </c>
      <c r="C5203" s="1" t="n">
        <v>45957</v>
      </c>
      <c r="D5203" t="inlineStr">
        <is>
          <t>KRONOBERGS LÄN</t>
        </is>
      </c>
      <c r="E5203" t="inlineStr">
        <is>
          <t>ALVESTA</t>
        </is>
      </c>
      <c r="G5203" t="n">
        <v>21.8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22010-2021</t>
        </is>
      </c>
      <c r="B5204" s="1" t="n">
        <v>44323</v>
      </c>
      <c r="C5204" s="1" t="n">
        <v>45957</v>
      </c>
      <c r="D5204" t="inlineStr">
        <is>
          <t>KRONOBERGS LÄN</t>
        </is>
      </c>
      <c r="E5204" t="inlineStr">
        <is>
          <t>VÄXJÖ</t>
        </is>
      </c>
      <c r="G5204" t="n">
        <v>1.2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62346-2020</t>
        </is>
      </c>
      <c r="B5205" s="1" t="n">
        <v>44160</v>
      </c>
      <c r="C5205" s="1" t="n">
        <v>45957</v>
      </c>
      <c r="D5205" t="inlineStr">
        <is>
          <t>KRONOBERGS LÄN</t>
        </is>
      </c>
      <c r="E5205" t="inlineStr">
        <is>
          <t>UPPVIDINGE</t>
        </is>
      </c>
      <c r="G5205" t="n">
        <v>10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37648-2022</t>
        </is>
      </c>
      <c r="B5206" s="1" t="n">
        <v>44810</v>
      </c>
      <c r="C5206" s="1" t="n">
        <v>45957</v>
      </c>
      <c r="D5206" t="inlineStr">
        <is>
          <t>KRONOBERGS LÄN</t>
        </is>
      </c>
      <c r="E5206" t="inlineStr">
        <is>
          <t>LJUNGBY</t>
        </is>
      </c>
      <c r="G5206" t="n">
        <v>1.3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42037-2021</t>
        </is>
      </c>
      <c r="B5207" s="1" t="n">
        <v>44426.54175925926</v>
      </c>
      <c r="C5207" s="1" t="n">
        <v>45957</v>
      </c>
      <c r="D5207" t="inlineStr">
        <is>
          <t>KRONOBERGS LÄN</t>
        </is>
      </c>
      <c r="E5207" t="inlineStr">
        <is>
          <t>VÄXJÖ</t>
        </is>
      </c>
      <c r="G5207" t="n">
        <v>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61100-2023</t>
        </is>
      </c>
      <c r="B5208" s="1" t="n">
        <v>45261</v>
      </c>
      <c r="C5208" s="1" t="n">
        <v>45957</v>
      </c>
      <c r="D5208" t="inlineStr">
        <is>
          <t>KRONOBERGS LÄN</t>
        </is>
      </c>
      <c r="E5208" t="inlineStr">
        <is>
          <t>UPPVIDINGE</t>
        </is>
      </c>
      <c r="F5208" t="inlineStr">
        <is>
          <t>Sveaskog</t>
        </is>
      </c>
      <c r="G5208" t="n">
        <v>5.7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61359-2022</t>
        </is>
      </c>
      <c r="B5209" s="1" t="n">
        <v>44915.74278935185</v>
      </c>
      <c r="C5209" s="1" t="n">
        <v>45957</v>
      </c>
      <c r="D5209" t="inlineStr">
        <is>
          <t>KRONOBERGS LÄN</t>
        </is>
      </c>
      <c r="E5209" t="inlineStr">
        <is>
          <t>VÄXJÖ</t>
        </is>
      </c>
      <c r="G5209" t="n">
        <v>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1926-2023</t>
        </is>
      </c>
      <c r="B5210" s="1" t="n">
        <v>44939.42466435185</v>
      </c>
      <c r="C5210" s="1" t="n">
        <v>45957</v>
      </c>
      <c r="D5210" t="inlineStr">
        <is>
          <t>KRONOBERGS LÄN</t>
        </is>
      </c>
      <c r="E5210" t="inlineStr">
        <is>
          <t>TINGSRYD</t>
        </is>
      </c>
      <c r="G5210" t="n">
        <v>1.1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73647-2021</t>
        </is>
      </c>
      <c r="B5211" s="1" t="n">
        <v>44552</v>
      </c>
      <c r="C5211" s="1" t="n">
        <v>45957</v>
      </c>
      <c r="D5211" t="inlineStr">
        <is>
          <t>KRONOBERGS LÄN</t>
        </is>
      </c>
      <c r="E5211" t="inlineStr">
        <is>
          <t>VÄXJÖ</t>
        </is>
      </c>
      <c r="G5211" t="n">
        <v>0.5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73667-2021</t>
        </is>
      </c>
      <c r="B5212" s="1" t="n">
        <v>44552.46184027778</v>
      </c>
      <c r="C5212" s="1" t="n">
        <v>45957</v>
      </c>
      <c r="D5212" t="inlineStr">
        <is>
          <t>KRONOBERGS LÄN</t>
        </is>
      </c>
      <c r="E5212" t="inlineStr">
        <is>
          <t>UPPVIDINGE</t>
        </is>
      </c>
      <c r="G5212" t="n">
        <v>1.8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11195-2023</t>
        </is>
      </c>
      <c r="B5213" s="1" t="n">
        <v>44992</v>
      </c>
      <c r="C5213" s="1" t="n">
        <v>45957</v>
      </c>
      <c r="D5213" t="inlineStr">
        <is>
          <t>KRONOBERGS LÄN</t>
        </is>
      </c>
      <c r="E5213" t="inlineStr">
        <is>
          <t>ÄLMHULT</t>
        </is>
      </c>
      <c r="G5213" t="n">
        <v>1.6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22242-2023</t>
        </is>
      </c>
      <c r="B5214" s="1" t="n">
        <v>45070.29798611111</v>
      </c>
      <c r="C5214" s="1" t="n">
        <v>45957</v>
      </c>
      <c r="D5214" t="inlineStr">
        <is>
          <t>KRONOBERGS LÄN</t>
        </is>
      </c>
      <c r="E5214" t="inlineStr">
        <is>
          <t>VÄXJÖ</t>
        </is>
      </c>
      <c r="G5214" t="n">
        <v>0.8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10595-2023</t>
        </is>
      </c>
      <c r="B5215" s="1" t="n">
        <v>44988.38652777778</v>
      </c>
      <c r="C5215" s="1" t="n">
        <v>45957</v>
      </c>
      <c r="D5215" t="inlineStr">
        <is>
          <t>KRONOBERGS LÄN</t>
        </is>
      </c>
      <c r="E5215" t="inlineStr">
        <is>
          <t>TINGSRYD</t>
        </is>
      </c>
      <c r="G5215" t="n">
        <v>3.3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43466-2024</t>
        </is>
      </c>
      <c r="B5216" s="1" t="n">
        <v>45568</v>
      </c>
      <c r="C5216" s="1" t="n">
        <v>45957</v>
      </c>
      <c r="D5216" t="inlineStr">
        <is>
          <t>KRONOBERGS LÄN</t>
        </is>
      </c>
      <c r="E5216" t="inlineStr">
        <is>
          <t>TINGSRYD</t>
        </is>
      </c>
      <c r="G5216" t="n">
        <v>4.5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56563-2020</t>
        </is>
      </c>
      <c r="B5217" s="1" t="n">
        <v>44137</v>
      </c>
      <c r="C5217" s="1" t="n">
        <v>45957</v>
      </c>
      <c r="D5217" t="inlineStr">
        <is>
          <t>KRONOBERGS LÄN</t>
        </is>
      </c>
      <c r="E5217" t="inlineStr">
        <is>
          <t>TINGSRYD</t>
        </is>
      </c>
      <c r="G5217" t="n">
        <v>0.8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2111-2021</t>
        </is>
      </c>
      <c r="B5218" s="1" t="n">
        <v>44211</v>
      </c>
      <c r="C5218" s="1" t="n">
        <v>45957</v>
      </c>
      <c r="D5218" t="inlineStr">
        <is>
          <t>KRONOBERGS LÄN</t>
        </is>
      </c>
      <c r="E5218" t="inlineStr">
        <is>
          <t>ÄLMHULT</t>
        </is>
      </c>
      <c r="G5218" t="n">
        <v>2.2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12211-2023</t>
        </is>
      </c>
      <c r="B5219" s="1" t="n">
        <v>44998</v>
      </c>
      <c r="C5219" s="1" t="n">
        <v>45957</v>
      </c>
      <c r="D5219" t="inlineStr">
        <is>
          <t>KRONOBERGS LÄN</t>
        </is>
      </c>
      <c r="E5219" t="inlineStr">
        <is>
          <t>VÄXJÖ</t>
        </is>
      </c>
      <c r="G5219" t="n">
        <v>0.5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5514-2022</t>
        </is>
      </c>
      <c r="B5220" s="1" t="n">
        <v>44595.55912037037</v>
      </c>
      <c r="C5220" s="1" t="n">
        <v>45957</v>
      </c>
      <c r="D5220" t="inlineStr">
        <is>
          <t>KRONOBERGS LÄN</t>
        </is>
      </c>
      <c r="E5220" t="inlineStr">
        <is>
          <t>UPPVIDINGE</t>
        </is>
      </c>
      <c r="G5220" t="n">
        <v>3.4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69127-2020</t>
        </is>
      </c>
      <c r="B5221" s="1" t="n">
        <v>44188</v>
      </c>
      <c r="C5221" s="1" t="n">
        <v>45957</v>
      </c>
      <c r="D5221" t="inlineStr">
        <is>
          <t>KRONOBERGS LÄN</t>
        </is>
      </c>
      <c r="E5221" t="inlineStr">
        <is>
          <t>ALVESTA</t>
        </is>
      </c>
      <c r="G5221" t="n">
        <v>1.7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69941-2021</t>
        </is>
      </c>
      <c r="B5222" s="1" t="n">
        <v>44533.35804398148</v>
      </c>
      <c r="C5222" s="1" t="n">
        <v>45957</v>
      </c>
      <c r="D5222" t="inlineStr">
        <is>
          <t>KRONOBERGS LÄN</t>
        </is>
      </c>
      <c r="E5222" t="inlineStr">
        <is>
          <t>UPPVIDINGE</t>
        </is>
      </c>
      <c r="G5222" t="n">
        <v>2.7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4721-2022</t>
        </is>
      </c>
      <c r="B5223" s="1" t="n">
        <v>44592.5402662037</v>
      </c>
      <c r="C5223" s="1" t="n">
        <v>45957</v>
      </c>
      <c r="D5223" t="inlineStr">
        <is>
          <t>KRONOBERGS LÄN</t>
        </is>
      </c>
      <c r="E5223" t="inlineStr">
        <is>
          <t>VÄXJÖ</t>
        </is>
      </c>
      <c r="G5223" t="n">
        <v>0.8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61255-2020</t>
        </is>
      </c>
      <c r="B5224" s="1" t="n">
        <v>44155</v>
      </c>
      <c r="C5224" s="1" t="n">
        <v>45957</v>
      </c>
      <c r="D5224" t="inlineStr">
        <is>
          <t>KRONOBERGS LÄN</t>
        </is>
      </c>
      <c r="E5224" t="inlineStr">
        <is>
          <t>MARKARYD</t>
        </is>
      </c>
      <c r="G5224" t="n">
        <v>1.5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31952-2023</t>
        </is>
      </c>
      <c r="B5225" s="1" t="n">
        <v>45119.36762731482</v>
      </c>
      <c r="C5225" s="1" t="n">
        <v>45957</v>
      </c>
      <c r="D5225" t="inlineStr">
        <is>
          <t>KRONOBERGS LÄN</t>
        </is>
      </c>
      <c r="E5225" t="inlineStr">
        <is>
          <t>MARKARYD</t>
        </is>
      </c>
      <c r="G5225" t="n">
        <v>1.7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45069-2024</t>
        </is>
      </c>
      <c r="B5226" s="1" t="n">
        <v>45575.56337962963</v>
      </c>
      <c r="C5226" s="1" t="n">
        <v>45957</v>
      </c>
      <c r="D5226" t="inlineStr">
        <is>
          <t>KRONOBERGS LÄN</t>
        </is>
      </c>
      <c r="E5226" t="inlineStr">
        <is>
          <t>ÄLMHULT</t>
        </is>
      </c>
      <c r="G5226" t="n">
        <v>2.4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28570-2023</t>
        </is>
      </c>
      <c r="B5227" s="1" t="n">
        <v>45103</v>
      </c>
      <c r="C5227" s="1" t="n">
        <v>45957</v>
      </c>
      <c r="D5227" t="inlineStr">
        <is>
          <t>KRONOBERGS LÄN</t>
        </is>
      </c>
      <c r="E5227" t="inlineStr">
        <is>
          <t>VÄXJÖ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39095-2023</t>
        </is>
      </c>
      <c r="B5228" s="1" t="n">
        <v>45164</v>
      </c>
      <c r="C5228" s="1" t="n">
        <v>45957</v>
      </c>
      <c r="D5228" t="inlineStr">
        <is>
          <t>KRONOBERGS LÄN</t>
        </is>
      </c>
      <c r="E5228" t="inlineStr">
        <is>
          <t>UPPVIDINGE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64507-2023</t>
        </is>
      </c>
      <c r="B5229" s="1" t="n">
        <v>45281.29634259259</v>
      </c>
      <c r="C5229" s="1" t="n">
        <v>45957</v>
      </c>
      <c r="D5229" t="inlineStr">
        <is>
          <t>KRONOBERGS LÄN</t>
        </is>
      </c>
      <c r="E5229" t="inlineStr">
        <is>
          <t>MARKARYD</t>
        </is>
      </c>
      <c r="G5229" t="n">
        <v>1.9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64508-2023</t>
        </is>
      </c>
      <c r="B5230" s="1" t="n">
        <v>45281.29872685186</v>
      </c>
      <c r="C5230" s="1" t="n">
        <v>45957</v>
      </c>
      <c r="D5230" t="inlineStr">
        <is>
          <t>KRONOBERGS LÄN</t>
        </is>
      </c>
      <c r="E5230" t="inlineStr">
        <is>
          <t>MARKARYD</t>
        </is>
      </c>
      <c r="G5230" t="n">
        <v>0.7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44234-2023</t>
        </is>
      </c>
      <c r="B5231" s="1" t="n">
        <v>45188</v>
      </c>
      <c r="C5231" s="1" t="n">
        <v>45957</v>
      </c>
      <c r="D5231" t="inlineStr">
        <is>
          <t>KRONOBERGS LÄN</t>
        </is>
      </c>
      <c r="E5231" t="inlineStr">
        <is>
          <t>TINGSRYD</t>
        </is>
      </c>
      <c r="G5231" t="n">
        <v>1.5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44287-2023</t>
        </is>
      </c>
      <c r="B5232" s="1" t="n">
        <v>45188</v>
      </c>
      <c r="C5232" s="1" t="n">
        <v>45957</v>
      </c>
      <c r="D5232" t="inlineStr">
        <is>
          <t>KRONOBERGS LÄN</t>
        </is>
      </c>
      <c r="E5232" t="inlineStr">
        <is>
          <t>LJUNGBY</t>
        </is>
      </c>
      <c r="G5232" t="n">
        <v>3.3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6479-2022</t>
        </is>
      </c>
      <c r="B5233" s="1" t="n">
        <v>44601</v>
      </c>
      <c r="C5233" s="1" t="n">
        <v>45957</v>
      </c>
      <c r="D5233" t="inlineStr">
        <is>
          <t>KRONOBERGS LÄN</t>
        </is>
      </c>
      <c r="E5233" t="inlineStr">
        <is>
          <t>ALVESTA</t>
        </is>
      </c>
      <c r="G5233" t="n">
        <v>0.7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65219-2023</t>
        </is>
      </c>
      <c r="B5234" s="1" t="n">
        <v>45289.51297453704</v>
      </c>
      <c r="C5234" s="1" t="n">
        <v>45957</v>
      </c>
      <c r="D5234" t="inlineStr">
        <is>
          <t>KRONOBERGS LÄN</t>
        </is>
      </c>
      <c r="E5234" t="inlineStr">
        <is>
          <t>ALVESTA</t>
        </is>
      </c>
      <c r="G5234" t="n">
        <v>0.9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38611-2023</t>
        </is>
      </c>
      <c r="B5235" s="1" t="n">
        <v>45162.65574074074</v>
      </c>
      <c r="C5235" s="1" t="n">
        <v>45957</v>
      </c>
      <c r="D5235" t="inlineStr">
        <is>
          <t>KRONOBERGS LÄN</t>
        </is>
      </c>
      <c r="E5235" t="inlineStr">
        <is>
          <t>LJUNGBY</t>
        </is>
      </c>
      <c r="F5235" t="inlineStr">
        <is>
          <t>Sveaskog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4170-2021</t>
        </is>
      </c>
      <c r="B5236" s="1" t="n">
        <v>44221</v>
      </c>
      <c r="C5236" s="1" t="n">
        <v>45957</v>
      </c>
      <c r="D5236" t="inlineStr">
        <is>
          <t>KRONOBERGS LÄN</t>
        </is>
      </c>
      <c r="E5236" t="inlineStr">
        <is>
          <t>ÄLMHULT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62537-2022</t>
        </is>
      </c>
      <c r="B5237" s="1" t="n">
        <v>44924.66556712963</v>
      </c>
      <c r="C5237" s="1" t="n">
        <v>45957</v>
      </c>
      <c r="D5237" t="inlineStr">
        <is>
          <t>KRONOBERGS LÄN</t>
        </is>
      </c>
      <c r="E5237" t="inlineStr">
        <is>
          <t>LJUNGBY</t>
        </is>
      </c>
      <c r="G5237" t="n">
        <v>0.7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18845-2024</t>
        </is>
      </c>
      <c r="B5238" s="1" t="n">
        <v>45426.67791666667</v>
      </c>
      <c r="C5238" s="1" t="n">
        <v>45957</v>
      </c>
      <c r="D5238" t="inlineStr">
        <is>
          <t>KRONOBERGS LÄN</t>
        </is>
      </c>
      <c r="E5238" t="inlineStr">
        <is>
          <t>ALVESTA</t>
        </is>
      </c>
      <c r="G5238" t="n">
        <v>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21231-2023</t>
        </is>
      </c>
      <c r="B5239" s="1" t="n">
        <v>45058</v>
      </c>
      <c r="C5239" s="1" t="n">
        <v>45957</v>
      </c>
      <c r="D5239" t="inlineStr">
        <is>
          <t>KRONOBERGS LÄN</t>
        </is>
      </c>
      <c r="E5239" t="inlineStr">
        <is>
          <t>VÄXJÖ</t>
        </is>
      </c>
      <c r="G5239" t="n">
        <v>0.7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21254-2023</t>
        </is>
      </c>
      <c r="B5240" s="1" t="n">
        <v>45062.5940162037</v>
      </c>
      <c r="C5240" s="1" t="n">
        <v>45957</v>
      </c>
      <c r="D5240" t="inlineStr">
        <is>
          <t>KRONOBERGS LÄN</t>
        </is>
      </c>
      <c r="E5240" t="inlineStr">
        <is>
          <t>TINGSRYD</t>
        </is>
      </c>
      <c r="G5240" t="n">
        <v>0.5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2242-2023</t>
        </is>
      </c>
      <c r="B5241" s="1" t="n">
        <v>44942</v>
      </c>
      <c r="C5241" s="1" t="n">
        <v>45957</v>
      </c>
      <c r="D5241" t="inlineStr">
        <is>
          <t>KRONOBERGS LÄN</t>
        </is>
      </c>
      <c r="E5241" t="inlineStr">
        <is>
          <t>ÄLMHULT</t>
        </is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12427-2022</t>
        </is>
      </c>
      <c r="B5242" s="1" t="n">
        <v>44638.34265046296</v>
      </c>
      <c r="C5242" s="1" t="n">
        <v>45957</v>
      </c>
      <c r="D5242" t="inlineStr">
        <is>
          <t>KRONOBERGS LÄN</t>
        </is>
      </c>
      <c r="E5242" t="inlineStr">
        <is>
          <t>UPPVIDINGE</t>
        </is>
      </c>
      <c r="G5242" t="n">
        <v>1.4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14595-2024</t>
        </is>
      </c>
      <c r="B5243" s="1" t="n">
        <v>45395.69365740741</v>
      </c>
      <c r="C5243" s="1" t="n">
        <v>45957</v>
      </c>
      <c r="D5243" t="inlineStr">
        <is>
          <t>KRONOBERGS LÄN</t>
        </is>
      </c>
      <c r="E5243" t="inlineStr">
        <is>
          <t>TINGSRYD</t>
        </is>
      </c>
      <c r="G5243" t="n">
        <v>0.5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24928-2023</t>
        </is>
      </c>
      <c r="B5244" s="1" t="n">
        <v>45085</v>
      </c>
      <c r="C5244" s="1" t="n">
        <v>45957</v>
      </c>
      <c r="D5244" t="inlineStr">
        <is>
          <t>KRONOBERGS LÄN</t>
        </is>
      </c>
      <c r="E5244" t="inlineStr">
        <is>
          <t>ÄLMHULT</t>
        </is>
      </c>
      <c r="G5244" t="n">
        <v>0.5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58555-2020</t>
        </is>
      </c>
      <c r="B5245" s="1" t="n">
        <v>44145</v>
      </c>
      <c r="C5245" s="1" t="n">
        <v>45957</v>
      </c>
      <c r="D5245" t="inlineStr">
        <is>
          <t>KRONOBERGS LÄN</t>
        </is>
      </c>
      <c r="E5245" t="inlineStr">
        <is>
          <t>MARKARYD</t>
        </is>
      </c>
      <c r="G5245" t="n">
        <v>5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18001-2023</t>
        </is>
      </c>
      <c r="B5246" s="1" t="n">
        <v>45040.55247685185</v>
      </c>
      <c r="C5246" s="1" t="n">
        <v>45957</v>
      </c>
      <c r="D5246" t="inlineStr">
        <is>
          <t>KRONOBERGS LÄN</t>
        </is>
      </c>
      <c r="E5246" t="inlineStr">
        <is>
          <t>ALVESTA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13182-2023</t>
        </is>
      </c>
      <c r="B5247" s="1" t="n">
        <v>45002</v>
      </c>
      <c r="C5247" s="1" t="n">
        <v>45957</v>
      </c>
      <c r="D5247" t="inlineStr">
        <is>
          <t>KRONOBERGS LÄN</t>
        </is>
      </c>
      <c r="E5247" t="inlineStr">
        <is>
          <t>TINGSRYD</t>
        </is>
      </c>
      <c r="G5247" t="n">
        <v>1.8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61675-2020</t>
        </is>
      </c>
      <c r="B5248" s="1" t="n">
        <v>44158</v>
      </c>
      <c r="C5248" s="1" t="n">
        <v>45957</v>
      </c>
      <c r="D5248" t="inlineStr">
        <is>
          <t>KRONOBERGS LÄN</t>
        </is>
      </c>
      <c r="E5248" t="inlineStr">
        <is>
          <t>LJUNGBY</t>
        </is>
      </c>
      <c r="F5248" t="inlineStr">
        <is>
          <t>Sveaskog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13148-2022</t>
        </is>
      </c>
      <c r="B5249" s="1" t="n">
        <v>44644.41532407407</v>
      </c>
      <c r="C5249" s="1" t="n">
        <v>45957</v>
      </c>
      <c r="D5249" t="inlineStr">
        <is>
          <t>KRONOBERGS LÄN</t>
        </is>
      </c>
      <c r="E5249" t="inlineStr">
        <is>
          <t>MARKARYD</t>
        </is>
      </c>
      <c r="G5249" t="n">
        <v>0.8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2239-2023</t>
        </is>
      </c>
      <c r="B5250" s="1" t="n">
        <v>44942</v>
      </c>
      <c r="C5250" s="1" t="n">
        <v>45957</v>
      </c>
      <c r="D5250" t="inlineStr">
        <is>
          <t>KRONOBERGS LÄN</t>
        </is>
      </c>
      <c r="E5250" t="inlineStr">
        <is>
          <t>ÄLMHULT</t>
        </is>
      </c>
      <c r="G5250" t="n">
        <v>0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53497-2023</t>
        </is>
      </c>
      <c r="B5251" s="1" t="n">
        <v>45230.37582175926</v>
      </c>
      <c r="C5251" s="1" t="n">
        <v>45957</v>
      </c>
      <c r="D5251" t="inlineStr">
        <is>
          <t>KRONOBERGS LÄN</t>
        </is>
      </c>
      <c r="E5251" t="inlineStr">
        <is>
          <t>UPPVIDINGE</t>
        </is>
      </c>
      <c r="F5251" t="inlineStr">
        <is>
          <t>Sveaskog</t>
        </is>
      </c>
      <c r="G5251" t="n">
        <v>1.6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54926-2023</t>
        </is>
      </c>
      <c r="B5252" s="1" t="n">
        <v>45236</v>
      </c>
      <c r="C5252" s="1" t="n">
        <v>45957</v>
      </c>
      <c r="D5252" t="inlineStr">
        <is>
          <t>KRONOBERGS LÄN</t>
        </is>
      </c>
      <c r="E5252" t="inlineStr">
        <is>
          <t>MARKARYD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49112-2022</t>
        </is>
      </c>
      <c r="B5253" s="1" t="n">
        <v>44860.64129629629</v>
      </c>
      <c r="C5253" s="1" t="n">
        <v>45957</v>
      </c>
      <c r="D5253" t="inlineStr">
        <is>
          <t>KRONOBERGS LÄN</t>
        </is>
      </c>
      <c r="E5253" t="inlineStr">
        <is>
          <t>ÄLMHULT</t>
        </is>
      </c>
      <c r="G5253" t="n">
        <v>1.2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72318-2021</t>
        </is>
      </c>
      <c r="B5254" s="1" t="n">
        <v>44545.43649305555</v>
      </c>
      <c r="C5254" s="1" t="n">
        <v>45957</v>
      </c>
      <c r="D5254" t="inlineStr">
        <is>
          <t>KRONOBERGS LÄN</t>
        </is>
      </c>
      <c r="E5254" t="inlineStr">
        <is>
          <t>ALVESTA</t>
        </is>
      </c>
      <c r="G5254" t="n">
        <v>2.2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44923-2023</t>
        </is>
      </c>
      <c r="B5255" s="1" t="n">
        <v>45190</v>
      </c>
      <c r="C5255" s="1" t="n">
        <v>45957</v>
      </c>
      <c r="D5255" t="inlineStr">
        <is>
          <t>KRONOBERGS LÄN</t>
        </is>
      </c>
      <c r="E5255" t="inlineStr">
        <is>
          <t>VÄXJÖ</t>
        </is>
      </c>
      <c r="G5255" t="n">
        <v>2.3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43852-2023</t>
        </is>
      </c>
      <c r="B5256" s="1" t="n">
        <v>45187.60745370371</v>
      </c>
      <c r="C5256" s="1" t="n">
        <v>45957</v>
      </c>
      <c r="D5256" t="inlineStr">
        <is>
          <t>KRONOBERGS LÄN</t>
        </is>
      </c>
      <c r="E5256" t="inlineStr">
        <is>
          <t>ÄLMHULT</t>
        </is>
      </c>
      <c r="G5256" t="n">
        <v>1.5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1981-2021</t>
        </is>
      </c>
      <c r="B5257" s="1" t="n">
        <v>44210</v>
      </c>
      <c r="C5257" s="1" t="n">
        <v>45957</v>
      </c>
      <c r="D5257" t="inlineStr">
        <is>
          <t>KRONOBERGS LÄN</t>
        </is>
      </c>
      <c r="E5257" t="inlineStr">
        <is>
          <t>ALVESTA</t>
        </is>
      </c>
      <c r="F5257" t="inlineStr">
        <is>
          <t>Kyrkan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14943-2022</t>
        </is>
      </c>
      <c r="B5258" s="1" t="n">
        <v>44657</v>
      </c>
      <c r="C5258" s="1" t="n">
        <v>45957</v>
      </c>
      <c r="D5258" t="inlineStr">
        <is>
          <t>KRONOBERGS LÄN</t>
        </is>
      </c>
      <c r="E5258" t="inlineStr">
        <is>
          <t>LJUNGBY</t>
        </is>
      </c>
      <c r="G5258" t="n">
        <v>0.6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41725-2023</t>
        </is>
      </c>
      <c r="B5259" s="1" t="n">
        <v>45176.40626157408</v>
      </c>
      <c r="C5259" s="1" t="n">
        <v>45957</v>
      </c>
      <c r="D5259" t="inlineStr">
        <is>
          <t>KRONOBERGS LÄN</t>
        </is>
      </c>
      <c r="E5259" t="inlineStr">
        <is>
          <t>VÄXJÖ</t>
        </is>
      </c>
      <c r="G5259" t="n">
        <v>2.9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50212-2024</t>
        </is>
      </c>
      <c r="B5260" s="1" t="n">
        <v>45600.51381944444</v>
      </c>
      <c r="C5260" s="1" t="n">
        <v>45957</v>
      </c>
      <c r="D5260" t="inlineStr">
        <is>
          <t>KRONOBERGS LÄN</t>
        </is>
      </c>
      <c r="E5260" t="inlineStr">
        <is>
          <t>TINGSRYD</t>
        </is>
      </c>
      <c r="G5260" t="n">
        <v>0.6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25096-2024</t>
        </is>
      </c>
      <c r="B5261" s="1" t="n">
        <v>45462</v>
      </c>
      <c r="C5261" s="1" t="n">
        <v>45957</v>
      </c>
      <c r="D5261" t="inlineStr">
        <is>
          <t>KRONOBERGS LÄN</t>
        </is>
      </c>
      <c r="E5261" t="inlineStr">
        <is>
          <t>MARKARYD</t>
        </is>
      </c>
      <c r="G5261" t="n">
        <v>4.9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16313-2021</t>
        </is>
      </c>
      <c r="B5262" s="1" t="n">
        <v>44292.71269675926</v>
      </c>
      <c r="C5262" s="1" t="n">
        <v>45957</v>
      </c>
      <c r="D5262" t="inlineStr">
        <is>
          <t>KRONOBERGS LÄN</t>
        </is>
      </c>
      <c r="E5262" t="inlineStr">
        <is>
          <t>ALVESTA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26855-2021</t>
        </is>
      </c>
      <c r="B5263" s="1" t="n">
        <v>44349.5987962963</v>
      </c>
      <c r="C5263" s="1" t="n">
        <v>45957</v>
      </c>
      <c r="D5263" t="inlineStr">
        <is>
          <t>KRONOBERGS LÄN</t>
        </is>
      </c>
      <c r="E5263" t="inlineStr">
        <is>
          <t>LESSEBO</t>
        </is>
      </c>
      <c r="G5263" t="n">
        <v>4.6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1655-2023</t>
        </is>
      </c>
      <c r="B5264" s="1" t="n">
        <v>44938.32413194444</v>
      </c>
      <c r="C5264" s="1" t="n">
        <v>45957</v>
      </c>
      <c r="D5264" t="inlineStr">
        <is>
          <t>KRONOBERGS LÄN</t>
        </is>
      </c>
      <c r="E5264" t="inlineStr">
        <is>
          <t>ALVESTA</t>
        </is>
      </c>
      <c r="G5264" t="n">
        <v>2.8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2913-2024</t>
        </is>
      </c>
      <c r="B5265" s="1" t="n">
        <v>45315.56436342592</v>
      </c>
      <c r="C5265" s="1" t="n">
        <v>45957</v>
      </c>
      <c r="D5265" t="inlineStr">
        <is>
          <t>KRONOBERGS LÄN</t>
        </is>
      </c>
      <c r="E5265" t="inlineStr">
        <is>
          <t>VÄXJÖ</t>
        </is>
      </c>
      <c r="G5265" t="n">
        <v>3.3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2914-2024</t>
        </is>
      </c>
      <c r="B5266" s="1" t="n">
        <v>45315</v>
      </c>
      <c r="C5266" s="1" t="n">
        <v>45957</v>
      </c>
      <c r="D5266" t="inlineStr">
        <is>
          <t>KRONOBERGS LÄN</t>
        </is>
      </c>
      <c r="E5266" t="inlineStr">
        <is>
          <t>VÄXJÖ</t>
        </is>
      </c>
      <c r="G5266" t="n">
        <v>0.8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51918-2023</t>
        </is>
      </c>
      <c r="B5267" s="1" t="n">
        <v>45223.46996527778</v>
      </c>
      <c r="C5267" s="1" t="n">
        <v>45957</v>
      </c>
      <c r="D5267" t="inlineStr">
        <is>
          <t>KRONOBERGS LÄN</t>
        </is>
      </c>
      <c r="E5267" t="inlineStr">
        <is>
          <t>MARKARYD</t>
        </is>
      </c>
      <c r="G5267" t="n">
        <v>2.2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3257-2023</t>
        </is>
      </c>
      <c r="B5268" s="1" t="n">
        <v>44948.74932870371</v>
      </c>
      <c r="C5268" s="1" t="n">
        <v>45957</v>
      </c>
      <c r="D5268" t="inlineStr">
        <is>
          <t>KRONOBERGS LÄN</t>
        </is>
      </c>
      <c r="E5268" t="inlineStr">
        <is>
          <t>ALVESTA</t>
        </is>
      </c>
      <c r="G5268" t="n">
        <v>1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55327-2022</t>
        </is>
      </c>
      <c r="B5269" s="1" t="n">
        <v>44887</v>
      </c>
      <c r="C5269" s="1" t="n">
        <v>45957</v>
      </c>
      <c r="D5269" t="inlineStr">
        <is>
          <t>KRONOBERGS LÄN</t>
        </is>
      </c>
      <c r="E5269" t="inlineStr">
        <is>
          <t>UPPVIDINGE</t>
        </is>
      </c>
      <c r="G5269" t="n">
        <v>1.4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55332-2022</t>
        </is>
      </c>
      <c r="B5270" s="1" t="n">
        <v>44887.44704861111</v>
      </c>
      <c r="C5270" s="1" t="n">
        <v>45957</v>
      </c>
      <c r="D5270" t="inlineStr">
        <is>
          <t>KRONOBERGS LÄN</t>
        </is>
      </c>
      <c r="E5270" t="inlineStr">
        <is>
          <t>MARKARYD</t>
        </is>
      </c>
      <c r="G5270" t="n">
        <v>1.4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1994-2023</t>
        </is>
      </c>
      <c r="B5271" s="1" t="n">
        <v>44938</v>
      </c>
      <c r="C5271" s="1" t="n">
        <v>45957</v>
      </c>
      <c r="D5271" t="inlineStr">
        <is>
          <t>KRONOBERGS LÄN</t>
        </is>
      </c>
      <c r="E5271" t="inlineStr">
        <is>
          <t>TINGSRYD</t>
        </is>
      </c>
      <c r="G5271" t="n">
        <v>2.1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2139-2022</t>
        </is>
      </c>
      <c r="B5272" s="1" t="n">
        <v>44578.39456018519</v>
      </c>
      <c r="C5272" s="1" t="n">
        <v>45957</v>
      </c>
      <c r="D5272" t="inlineStr">
        <is>
          <t>KRONOBERGS LÄN</t>
        </is>
      </c>
      <c r="E5272" t="inlineStr">
        <is>
          <t>MARKARYD</t>
        </is>
      </c>
      <c r="F5272" t="inlineStr">
        <is>
          <t>Övriga Aktiebolag</t>
        </is>
      </c>
      <c r="G5272" t="n">
        <v>2.8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53434-2021</t>
        </is>
      </c>
      <c r="B5273" s="1" t="n">
        <v>44468.65578703704</v>
      </c>
      <c r="C5273" s="1" t="n">
        <v>45957</v>
      </c>
      <c r="D5273" t="inlineStr">
        <is>
          <t>KRONOBERGS LÄN</t>
        </is>
      </c>
      <c r="E5273" t="inlineStr">
        <is>
          <t>UPPVIDINGE</t>
        </is>
      </c>
      <c r="G5273" t="n">
        <v>5.1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65247-2023</t>
        </is>
      </c>
      <c r="B5274" s="1" t="n">
        <v>45290</v>
      </c>
      <c r="C5274" s="1" t="n">
        <v>45957</v>
      </c>
      <c r="D5274" t="inlineStr">
        <is>
          <t>KRONOBERGS LÄN</t>
        </is>
      </c>
      <c r="E5274" t="inlineStr">
        <is>
          <t>ÄLMHULT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52332-2024</t>
        </is>
      </c>
      <c r="B5275" s="1" t="n">
        <v>45609.32234953704</v>
      </c>
      <c r="C5275" s="1" t="n">
        <v>45957</v>
      </c>
      <c r="D5275" t="inlineStr">
        <is>
          <t>KRONOBERGS LÄN</t>
        </is>
      </c>
      <c r="E5275" t="inlineStr">
        <is>
          <t>ÄLMHULT</t>
        </is>
      </c>
      <c r="G5275" t="n">
        <v>1.1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19243-2024</t>
        </is>
      </c>
      <c r="B5276" s="1" t="n">
        <v>45428.57578703704</v>
      </c>
      <c r="C5276" s="1" t="n">
        <v>45957</v>
      </c>
      <c r="D5276" t="inlineStr">
        <is>
          <t>KRONOBERGS LÄN</t>
        </is>
      </c>
      <c r="E5276" t="inlineStr">
        <is>
          <t>UPPVIDINGE</t>
        </is>
      </c>
      <c r="G5276" t="n">
        <v>1.1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50950-2023</t>
        </is>
      </c>
      <c r="B5277" s="1" t="n">
        <v>45218.47658564815</v>
      </c>
      <c r="C5277" s="1" t="n">
        <v>45957</v>
      </c>
      <c r="D5277" t="inlineStr">
        <is>
          <t>KRONOBERGS LÄN</t>
        </is>
      </c>
      <c r="E5277" t="inlineStr">
        <is>
          <t>LJUNGBY</t>
        </is>
      </c>
      <c r="G5277" t="n">
        <v>1.4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50541-2023</t>
        </is>
      </c>
      <c r="B5278" s="1" t="n">
        <v>45217</v>
      </c>
      <c r="C5278" s="1" t="n">
        <v>45957</v>
      </c>
      <c r="D5278" t="inlineStr">
        <is>
          <t>KRONOBERGS LÄN</t>
        </is>
      </c>
      <c r="E5278" t="inlineStr">
        <is>
          <t>ÄLMHULT</t>
        </is>
      </c>
      <c r="G5278" t="n">
        <v>1.9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60069-2022</t>
        </is>
      </c>
      <c r="B5279" s="1" t="n">
        <v>44909.56182870371</v>
      </c>
      <c r="C5279" s="1" t="n">
        <v>45957</v>
      </c>
      <c r="D5279" t="inlineStr">
        <is>
          <t>KRONOBERGS LÄN</t>
        </is>
      </c>
      <c r="E5279" t="inlineStr">
        <is>
          <t>TINGSRYD</t>
        </is>
      </c>
      <c r="G5279" t="n">
        <v>0.6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58268-2022</t>
        </is>
      </c>
      <c r="B5280" s="1" t="n">
        <v>44901.46834490741</v>
      </c>
      <c r="C5280" s="1" t="n">
        <v>45957</v>
      </c>
      <c r="D5280" t="inlineStr">
        <is>
          <t>KRONOBERGS LÄN</t>
        </is>
      </c>
      <c r="E5280" t="inlineStr">
        <is>
          <t>ALVESTA</t>
        </is>
      </c>
      <c r="G5280" t="n">
        <v>2.9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59697-2020</t>
        </is>
      </c>
      <c r="B5281" s="1" t="n">
        <v>44151</v>
      </c>
      <c r="C5281" s="1" t="n">
        <v>45957</v>
      </c>
      <c r="D5281" t="inlineStr">
        <is>
          <t>KRONOBERGS LÄN</t>
        </is>
      </c>
      <c r="E5281" t="inlineStr">
        <is>
          <t>LJUNGBY</t>
        </is>
      </c>
      <c r="G5281" t="n">
        <v>2.1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20130-2022</t>
        </is>
      </c>
      <c r="B5282" s="1" t="n">
        <v>44698</v>
      </c>
      <c r="C5282" s="1" t="n">
        <v>45957</v>
      </c>
      <c r="D5282" t="inlineStr">
        <is>
          <t>KRONOBERGS LÄN</t>
        </is>
      </c>
      <c r="E5282" t="inlineStr">
        <is>
          <t>TINGSRYD</t>
        </is>
      </c>
      <c r="G5282" t="n">
        <v>1.2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56925-2023</t>
        </is>
      </c>
      <c r="B5283" s="1" t="n">
        <v>45244.59032407407</v>
      </c>
      <c r="C5283" s="1" t="n">
        <v>45957</v>
      </c>
      <c r="D5283" t="inlineStr">
        <is>
          <t>KRONOBERGS LÄN</t>
        </is>
      </c>
      <c r="E5283" t="inlineStr">
        <is>
          <t>ÄLMHULT</t>
        </is>
      </c>
      <c r="G5283" t="n">
        <v>2.7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60600-2023</t>
        </is>
      </c>
      <c r="B5284" s="1" t="n">
        <v>45260.32738425926</v>
      </c>
      <c r="C5284" s="1" t="n">
        <v>45957</v>
      </c>
      <c r="D5284" t="inlineStr">
        <is>
          <t>KRONOBERGS LÄN</t>
        </is>
      </c>
      <c r="E5284" t="inlineStr">
        <is>
          <t>LJUNGBY</t>
        </is>
      </c>
      <c r="G5284" t="n">
        <v>0.8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14969-2022</t>
        </is>
      </c>
      <c r="B5285" s="1" t="n">
        <v>44657</v>
      </c>
      <c r="C5285" s="1" t="n">
        <v>45957</v>
      </c>
      <c r="D5285" t="inlineStr">
        <is>
          <t>KRONOBERGS LÄN</t>
        </is>
      </c>
      <c r="E5285" t="inlineStr">
        <is>
          <t>ALVESTA</t>
        </is>
      </c>
      <c r="G5285" t="n">
        <v>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12981-2024</t>
        </is>
      </c>
      <c r="B5286" s="1" t="n">
        <v>45385</v>
      </c>
      <c r="C5286" s="1" t="n">
        <v>45957</v>
      </c>
      <c r="D5286" t="inlineStr">
        <is>
          <t>KRONOBERGS LÄN</t>
        </is>
      </c>
      <c r="E5286" t="inlineStr">
        <is>
          <t>ALVESTA</t>
        </is>
      </c>
      <c r="G5286" t="n">
        <v>1.1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5292-2024</t>
        </is>
      </c>
      <c r="B5287" s="1" t="n">
        <v>45331.35601851852</v>
      </c>
      <c r="C5287" s="1" t="n">
        <v>45957</v>
      </c>
      <c r="D5287" t="inlineStr">
        <is>
          <t>KRONOBERGS LÄN</t>
        </is>
      </c>
      <c r="E5287" t="inlineStr">
        <is>
          <t>TINGSRYD</t>
        </is>
      </c>
      <c r="G5287" t="n">
        <v>1.5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5293-2024</t>
        </is>
      </c>
      <c r="B5288" s="1" t="n">
        <v>45331.35946759259</v>
      </c>
      <c r="C5288" s="1" t="n">
        <v>45957</v>
      </c>
      <c r="D5288" t="inlineStr">
        <is>
          <t>KRONOBERGS LÄN</t>
        </is>
      </c>
      <c r="E5288" t="inlineStr">
        <is>
          <t>TINGSRYD</t>
        </is>
      </c>
      <c r="G5288" t="n">
        <v>3.8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5294-2024</t>
        </is>
      </c>
      <c r="B5289" s="1" t="n">
        <v>45331.3629050926</v>
      </c>
      <c r="C5289" s="1" t="n">
        <v>45957</v>
      </c>
      <c r="D5289" t="inlineStr">
        <is>
          <t>KRONOBERGS LÄN</t>
        </is>
      </c>
      <c r="E5289" t="inlineStr">
        <is>
          <t>TINGSRYD</t>
        </is>
      </c>
      <c r="G5289" t="n">
        <v>4.8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37164-2022</t>
        </is>
      </c>
      <c r="B5290" s="1" t="n">
        <v>44806.59946759259</v>
      </c>
      <c r="C5290" s="1" t="n">
        <v>45957</v>
      </c>
      <c r="D5290" t="inlineStr">
        <is>
          <t>KRONOBERGS LÄN</t>
        </is>
      </c>
      <c r="E5290" t="inlineStr">
        <is>
          <t>LJUNGBY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30494-2023</t>
        </is>
      </c>
      <c r="B5291" s="1" t="n">
        <v>45111</v>
      </c>
      <c r="C5291" s="1" t="n">
        <v>45957</v>
      </c>
      <c r="D5291" t="inlineStr">
        <is>
          <t>KRONOBERGS LÄN</t>
        </is>
      </c>
      <c r="E5291" t="inlineStr">
        <is>
          <t>ÄLMHULT</t>
        </is>
      </c>
      <c r="G5291" t="n">
        <v>4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37126-2023</t>
        </is>
      </c>
      <c r="B5292" s="1" t="n">
        <v>45155.56731481481</v>
      </c>
      <c r="C5292" s="1" t="n">
        <v>45957</v>
      </c>
      <c r="D5292" t="inlineStr">
        <is>
          <t>KRONOBERGS LÄN</t>
        </is>
      </c>
      <c r="E5292" t="inlineStr">
        <is>
          <t>TINGSRYD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14952-2024</t>
        </is>
      </c>
      <c r="B5293" s="1" t="n">
        <v>45398.79873842592</v>
      </c>
      <c r="C5293" s="1" t="n">
        <v>45957</v>
      </c>
      <c r="D5293" t="inlineStr">
        <is>
          <t>KRONOBERGS LÄN</t>
        </is>
      </c>
      <c r="E5293" t="inlineStr">
        <is>
          <t>UPPVIDINGE</t>
        </is>
      </c>
      <c r="G5293" t="n">
        <v>3.1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45205-2023</t>
        </is>
      </c>
      <c r="B5294" s="1" t="n">
        <v>45191.55503472222</v>
      </c>
      <c r="C5294" s="1" t="n">
        <v>45957</v>
      </c>
      <c r="D5294" t="inlineStr">
        <is>
          <t>KRONOBERGS LÄN</t>
        </is>
      </c>
      <c r="E5294" t="inlineStr">
        <is>
          <t>LJUNGBY</t>
        </is>
      </c>
      <c r="G5294" t="n">
        <v>0.7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63824-2021</t>
        </is>
      </c>
      <c r="B5295" s="1" t="n">
        <v>44509.57325231482</v>
      </c>
      <c r="C5295" s="1" t="n">
        <v>45957</v>
      </c>
      <c r="D5295" t="inlineStr">
        <is>
          <t>KRONOBERGS LÄN</t>
        </is>
      </c>
      <c r="E5295" t="inlineStr">
        <is>
          <t>TINGSRYD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10272-2021</t>
        </is>
      </c>
      <c r="B5296" s="1" t="n">
        <v>44256</v>
      </c>
      <c r="C5296" s="1" t="n">
        <v>45957</v>
      </c>
      <c r="D5296" t="inlineStr">
        <is>
          <t>KRONOBERGS LÄN</t>
        </is>
      </c>
      <c r="E5296" t="inlineStr">
        <is>
          <t>ALVESTA</t>
        </is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9001-2023</t>
        </is>
      </c>
      <c r="B5297" s="1" t="n">
        <v>44979.57680555555</v>
      </c>
      <c r="C5297" s="1" t="n">
        <v>45957</v>
      </c>
      <c r="D5297" t="inlineStr">
        <is>
          <t>KRONOBERGS LÄN</t>
        </is>
      </c>
      <c r="E5297" t="inlineStr">
        <is>
          <t>VÄXJÖ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68189-2021</t>
        </is>
      </c>
      <c r="B5298" s="1" t="n">
        <v>44526</v>
      </c>
      <c r="C5298" s="1" t="n">
        <v>45957</v>
      </c>
      <c r="D5298" t="inlineStr">
        <is>
          <t>KRONOBERGS LÄN</t>
        </is>
      </c>
      <c r="E5298" t="inlineStr">
        <is>
          <t>ÄLMHULT</t>
        </is>
      </c>
      <c r="G5298" t="n">
        <v>0.4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61598-2022</t>
        </is>
      </c>
      <c r="B5299" s="1" t="n">
        <v>44916</v>
      </c>
      <c r="C5299" s="1" t="n">
        <v>45957</v>
      </c>
      <c r="D5299" t="inlineStr">
        <is>
          <t>KRONOBERGS LÄN</t>
        </is>
      </c>
      <c r="E5299" t="inlineStr">
        <is>
          <t>LESSEBO</t>
        </is>
      </c>
      <c r="F5299" t="inlineStr">
        <is>
          <t>Kommuner</t>
        </is>
      </c>
      <c r="G5299" t="n">
        <v>1.8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50781-2024</t>
        </is>
      </c>
      <c r="B5300" s="1" t="n">
        <v>45602.46759259259</v>
      </c>
      <c r="C5300" s="1" t="n">
        <v>45957</v>
      </c>
      <c r="D5300" t="inlineStr">
        <is>
          <t>KRONOBERGS LÄN</t>
        </is>
      </c>
      <c r="E5300" t="inlineStr">
        <is>
          <t>MARKARYD</t>
        </is>
      </c>
      <c r="G5300" t="n">
        <v>1.7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34794-2023</t>
        </is>
      </c>
      <c r="B5301" s="1" t="n">
        <v>45141.58421296296</v>
      </c>
      <c r="C5301" s="1" t="n">
        <v>45957</v>
      </c>
      <c r="D5301" t="inlineStr">
        <is>
          <t>KRONOBERGS LÄN</t>
        </is>
      </c>
      <c r="E5301" t="inlineStr">
        <is>
          <t>ÄLMHULT</t>
        </is>
      </c>
      <c r="G5301" t="n">
        <v>1.6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56826-2024</t>
        </is>
      </c>
      <c r="B5302" s="1" t="n">
        <v>45628.49322916667</v>
      </c>
      <c r="C5302" s="1" t="n">
        <v>45957</v>
      </c>
      <c r="D5302" t="inlineStr">
        <is>
          <t>KRONOBERGS LÄN</t>
        </is>
      </c>
      <c r="E5302" t="inlineStr">
        <is>
          <t>LJUNGBY</t>
        </is>
      </c>
      <c r="G5302" t="n">
        <v>9.6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18677-2025</t>
        </is>
      </c>
      <c r="B5303" s="1" t="n">
        <v>45763.59938657407</v>
      </c>
      <c r="C5303" s="1" t="n">
        <v>45957</v>
      </c>
      <c r="D5303" t="inlineStr">
        <is>
          <t>KRONOBERGS LÄN</t>
        </is>
      </c>
      <c r="E5303" t="inlineStr">
        <is>
          <t>ALVESTA</t>
        </is>
      </c>
      <c r="G5303" t="n">
        <v>0.9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27540-2022</t>
        </is>
      </c>
      <c r="B5304" s="1" t="n">
        <v>44742.71030092592</v>
      </c>
      <c r="C5304" s="1" t="n">
        <v>45957</v>
      </c>
      <c r="D5304" t="inlineStr">
        <is>
          <t>KRONOBERGS LÄN</t>
        </is>
      </c>
      <c r="E5304" t="inlineStr">
        <is>
          <t>LJUNGBY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34434-2021</t>
        </is>
      </c>
      <c r="B5305" s="1" t="n">
        <v>44380</v>
      </c>
      <c r="C5305" s="1" t="n">
        <v>45957</v>
      </c>
      <c r="D5305" t="inlineStr">
        <is>
          <t>KRONOBERGS LÄN</t>
        </is>
      </c>
      <c r="E5305" t="inlineStr">
        <is>
          <t>LJUNGBY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26794-2022</t>
        </is>
      </c>
      <c r="B5306" s="1" t="n">
        <v>44740.4180324074</v>
      </c>
      <c r="C5306" s="1" t="n">
        <v>45957</v>
      </c>
      <c r="D5306" t="inlineStr">
        <is>
          <t>KRONOBERGS LÄN</t>
        </is>
      </c>
      <c r="E5306" t="inlineStr">
        <is>
          <t>TINGSRYD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30914-2022</t>
        </is>
      </c>
      <c r="B5307" s="1" t="n">
        <v>44767</v>
      </c>
      <c r="C5307" s="1" t="n">
        <v>45957</v>
      </c>
      <c r="D5307" t="inlineStr">
        <is>
          <t>KRONOBERGS LÄN</t>
        </is>
      </c>
      <c r="E5307" t="inlineStr">
        <is>
          <t>LESSEBO</t>
        </is>
      </c>
      <c r="G5307" t="n">
        <v>1.4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41768-2023</t>
        </is>
      </c>
      <c r="B5308" s="1" t="n">
        <v>45176.46045138889</v>
      </c>
      <c r="C5308" s="1" t="n">
        <v>45957</v>
      </c>
      <c r="D5308" t="inlineStr">
        <is>
          <t>KRONOBERGS LÄN</t>
        </is>
      </c>
      <c r="E5308" t="inlineStr">
        <is>
          <t>TINGSRYD</t>
        </is>
      </c>
      <c r="G5308" t="n">
        <v>3.1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13326-2024</t>
        </is>
      </c>
      <c r="B5309" s="1" t="n">
        <v>45386.86943287037</v>
      </c>
      <c r="C5309" s="1" t="n">
        <v>45957</v>
      </c>
      <c r="D5309" t="inlineStr">
        <is>
          <t>KRONOBERGS LÄN</t>
        </is>
      </c>
      <c r="E5309" t="inlineStr">
        <is>
          <t>VÄXJÖ</t>
        </is>
      </c>
      <c r="G5309" t="n">
        <v>0.9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44280-2023</t>
        </is>
      </c>
      <c r="B5310" s="1" t="n">
        <v>45188.62355324074</v>
      </c>
      <c r="C5310" s="1" t="n">
        <v>45957</v>
      </c>
      <c r="D5310" t="inlineStr">
        <is>
          <t>KRONOBERGS LÄN</t>
        </is>
      </c>
      <c r="E5310" t="inlineStr">
        <is>
          <t>LJUNGBY</t>
        </is>
      </c>
      <c r="G5310" t="n">
        <v>2.9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38777-2021</t>
        </is>
      </c>
      <c r="B5311" s="1" t="n">
        <v>44410</v>
      </c>
      <c r="C5311" s="1" t="n">
        <v>45957</v>
      </c>
      <c r="D5311" t="inlineStr">
        <is>
          <t>KRONOBERGS LÄN</t>
        </is>
      </c>
      <c r="E5311" t="inlineStr">
        <is>
          <t>UPPVIDINGE</t>
        </is>
      </c>
      <c r="G5311" t="n">
        <v>3.3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47831-2023</t>
        </is>
      </c>
      <c r="B5312" s="1" t="n">
        <v>45204.36121527778</v>
      </c>
      <c r="C5312" s="1" t="n">
        <v>45957</v>
      </c>
      <c r="D5312" t="inlineStr">
        <is>
          <t>KRONOBERGS LÄN</t>
        </is>
      </c>
      <c r="E5312" t="inlineStr">
        <is>
          <t>VÄXJÖ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47916-2023</t>
        </is>
      </c>
      <c r="B5313" s="1" t="n">
        <v>45204</v>
      </c>
      <c r="C5313" s="1" t="n">
        <v>45957</v>
      </c>
      <c r="D5313" t="inlineStr">
        <is>
          <t>KRONOBERGS LÄN</t>
        </is>
      </c>
      <c r="E5313" t="inlineStr">
        <is>
          <t>UPPVIDINGE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9353-2024</t>
        </is>
      </c>
      <c r="B5314" s="1" t="n">
        <v>45359.30721064815</v>
      </c>
      <c r="C5314" s="1" t="n">
        <v>45957</v>
      </c>
      <c r="D5314" t="inlineStr">
        <is>
          <t>KRONOBERGS LÄN</t>
        </is>
      </c>
      <c r="E5314" t="inlineStr">
        <is>
          <t>ÄLMHULT</t>
        </is>
      </c>
      <c r="G5314" t="n">
        <v>0.7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9358-2024</t>
        </is>
      </c>
      <c r="B5315" s="1" t="n">
        <v>45359.32828703704</v>
      </c>
      <c r="C5315" s="1" t="n">
        <v>45957</v>
      </c>
      <c r="D5315" t="inlineStr">
        <is>
          <t>KRONOBERGS LÄN</t>
        </is>
      </c>
      <c r="E5315" t="inlineStr">
        <is>
          <t>VÄXJÖ</t>
        </is>
      </c>
      <c r="G5315" t="n">
        <v>0.9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9417-2024</t>
        </is>
      </c>
      <c r="B5316" s="1" t="n">
        <v>45359.44944444444</v>
      </c>
      <c r="C5316" s="1" t="n">
        <v>45957</v>
      </c>
      <c r="D5316" t="inlineStr">
        <is>
          <t>KRONOBERGS LÄN</t>
        </is>
      </c>
      <c r="E5316" t="inlineStr">
        <is>
          <t>ALVESTA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9444-2024</t>
        </is>
      </c>
      <c r="B5317" s="1" t="n">
        <v>45359.50601851852</v>
      </c>
      <c r="C5317" s="1" t="n">
        <v>45957</v>
      </c>
      <c r="D5317" t="inlineStr">
        <is>
          <t>KRONOBERGS LÄN</t>
        </is>
      </c>
      <c r="E5317" t="inlineStr">
        <is>
          <t>LJUNGBY</t>
        </is>
      </c>
      <c r="G5317" t="n">
        <v>2.3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9452-2024</t>
        </is>
      </c>
      <c r="B5318" s="1" t="n">
        <v>45359.52144675926</v>
      </c>
      <c r="C5318" s="1" t="n">
        <v>45957</v>
      </c>
      <c r="D5318" t="inlineStr">
        <is>
          <t>KRONOBERGS LÄN</t>
        </is>
      </c>
      <c r="E5318" t="inlineStr">
        <is>
          <t>TINGSRYD</t>
        </is>
      </c>
      <c r="G5318" t="n">
        <v>1.5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17527-2023</t>
        </is>
      </c>
      <c r="B5319" s="1" t="n">
        <v>45036</v>
      </c>
      <c r="C5319" s="1" t="n">
        <v>45957</v>
      </c>
      <c r="D5319" t="inlineStr">
        <is>
          <t>KRONOBERGS LÄN</t>
        </is>
      </c>
      <c r="E5319" t="inlineStr">
        <is>
          <t>TINGSRYD</t>
        </is>
      </c>
      <c r="G5319" t="n">
        <v>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5276-2023</t>
        </is>
      </c>
      <c r="B5320" s="1" t="n">
        <v>44959.48619212963</v>
      </c>
      <c r="C5320" s="1" t="n">
        <v>45957</v>
      </c>
      <c r="D5320" t="inlineStr">
        <is>
          <t>KRONOBERGS LÄN</t>
        </is>
      </c>
      <c r="E5320" t="inlineStr">
        <is>
          <t>VÄXJÖ</t>
        </is>
      </c>
      <c r="G5320" t="n">
        <v>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20147-2021</t>
        </is>
      </c>
      <c r="B5321" s="1" t="n">
        <v>44314</v>
      </c>
      <c r="C5321" s="1" t="n">
        <v>45957</v>
      </c>
      <c r="D5321" t="inlineStr">
        <is>
          <t>KRONOBERGS LÄN</t>
        </is>
      </c>
      <c r="E5321" t="inlineStr">
        <is>
          <t>VÄXJÖ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618-2023</t>
        </is>
      </c>
      <c r="B5322" s="1" t="n">
        <v>44930.60707175926</v>
      </c>
      <c r="C5322" s="1" t="n">
        <v>45957</v>
      </c>
      <c r="D5322" t="inlineStr">
        <is>
          <t>KRONOBERGS LÄN</t>
        </is>
      </c>
      <c r="E5322" t="inlineStr">
        <is>
          <t>TINGSRYD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52190-2023</t>
        </is>
      </c>
      <c r="B5323" s="1" t="n">
        <v>45224</v>
      </c>
      <c r="C5323" s="1" t="n">
        <v>45957</v>
      </c>
      <c r="D5323" t="inlineStr">
        <is>
          <t>KRONOBERGS LÄN</t>
        </is>
      </c>
      <c r="E5323" t="inlineStr">
        <is>
          <t>UPPVIDINGE</t>
        </is>
      </c>
      <c r="F5323" t="inlineStr">
        <is>
          <t>Kommuner</t>
        </is>
      </c>
      <c r="G5323" t="n">
        <v>2.5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51915-2024</t>
        </is>
      </c>
      <c r="B5324" s="1" t="n">
        <v>45607.60341435186</v>
      </c>
      <c r="C5324" s="1" t="n">
        <v>45957</v>
      </c>
      <c r="D5324" t="inlineStr">
        <is>
          <t>KRONOBERGS LÄN</t>
        </is>
      </c>
      <c r="E5324" t="inlineStr">
        <is>
          <t>UPPVIDINGE</t>
        </is>
      </c>
      <c r="G5324" t="n">
        <v>0.7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49425-2024</t>
        </is>
      </c>
      <c r="B5325" s="1" t="n">
        <v>45595.77847222222</v>
      </c>
      <c r="C5325" s="1" t="n">
        <v>45957</v>
      </c>
      <c r="D5325" t="inlineStr">
        <is>
          <t>KRONOBERGS LÄN</t>
        </is>
      </c>
      <c r="E5325" t="inlineStr">
        <is>
          <t>UPPVIDINGE</t>
        </is>
      </c>
      <c r="G5325" t="n">
        <v>1.9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14493-2023</t>
        </is>
      </c>
      <c r="B5326" s="1" t="n">
        <v>45012</v>
      </c>
      <c r="C5326" s="1" t="n">
        <v>45957</v>
      </c>
      <c r="D5326" t="inlineStr">
        <is>
          <t>KRONOBERGS LÄN</t>
        </is>
      </c>
      <c r="E5326" t="inlineStr">
        <is>
          <t>LJUNGBY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15770-2025</t>
        </is>
      </c>
      <c r="B5327" s="1" t="n">
        <v>45748</v>
      </c>
      <c r="C5327" s="1" t="n">
        <v>45957</v>
      </c>
      <c r="D5327" t="inlineStr">
        <is>
          <t>KRONOBERGS LÄN</t>
        </is>
      </c>
      <c r="E5327" t="inlineStr">
        <is>
          <t>ÄLMHULT</t>
        </is>
      </c>
      <c r="G5327" t="n">
        <v>3.4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15820-2025</t>
        </is>
      </c>
      <c r="B5328" s="1" t="n">
        <v>45748.68826388889</v>
      </c>
      <c r="C5328" s="1" t="n">
        <v>45957</v>
      </c>
      <c r="D5328" t="inlineStr">
        <is>
          <t>KRONOBERGS LÄN</t>
        </is>
      </c>
      <c r="E5328" t="inlineStr">
        <is>
          <t>ALVESTA</t>
        </is>
      </c>
      <c r="G5328" t="n">
        <v>0.6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2952-2025</t>
        </is>
      </c>
      <c r="B5329" s="1" t="n">
        <v>45678.43621527778</v>
      </c>
      <c r="C5329" s="1" t="n">
        <v>45957</v>
      </c>
      <c r="D5329" t="inlineStr">
        <is>
          <t>KRONOBERGS LÄN</t>
        </is>
      </c>
      <c r="E5329" t="inlineStr">
        <is>
          <t>TINGSRYD</t>
        </is>
      </c>
      <c r="G5329" t="n">
        <v>1.6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48123-2023</t>
        </is>
      </c>
      <c r="B5330" s="1" t="n">
        <v>45205.35776620371</v>
      </c>
      <c r="C5330" s="1" t="n">
        <v>45957</v>
      </c>
      <c r="D5330" t="inlineStr">
        <is>
          <t>KRONOBERGS LÄN</t>
        </is>
      </c>
      <c r="E5330" t="inlineStr">
        <is>
          <t>UPPVIDINGE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12663-2024</t>
        </is>
      </c>
      <c r="B5331" s="1" t="n">
        <v>45384.37467592592</v>
      </c>
      <c r="C5331" s="1" t="n">
        <v>45957</v>
      </c>
      <c r="D5331" t="inlineStr">
        <is>
          <t>KRONOBERGS LÄN</t>
        </is>
      </c>
      <c r="E5331" t="inlineStr">
        <is>
          <t>TINGSRYD</t>
        </is>
      </c>
      <c r="G5331" t="n">
        <v>3.4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19399-2024</t>
        </is>
      </c>
      <c r="B5332" s="1" t="n">
        <v>45428</v>
      </c>
      <c r="C5332" s="1" t="n">
        <v>45957</v>
      </c>
      <c r="D5332" t="inlineStr">
        <is>
          <t>KRONOBERGS LÄN</t>
        </is>
      </c>
      <c r="E5332" t="inlineStr">
        <is>
          <t>MARKARYD</t>
        </is>
      </c>
      <c r="F5332" t="inlineStr">
        <is>
          <t>Kyrkan</t>
        </is>
      </c>
      <c r="G5332" t="n">
        <v>3.7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295-2021</t>
        </is>
      </c>
      <c r="B5333" s="1" t="n">
        <v>44200</v>
      </c>
      <c r="C5333" s="1" t="n">
        <v>45957</v>
      </c>
      <c r="D5333" t="inlineStr">
        <is>
          <t>KRONOBERGS LÄN</t>
        </is>
      </c>
      <c r="E5333" t="inlineStr">
        <is>
          <t>LESSEBO</t>
        </is>
      </c>
      <c r="G5333" t="n">
        <v>3.8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22581-2024</t>
        </is>
      </c>
      <c r="B5334" s="1" t="n">
        <v>45447</v>
      </c>
      <c r="C5334" s="1" t="n">
        <v>45957</v>
      </c>
      <c r="D5334" t="inlineStr">
        <is>
          <t>KRONOBERGS LÄN</t>
        </is>
      </c>
      <c r="E5334" t="inlineStr">
        <is>
          <t>TINGSRYD</t>
        </is>
      </c>
      <c r="G5334" t="n">
        <v>4.1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8081-2023</t>
        </is>
      </c>
      <c r="B5335" s="1" t="n">
        <v>44974.37488425926</v>
      </c>
      <c r="C5335" s="1" t="n">
        <v>45957</v>
      </c>
      <c r="D5335" t="inlineStr">
        <is>
          <t>KRONOBERGS LÄN</t>
        </is>
      </c>
      <c r="E5335" t="inlineStr">
        <is>
          <t>ALVESTA</t>
        </is>
      </c>
      <c r="G5335" t="n">
        <v>2.5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39992-2023</t>
        </is>
      </c>
      <c r="B5336" s="1" t="n">
        <v>45167</v>
      </c>
      <c r="C5336" s="1" t="n">
        <v>45957</v>
      </c>
      <c r="D5336" t="inlineStr">
        <is>
          <t>KRONOBERGS LÄN</t>
        </is>
      </c>
      <c r="E5336" t="inlineStr">
        <is>
          <t>TINGSRYD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22122-2022</t>
        </is>
      </c>
      <c r="B5337" s="1" t="n">
        <v>44712.32885416667</v>
      </c>
      <c r="C5337" s="1" t="n">
        <v>45957</v>
      </c>
      <c r="D5337" t="inlineStr">
        <is>
          <t>KRONOBERGS LÄN</t>
        </is>
      </c>
      <c r="E5337" t="inlineStr">
        <is>
          <t>LJUNGBY</t>
        </is>
      </c>
      <c r="G5337" t="n">
        <v>0.5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39659-2022</t>
        </is>
      </c>
      <c r="B5338" s="1" t="n">
        <v>44818.77861111111</v>
      </c>
      <c r="C5338" s="1" t="n">
        <v>45957</v>
      </c>
      <c r="D5338" t="inlineStr">
        <is>
          <t>KRONOBERGS LÄN</t>
        </is>
      </c>
      <c r="E5338" t="inlineStr">
        <is>
          <t>TINGSRYD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16910-2023</t>
        </is>
      </c>
      <c r="B5339" s="1" t="n">
        <v>45033</v>
      </c>
      <c r="C5339" s="1" t="n">
        <v>45957</v>
      </c>
      <c r="D5339" t="inlineStr">
        <is>
          <t>KRONOBERGS LÄN</t>
        </is>
      </c>
      <c r="E5339" t="inlineStr">
        <is>
          <t>LJUNGBY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30108-2022</t>
        </is>
      </c>
      <c r="B5340" s="1" t="n">
        <v>44757.40493055555</v>
      </c>
      <c r="C5340" s="1" t="n">
        <v>45957</v>
      </c>
      <c r="D5340" t="inlineStr">
        <is>
          <t>KRONOBERGS LÄN</t>
        </is>
      </c>
      <c r="E5340" t="inlineStr">
        <is>
          <t>UPPVIDINGE</t>
        </is>
      </c>
      <c r="F5340" t="inlineStr">
        <is>
          <t>Sveaskog</t>
        </is>
      </c>
      <c r="G5340" t="n">
        <v>1.9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44299-2023</t>
        </is>
      </c>
      <c r="B5341" s="1" t="n">
        <v>45188</v>
      </c>
      <c r="C5341" s="1" t="n">
        <v>45957</v>
      </c>
      <c r="D5341" t="inlineStr">
        <is>
          <t>KRONOBERGS LÄN</t>
        </is>
      </c>
      <c r="E5341" t="inlineStr">
        <is>
          <t>TINGSRYD</t>
        </is>
      </c>
      <c r="G5341" t="n">
        <v>1.6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626-2023</t>
        </is>
      </c>
      <c r="B5342" s="1" t="n">
        <v>44930.61665509259</v>
      </c>
      <c r="C5342" s="1" t="n">
        <v>45957</v>
      </c>
      <c r="D5342" t="inlineStr">
        <is>
          <t>KRONOBERGS LÄN</t>
        </is>
      </c>
      <c r="E5342" t="inlineStr">
        <is>
          <t>TINGSRYD</t>
        </is>
      </c>
      <c r="G5342" t="n">
        <v>1.1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8803-2024</t>
        </is>
      </c>
      <c r="B5343" s="1" t="n">
        <v>45356.64479166667</v>
      </c>
      <c r="C5343" s="1" t="n">
        <v>45957</v>
      </c>
      <c r="D5343" t="inlineStr">
        <is>
          <t>KRONOBERGS LÄN</t>
        </is>
      </c>
      <c r="E5343" t="inlineStr">
        <is>
          <t>ALVESTA</t>
        </is>
      </c>
      <c r="G5343" t="n">
        <v>0.7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8834-2024</t>
        </is>
      </c>
      <c r="B5344" s="1" t="n">
        <v>45356.68475694444</v>
      </c>
      <c r="C5344" s="1" t="n">
        <v>45957</v>
      </c>
      <c r="D5344" t="inlineStr">
        <is>
          <t>KRONOBERGS LÄN</t>
        </is>
      </c>
      <c r="E5344" t="inlineStr">
        <is>
          <t>LJUNGBY</t>
        </is>
      </c>
      <c r="G5344" t="n">
        <v>1.1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8604-2025</t>
        </is>
      </c>
      <c r="B5345" s="1" t="n">
        <v>45710.3284375</v>
      </c>
      <c r="C5345" s="1" t="n">
        <v>45957</v>
      </c>
      <c r="D5345" t="inlineStr">
        <is>
          <t>KRONOBERGS LÄN</t>
        </is>
      </c>
      <c r="E5345" t="inlineStr">
        <is>
          <t>TINGSRYD</t>
        </is>
      </c>
      <c r="G5345" t="n">
        <v>0.5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58010-2021</t>
        </is>
      </c>
      <c r="B5346" s="1" t="n">
        <v>44487</v>
      </c>
      <c r="C5346" s="1" t="n">
        <v>45957</v>
      </c>
      <c r="D5346" t="inlineStr">
        <is>
          <t>KRONOBERGS LÄN</t>
        </is>
      </c>
      <c r="E5346" t="inlineStr">
        <is>
          <t>LJUNGBY</t>
        </is>
      </c>
      <c r="G5346" t="n">
        <v>3.1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42209-2024</t>
        </is>
      </c>
      <c r="B5347" s="1" t="n">
        <v>45562.53543981481</v>
      </c>
      <c r="C5347" s="1" t="n">
        <v>45957</v>
      </c>
      <c r="D5347" t="inlineStr">
        <is>
          <t>KRONOBERGS LÄN</t>
        </is>
      </c>
      <c r="E5347" t="inlineStr">
        <is>
          <t>LJUNGBY</t>
        </is>
      </c>
      <c r="F5347" t="inlineStr">
        <is>
          <t>Sveaskog</t>
        </is>
      </c>
      <c r="G5347" t="n">
        <v>6.8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5179-2025</t>
        </is>
      </c>
      <c r="B5348" s="1" t="n">
        <v>45691</v>
      </c>
      <c r="C5348" s="1" t="n">
        <v>45957</v>
      </c>
      <c r="D5348" t="inlineStr">
        <is>
          <t>KRONOBERGS LÄN</t>
        </is>
      </c>
      <c r="E5348" t="inlineStr">
        <is>
          <t>VÄXJÖ</t>
        </is>
      </c>
      <c r="G5348" t="n">
        <v>2.8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4824-2025</t>
        </is>
      </c>
      <c r="B5349" s="1" t="n">
        <v>45688</v>
      </c>
      <c r="C5349" s="1" t="n">
        <v>45957</v>
      </c>
      <c r="D5349" t="inlineStr">
        <is>
          <t>KRONOBERGS LÄN</t>
        </is>
      </c>
      <c r="E5349" t="inlineStr">
        <is>
          <t>UPPVIDINGE</t>
        </is>
      </c>
      <c r="F5349" t="inlineStr">
        <is>
          <t>Sveaskog</t>
        </is>
      </c>
      <c r="G5349" t="n">
        <v>61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4830-2025</t>
        </is>
      </c>
      <c r="B5350" s="1" t="n">
        <v>45688.64506944444</v>
      </c>
      <c r="C5350" s="1" t="n">
        <v>45957</v>
      </c>
      <c r="D5350" t="inlineStr">
        <is>
          <t>KRONOBERGS LÄN</t>
        </is>
      </c>
      <c r="E5350" t="inlineStr">
        <is>
          <t>UPPVIDINGE</t>
        </is>
      </c>
      <c r="F5350" t="inlineStr">
        <is>
          <t>Sveaskog</t>
        </is>
      </c>
      <c r="G5350" t="n">
        <v>5.8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38547-2024</t>
        </is>
      </c>
      <c r="B5351" s="1" t="n">
        <v>45546.60894675926</v>
      </c>
      <c r="C5351" s="1" t="n">
        <v>45957</v>
      </c>
      <c r="D5351" t="inlineStr">
        <is>
          <t>KRONOBERGS LÄN</t>
        </is>
      </c>
      <c r="E5351" t="inlineStr">
        <is>
          <t>UPPVIDINGE</t>
        </is>
      </c>
      <c r="G5351" t="n">
        <v>3.8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38641-2024</t>
        </is>
      </c>
      <c r="B5352" s="1" t="n">
        <v>45546.85369212963</v>
      </c>
      <c r="C5352" s="1" t="n">
        <v>45957</v>
      </c>
      <c r="D5352" t="inlineStr">
        <is>
          <t>KRONOBERGS LÄN</t>
        </is>
      </c>
      <c r="E5352" t="inlineStr">
        <is>
          <t>LJUNGBY</t>
        </is>
      </c>
      <c r="F5352" t="inlineStr">
        <is>
          <t>Sveaskog</t>
        </is>
      </c>
      <c r="G5352" t="n">
        <v>1.8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49000-2024</t>
        </is>
      </c>
      <c r="B5353" s="1" t="n">
        <v>45594.49349537037</v>
      </c>
      <c r="C5353" s="1" t="n">
        <v>45957</v>
      </c>
      <c r="D5353" t="inlineStr">
        <is>
          <t>KRONOBERGS LÄN</t>
        </is>
      </c>
      <c r="E5353" t="inlineStr">
        <is>
          <t>VÄXJÖ</t>
        </is>
      </c>
      <c r="F5353" t="inlineStr">
        <is>
          <t>Sveaskog</t>
        </is>
      </c>
      <c r="G5353" t="n">
        <v>2.8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49003-2024</t>
        </is>
      </c>
      <c r="B5354" s="1" t="n">
        <v>45594.49548611111</v>
      </c>
      <c r="C5354" s="1" t="n">
        <v>45957</v>
      </c>
      <c r="D5354" t="inlineStr">
        <is>
          <t>KRONOBERGS LÄN</t>
        </is>
      </c>
      <c r="E5354" t="inlineStr">
        <is>
          <t>VÄXJÖ</t>
        </is>
      </c>
      <c r="F5354" t="inlineStr">
        <is>
          <t>Sveaskog</t>
        </is>
      </c>
      <c r="G5354" t="n">
        <v>0.7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49006-2024</t>
        </is>
      </c>
      <c r="B5355" s="1" t="n">
        <v>45594.49760416667</v>
      </c>
      <c r="C5355" s="1" t="n">
        <v>45957</v>
      </c>
      <c r="D5355" t="inlineStr">
        <is>
          <t>KRONOBERGS LÄN</t>
        </is>
      </c>
      <c r="E5355" t="inlineStr">
        <is>
          <t>VÄXJÖ</t>
        </is>
      </c>
      <c r="F5355" t="inlineStr">
        <is>
          <t>Sveaskog</t>
        </is>
      </c>
      <c r="G5355" t="n">
        <v>0.5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51463-2024</t>
        </is>
      </c>
      <c r="B5356" s="1" t="n">
        <v>45604.4971412037</v>
      </c>
      <c r="C5356" s="1" t="n">
        <v>45957</v>
      </c>
      <c r="D5356" t="inlineStr">
        <is>
          <t>KRONOBERGS LÄN</t>
        </is>
      </c>
      <c r="E5356" t="inlineStr">
        <is>
          <t>LJUNGBY</t>
        </is>
      </c>
      <c r="G5356" t="n">
        <v>0.8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25297-2023</t>
        </is>
      </c>
      <c r="B5357" s="1" t="n">
        <v>45086.88280092592</v>
      </c>
      <c r="C5357" s="1" t="n">
        <v>45957</v>
      </c>
      <c r="D5357" t="inlineStr">
        <is>
          <t>KRONOBERGS LÄN</t>
        </is>
      </c>
      <c r="E5357" t="inlineStr">
        <is>
          <t>ALVESTA</t>
        </is>
      </c>
      <c r="G5357" t="n">
        <v>0.9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9276-2022</t>
        </is>
      </c>
      <c r="B5358" s="1" t="n">
        <v>44616.44555555555</v>
      </c>
      <c r="C5358" s="1" t="n">
        <v>45957</v>
      </c>
      <c r="D5358" t="inlineStr">
        <is>
          <t>KRONOBERGS LÄN</t>
        </is>
      </c>
      <c r="E5358" t="inlineStr">
        <is>
          <t>MARKARYD</t>
        </is>
      </c>
      <c r="G5358" t="n">
        <v>3.4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48682-2024</t>
        </is>
      </c>
      <c r="B5359" s="1" t="n">
        <v>45593</v>
      </c>
      <c r="C5359" s="1" t="n">
        <v>45957</v>
      </c>
      <c r="D5359" t="inlineStr">
        <is>
          <t>KRONOBERGS LÄN</t>
        </is>
      </c>
      <c r="E5359" t="inlineStr">
        <is>
          <t>LJUNGBY</t>
        </is>
      </c>
      <c r="F5359" t="inlineStr">
        <is>
          <t>Sveaskog</t>
        </is>
      </c>
      <c r="G5359" t="n">
        <v>0.5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42752-2021</t>
        </is>
      </c>
      <c r="B5360" s="1" t="n">
        <v>44428.62381944444</v>
      </c>
      <c r="C5360" s="1" t="n">
        <v>45957</v>
      </c>
      <c r="D5360" t="inlineStr">
        <is>
          <t>KRONOBERGS LÄN</t>
        </is>
      </c>
      <c r="E5360" t="inlineStr">
        <is>
          <t>TINGSRYD</t>
        </is>
      </c>
      <c r="G5360" t="n">
        <v>0.7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73140-2021</t>
        </is>
      </c>
      <c r="B5361" s="1" t="n">
        <v>44550.48967592593</v>
      </c>
      <c r="C5361" s="1" t="n">
        <v>45957</v>
      </c>
      <c r="D5361" t="inlineStr">
        <is>
          <t>KRONOBERGS LÄN</t>
        </is>
      </c>
      <c r="E5361" t="inlineStr">
        <is>
          <t>LESSEBO</t>
        </is>
      </c>
      <c r="G5361" t="n">
        <v>1.1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58694-2022</t>
        </is>
      </c>
      <c r="B5362" s="1" t="n">
        <v>44902</v>
      </c>
      <c r="C5362" s="1" t="n">
        <v>45957</v>
      </c>
      <c r="D5362" t="inlineStr">
        <is>
          <t>KRONOBERGS LÄN</t>
        </is>
      </c>
      <c r="E5362" t="inlineStr">
        <is>
          <t>MARKARYD</t>
        </is>
      </c>
      <c r="G5362" t="n">
        <v>2.6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38390-2022</t>
        </is>
      </c>
      <c r="B5363" s="1" t="n">
        <v>44812</v>
      </c>
      <c r="C5363" s="1" t="n">
        <v>45957</v>
      </c>
      <c r="D5363" t="inlineStr">
        <is>
          <t>KRONOBERGS LÄN</t>
        </is>
      </c>
      <c r="E5363" t="inlineStr">
        <is>
          <t>VÄXJÖ</t>
        </is>
      </c>
      <c r="G5363" t="n">
        <v>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53713-2023</t>
        </is>
      </c>
      <c r="B5364" s="1" t="n">
        <v>45230.68856481482</v>
      </c>
      <c r="C5364" s="1" t="n">
        <v>45957</v>
      </c>
      <c r="D5364" t="inlineStr">
        <is>
          <t>KRONOBERGS LÄN</t>
        </is>
      </c>
      <c r="E5364" t="inlineStr">
        <is>
          <t>VÄXJÖ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20616-2024</t>
        </is>
      </c>
      <c r="B5365" s="1" t="n">
        <v>45436.45458333333</v>
      </c>
      <c r="C5365" s="1" t="n">
        <v>45957</v>
      </c>
      <c r="D5365" t="inlineStr">
        <is>
          <t>KRONOBERGS LÄN</t>
        </is>
      </c>
      <c r="E5365" t="inlineStr">
        <is>
          <t>ALVESTA</t>
        </is>
      </c>
      <c r="G5365" t="n">
        <v>3.5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11587-2022</t>
        </is>
      </c>
      <c r="B5366" s="1" t="n">
        <v>44631.53199074074</v>
      </c>
      <c r="C5366" s="1" t="n">
        <v>45957</v>
      </c>
      <c r="D5366" t="inlineStr">
        <is>
          <t>KRONOBERGS LÄN</t>
        </is>
      </c>
      <c r="E5366" t="inlineStr">
        <is>
          <t>TINGSRYD</t>
        </is>
      </c>
      <c r="G5366" t="n">
        <v>1.5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11128-2021</t>
        </is>
      </c>
      <c r="B5367" s="1" t="n">
        <v>44260</v>
      </c>
      <c r="C5367" s="1" t="n">
        <v>45957</v>
      </c>
      <c r="D5367" t="inlineStr">
        <is>
          <t>KRONOBERGS LÄN</t>
        </is>
      </c>
      <c r="E5367" t="inlineStr">
        <is>
          <t>LJUNGBY</t>
        </is>
      </c>
      <c r="G5367" t="n">
        <v>4.1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52859-2023</t>
        </is>
      </c>
      <c r="B5368" s="1" t="n">
        <v>45226.44923611111</v>
      </c>
      <c r="C5368" s="1" t="n">
        <v>45957</v>
      </c>
      <c r="D5368" t="inlineStr">
        <is>
          <t>KRONOBERGS LÄN</t>
        </is>
      </c>
      <c r="E5368" t="inlineStr">
        <is>
          <t>LJUNGBY</t>
        </is>
      </c>
      <c r="G5368" t="n">
        <v>0.3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52865-2023</t>
        </is>
      </c>
      <c r="B5369" s="1" t="n">
        <v>45226.45565972223</v>
      </c>
      <c r="C5369" s="1" t="n">
        <v>45957</v>
      </c>
      <c r="D5369" t="inlineStr">
        <is>
          <t>KRONOBERGS LÄN</t>
        </is>
      </c>
      <c r="E5369" t="inlineStr">
        <is>
          <t>UPPVIDINGE</t>
        </is>
      </c>
      <c r="G5369" t="n">
        <v>0.9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14425-2023</t>
        </is>
      </c>
      <c r="B5370" s="1" t="n">
        <v>45012.55712962963</v>
      </c>
      <c r="C5370" s="1" t="n">
        <v>45957</v>
      </c>
      <c r="D5370" t="inlineStr">
        <is>
          <t>KRONOBERGS LÄN</t>
        </is>
      </c>
      <c r="E5370" t="inlineStr">
        <is>
          <t>ÄLMHULT</t>
        </is>
      </c>
      <c r="G5370" t="n">
        <v>0.5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45100-2022</t>
        </is>
      </c>
      <c r="B5371" s="1" t="n">
        <v>44843.29655092592</v>
      </c>
      <c r="C5371" s="1" t="n">
        <v>45957</v>
      </c>
      <c r="D5371" t="inlineStr">
        <is>
          <t>KRONOBERGS LÄN</t>
        </is>
      </c>
      <c r="E5371" t="inlineStr">
        <is>
          <t>VÄXJÖ</t>
        </is>
      </c>
      <c r="G5371" t="n">
        <v>1.3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44649-2025</t>
        </is>
      </c>
      <c r="B5372" s="1" t="n">
        <v>45917</v>
      </c>
      <c r="C5372" s="1" t="n">
        <v>45957</v>
      </c>
      <c r="D5372" t="inlineStr">
        <is>
          <t>KRONOBERGS LÄN</t>
        </is>
      </c>
      <c r="E5372" t="inlineStr">
        <is>
          <t>ALVESTA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44655-2025</t>
        </is>
      </c>
      <c r="B5373" s="1" t="n">
        <v>45917</v>
      </c>
      <c r="C5373" s="1" t="n">
        <v>45957</v>
      </c>
      <c r="D5373" t="inlineStr">
        <is>
          <t>KRONOBERGS LÄN</t>
        </is>
      </c>
      <c r="E5373" t="inlineStr">
        <is>
          <t>ALVESTA</t>
        </is>
      </c>
      <c r="G5373" t="n">
        <v>0.5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44657-2025</t>
        </is>
      </c>
      <c r="B5374" s="1" t="n">
        <v>45917</v>
      </c>
      <c r="C5374" s="1" t="n">
        <v>45957</v>
      </c>
      <c r="D5374" t="inlineStr">
        <is>
          <t>KRONOBERGS LÄN</t>
        </is>
      </c>
      <c r="E5374" t="inlineStr">
        <is>
          <t>ALVESTA</t>
        </is>
      </c>
      <c r="G5374" t="n">
        <v>1.8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44664-2025</t>
        </is>
      </c>
      <c r="B5375" s="1" t="n">
        <v>45917</v>
      </c>
      <c r="C5375" s="1" t="n">
        <v>45957</v>
      </c>
      <c r="D5375" t="inlineStr">
        <is>
          <t>KRONOBERGS LÄN</t>
        </is>
      </c>
      <c r="E5375" t="inlineStr">
        <is>
          <t>ALVESTA</t>
        </is>
      </c>
      <c r="G5375" t="n">
        <v>0.7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56952-2022</t>
        </is>
      </c>
      <c r="B5376" s="1" t="n">
        <v>44894</v>
      </c>
      <c r="C5376" s="1" t="n">
        <v>45957</v>
      </c>
      <c r="D5376" t="inlineStr">
        <is>
          <t>KRONOBERGS LÄN</t>
        </is>
      </c>
      <c r="E5376" t="inlineStr">
        <is>
          <t>VÄXJÖ</t>
        </is>
      </c>
      <c r="G5376" t="n">
        <v>1.8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57988-2022</t>
        </is>
      </c>
      <c r="B5377" s="1" t="n">
        <v>44900</v>
      </c>
      <c r="C5377" s="1" t="n">
        <v>45957</v>
      </c>
      <c r="D5377" t="inlineStr">
        <is>
          <t>KRONOBERGS LÄN</t>
        </is>
      </c>
      <c r="E5377" t="inlineStr">
        <is>
          <t>TINGSRYD</t>
        </is>
      </c>
      <c r="G5377" t="n">
        <v>2.4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9821-2025</t>
        </is>
      </c>
      <c r="B5378" s="1" t="n">
        <v>45715</v>
      </c>
      <c r="C5378" s="1" t="n">
        <v>45957</v>
      </c>
      <c r="D5378" t="inlineStr">
        <is>
          <t>KRONOBERGS LÄN</t>
        </is>
      </c>
      <c r="E5378" t="inlineStr">
        <is>
          <t>VÄXJÖ</t>
        </is>
      </c>
      <c r="F5378" t="inlineStr">
        <is>
          <t>Kyrkan</t>
        </is>
      </c>
      <c r="G5378" t="n">
        <v>0.8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9879-2025</t>
        </is>
      </c>
      <c r="B5379" s="1" t="n">
        <v>45716.65282407407</v>
      </c>
      <c r="C5379" s="1" t="n">
        <v>45957</v>
      </c>
      <c r="D5379" t="inlineStr">
        <is>
          <t>KRONOBERGS LÄN</t>
        </is>
      </c>
      <c r="E5379" t="inlineStr">
        <is>
          <t>ÄLMHULT</t>
        </is>
      </c>
      <c r="F5379" t="inlineStr">
        <is>
          <t>Sveaskog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30340-2022</t>
        </is>
      </c>
      <c r="B5380" s="1" t="n">
        <v>44760.48230324074</v>
      </c>
      <c r="C5380" s="1" t="n">
        <v>45957</v>
      </c>
      <c r="D5380" t="inlineStr">
        <is>
          <t>KRONOBERGS LÄN</t>
        </is>
      </c>
      <c r="E5380" t="inlineStr">
        <is>
          <t>MARKARYD</t>
        </is>
      </c>
      <c r="G5380" t="n">
        <v>0.8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23784-2024</t>
        </is>
      </c>
      <c r="B5381" s="1" t="n">
        <v>45455</v>
      </c>
      <c r="C5381" s="1" t="n">
        <v>45957</v>
      </c>
      <c r="D5381" t="inlineStr">
        <is>
          <t>KRONOBERGS LÄN</t>
        </is>
      </c>
      <c r="E5381" t="inlineStr">
        <is>
          <t>UPPVIDINGE</t>
        </is>
      </c>
      <c r="F5381" t="inlineStr">
        <is>
          <t>Kyrkan</t>
        </is>
      </c>
      <c r="G5381" t="n">
        <v>2.1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2426-2023</t>
        </is>
      </c>
      <c r="B5382" s="1" t="n">
        <v>44943</v>
      </c>
      <c r="C5382" s="1" t="n">
        <v>45957</v>
      </c>
      <c r="D5382" t="inlineStr">
        <is>
          <t>KRONOBERGS LÄN</t>
        </is>
      </c>
      <c r="E5382" t="inlineStr">
        <is>
          <t>ALVESTA</t>
        </is>
      </c>
      <c r="G5382" t="n">
        <v>3.1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18575-2022</t>
        </is>
      </c>
      <c r="B5383" s="1" t="n">
        <v>44687.24572916667</v>
      </c>
      <c r="C5383" s="1" t="n">
        <v>45957</v>
      </c>
      <c r="D5383" t="inlineStr">
        <is>
          <t>KRONOBERGS LÄN</t>
        </is>
      </c>
      <c r="E5383" t="inlineStr">
        <is>
          <t>ÄLMHULT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40015-2024</t>
        </is>
      </c>
      <c r="B5384" s="1" t="n">
        <v>45553.65998842593</v>
      </c>
      <c r="C5384" s="1" t="n">
        <v>45957</v>
      </c>
      <c r="D5384" t="inlineStr">
        <is>
          <t>KRONOBERGS LÄN</t>
        </is>
      </c>
      <c r="E5384" t="inlineStr">
        <is>
          <t>TINGSRYD</t>
        </is>
      </c>
      <c r="F5384" t="inlineStr">
        <is>
          <t>Sveaskog</t>
        </is>
      </c>
      <c r="G5384" t="n">
        <v>8.699999999999999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54290-2023</t>
        </is>
      </c>
      <c r="B5385" s="1" t="n">
        <v>45232.72258101852</v>
      </c>
      <c r="C5385" s="1" t="n">
        <v>45957</v>
      </c>
      <c r="D5385" t="inlineStr">
        <is>
          <t>KRONOBERGS LÄN</t>
        </is>
      </c>
      <c r="E5385" t="inlineStr">
        <is>
          <t>UPPVIDINGE</t>
        </is>
      </c>
      <c r="G5385" t="n">
        <v>1.6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43320-2024</t>
        </is>
      </c>
      <c r="B5386" s="1" t="n">
        <v>45568.46310185185</v>
      </c>
      <c r="C5386" s="1" t="n">
        <v>45957</v>
      </c>
      <c r="D5386" t="inlineStr">
        <is>
          <t>KRONOBERGS LÄN</t>
        </is>
      </c>
      <c r="E5386" t="inlineStr">
        <is>
          <t>LJUNGBY</t>
        </is>
      </c>
      <c r="G5386" t="n">
        <v>1.2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10273-2021</t>
        </is>
      </c>
      <c r="B5387" s="1" t="n">
        <v>44256</v>
      </c>
      <c r="C5387" s="1" t="n">
        <v>45957</v>
      </c>
      <c r="D5387" t="inlineStr">
        <is>
          <t>KRONOBERGS LÄN</t>
        </is>
      </c>
      <c r="E5387" t="inlineStr">
        <is>
          <t>ALVESTA</t>
        </is>
      </c>
      <c r="G5387" t="n">
        <v>1.8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44667-2025</t>
        </is>
      </c>
      <c r="B5388" s="1" t="n">
        <v>45917</v>
      </c>
      <c r="C5388" s="1" t="n">
        <v>45957</v>
      </c>
      <c r="D5388" t="inlineStr">
        <is>
          <t>KRONOBERGS LÄN</t>
        </is>
      </c>
      <c r="E5388" t="inlineStr">
        <is>
          <t>ALVESTA</t>
        </is>
      </c>
      <c r="G5388" t="n">
        <v>1.7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29335-2024</t>
        </is>
      </c>
      <c r="B5389" s="1" t="n">
        <v>45483</v>
      </c>
      <c r="C5389" s="1" t="n">
        <v>45957</v>
      </c>
      <c r="D5389" t="inlineStr">
        <is>
          <t>KRONOBERGS LÄN</t>
        </is>
      </c>
      <c r="E5389" t="inlineStr">
        <is>
          <t>LJUNGBY</t>
        </is>
      </c>
      <c r="G5389" t="n">
        <v>3.8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27685-2024</t>
        </is>
      </c>
      <c r="B5390" s="1" t="n">
        <v>45474</v>
      </c>
      <c r="C5390" s="1" t="n">
        <v>45957</v>
      </c>
      <c r="D5390" t="inlineStr">
        <is>
          <t>KRONOBERGS LÄN</t>
        </is>
      </c>
      <c r="E5390" t="inlineStr">
        <is>
          <t>TINGSRYD</t>
        </is>
      </c>
      <c r="G5390" t="n">
        <v>0.8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27630-2023</t>
        </is>
      </c>
      <c r="B5391" s="1" t="n">
        <v>45097</v>
      </c>
      <c r="C5391" s="1" t="n">
        <v>45957</v>
      </c>
      <c r="D5391" t="inlineStr">
        <is>
          <t>KRONOBERGS LÄN</t>
        </is>
      </c>
      <c r="E5391" t="inlineStr">
        <is>
          <t>LJUNGBY</t>
        </is>
      </c>
      <c r="G5391" t="n">
        <v>1.8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43403-2024</t>
        </is>
      </c>
      <c r="B5392" s="1" t="n">
        <v>45568</v>
      </c>
      <c r="C5392" s="1" t="n">
        <v>45957</v>
      </c>
      <c r="D5392" t="inlineStr">
        <is>
          <t>KRONOBERGS LÄN</t>
        </is>
      </c>
      <c r="E5392" t="inlineStr">
        <is>
          <t>UPPVIDINGE</t>
        </is>
      </c>
      <c r="F5392" t="inlineStr">
        <is>
          <t>Kyrkan</t>
        </is>
      </c>
      <c r="G5392" t="n">
        <v>5.8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57118-2023</t>
        </is>
      </c>
      <c r="B5393" s="1" t="n">
        <v>45245</v>
      </c>
      <c r="C5393" s="1" t="n">
        <v>45957</v>
      </c>
      <c r="D5393" t="inlineStr">
        <is>
          <t>KRONOBERGS LÄN</t>
        </is>
      </c>
      <c r="E5393" t="inlineStr">
        <is>
          <t>ALVESTA</t>
        </is>
      </c>
      <c r="G5393" t="n">
        <v>1.1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57159-2023</t>
        </is>
      </c>
      <c r="B5394" s="1" t="n">
        <v>45245</v>
      </c>
      <c r="C5394" s="1" t="n">
        <v>45957</v>
      </c>
      <c r="D5394" t="inlineStr">
        <is>
          <t>KRONOBERGS LÄN</t>
        </is>
      </c>
      <c r="E5394" t="inlineStr">
        <is>
          <t>VÄXJÖ</t>
        </is>
      </c>
      <c r="G5394" t="n">
        <v>5.3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4165-2025</t>
        </is>
      </c>
      <c r="B5395" s="1" t="n">
        <v>45685.41125</v>
      </c>
      <c r="C5395" s="1" t="n">
        <v>45957</v>
      </c>
      <c r="D5395" t="inlineStr">
        <is>
          <t>KRONOBERGS LÄN</t>
        </is>
      </c>
      <c r="E5395" t="inlineStr">
        <is>
          <t>TINGSRYD</t>
        </is>
      </c>
      <c r="G5395" t="n">
        <v>1.2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60539-2022</t>
        </is>
      </c>
      <c r="B5396" s="1" t="n">
        <v>44904</v>
      </c>
      <c r="C5396" s="1" t="n">
        <v>45957</v>
      </c>
      <c r="D5396" t="inlineStr">
        <is>
          <t>KRONOBERGS LÄN</t>
        </is>
      </c>
      <c r="E5396" t="inlineStr">
        <is>
          <t>TINGSRYD</t>
        </is>
      </c>
      <c r="G5396" t="n">
        <v>2.2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61119-2023</t>
        </is>
      </c>
      <c r="B5397" s="1" t="n">
        <v>45261</v>
      </c>
      <c r="C5397" s="1" t="n">
        <v>45957</v>
      </c>
      <c r="D5397" t="inlineStr">
        <is>
          <t>KRONOBERGS LÄN</t>
        </is>
      </c>
      <c r="E5397" t="inlineStr">
        <is>
          <t>TINGSRYD</t>
        </is>
      </c>
      <c r="G5397" t="n">
        <v>1.1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63553-2023</t>
        </is>
      </c>
      <c r="B5398" s="1" t="n">
        <v>45275.35230324074</v>
      </c>
      <c r="C5398" s="1" t="n">
        <v>45957</v>
      </c>
      <c r="D5398" t="inlineStr">
        <is>
          <t>KRONOBERGS LÄN</t>
        </is>
      </c>
      <c r="E5398" t="inlineStr">
        <is>
          <t>UPPVIDINGE</t>
        </is>
      </c>
      <c r="G5398" t="n">
        <v>1.5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27533-2023</t>
        </is>
      </c>
      <c r="B5399" s="1" t="n">
        <v>45097</v>
      </c>
      <c r="C5399" s="1" t="n">
        <v>45957</v>
      </c>
      <c r="D5399" t="inlineStr">
        <is>
          <t>KRONOBERGS LÄN</t>
        </is>
      </c>
      <c r="E5399" t="inlineStr">
        <is>
          <t>LJUNGBY</t>
        </is>
      </c>
      <c r="G5399" t="n">
        <v>0.8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27574-2023</t>
        </is>
      </c>
      <c r="B5400" s="1" t="n">
        <v>45097</v>
      </c>
      <c r="C5400" s="1" t="n">
        <v>45957</v>
      </c>
      <c r="D5400" t="inlineStr">
        <is>
          <t>KRONOBERGS LÄN</t>
        </is>
      </c>
      <c r="E5400" t="inlineStr">
        <is>
          <t>LESSEBO</t>
        </is>
      </c>
      <c r="G5400" t="n">
        <v>0.5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5943-2023</t>
        </is>
      </c>
      <c r="B5401" s="1" t="n">
        <v>44963.87038194444</v>
      </c>
      <c r="C5401" s="1" t="n">
        <v>45957</v>
      </c>
      <c r="D5401" t="inlineStr">
        <is>
          <t>KRONOBERGS LÄN</t>
        </is>
      </c>
      <c r="E5401" t="inlineStr">
        <is>
          <t>VÄXJÖ</t>
        </is>
      </c>
      <c r="G5401" t="n">
        <v>0.8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53341-2021</t>
        </is>
      </c>
      <c r="B5402" s="1" t="n">
        <v>44468</v>
      </c>
      <c r="C5402" s="1" t="n">
        <v>45957</v>
      </c>
      <c r="D5402" t="inlineStr">
        <is>
          <t>KRONOBERGS LÄN</t>
        </is>
      </c>
      <c r="E5402" t="inlineStr">
        <is>
          <t>LESSEBO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57365-2023</t>
        </is>
      </c>
      <c r="B5403" s="1" t="n">
        <v>45245.7939699074</v>
      </c>
      <c r="C5403" s="1" t="n">
        <v>45957</v>
      </c>
      <c r="D5403" t="inlineStr">
        <is>
          <t>KRONOBERGS LÄN</t>
        </is>
      </c>
      <c r="E5403" t="inlineStr">
        <is>
          <t>UPPVIDINGE</t>
        </is>
      </c>
      <c r="G5403" t="n">
        <v>1.4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29382-2023</t>
        </is>
      </c>
      <c r="B5404" s="1" t="n">
        <v>45106.39899305555</v>
      </c>
      <c r="C5404" s="1" t="n">
        <v>45957</v>
      </c>
      <c r="D5404" t="inlineStr">
        <is>
          <t>KRONOBERGS LÄN</t>
        </is>
      </c>
      <c r="E5404" t="inlineStr">
        <is>
          <t>ALVESTA</t>
        </is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18931-2025</t>
        </is>
      </c>
      <c r="B5405" s="1" t="n">
        <v>45764.48725694444</v>
      </c>
      <c r="C5405" s="1" t="n">
        <v>45957</v>
      </c>
      <c r="D5405" t="inlineStr">
        <is>
          <t>KRONOBERGS LÄN</t>
        </is>
      </c>
      <c r="E5405" t="inlineStr">
        <is>
          <t>LJUNGBY</t>
        </is>
      </c>
      <c r="G5405" t="n">
        <v>1.5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21868-2022</t>
        </is>
      </c>
      <c r="B5406" s="1" t="n">
        <v>44711.38688657407</v>
      </c>
      <c r="C5406" s="1" t="n">
        <v>45957</v>
      </c>
      <c r="D5406" t="inlineStr">
        <is>
          <t>KRONOBERGS LÄN</t>
        </is>
      </c>
      <c r="E5406" t="inlineStr">
        <is>
          <t>UPPVIDINGE</t>
        </is>
      </c>
      <c r="G5406" t="n">
        <v>2.2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6843-2023</t>
        </is>
      </c>
      <c r="B5407" s="1" t="n">
        <v>44967.4374537037</v>
      </c>
      <c r="C5407" s="1" t="n">
        <v>45957</v>
      </c>
      <c r="D5407" t="inlineStr">
        <is>
          <t>KRONOBERGS LÄN</t>
        </is>
      </c>
      <c r="E5407" t="inlineStr">
        <is>
          <t>TINGSRYD</t>
        </is>
      </c>
      <c r="G5407" t="n">
        <v>0.1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6881-2023</t>
        </is>
      </c>
      <c r="B5408" s="1" t="n">
        <v>44967.48209490741</v>
      </c>
      <c r="C5408" s="1" t="n">
        <v>45957</v>
      </c>
      <c r="D5408" t="inlineStr">
        <is>
          <t>KRONOBERGS LÄN</t>
        </is>
      </c>
      <c r="E5408" t="inlineStr">
        <is>
          <t>TINGSRYD</t>
        </is>
      </c>
      <c r="F5408" t="inlineStr">
        <is>
          <t>Övriga Aktiebolag</t>
        </is>
      </c>
      <c r="G5408" t="n">
        <v>3.8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24333-2023</t>
        </is>
      </c>
      <c r="B5409" s="1" t="n">
        <v>45081</v>
      </c>
      <c r="C5409" s="1" t="n">
        <v>45957</v>
      </c>
      <c r="D5409" t="inlineStr">
        <is>
          <t>KRONOBERGS LÄN</t>
        </is>
      </c>
      <c r="E5409" t="inlineStr">
        <is>
          <t>ÄLMHULT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24334-2023</t>
        </is>
      </c>
      <c r="B5410" s="1" t="n">
        <v>45081</v>
      </c>
      <c r="C5410" s="1" t="n">
        <v>45957</v>
      </c>
      <c r="D5410" t="inlineStr">
        <is>
          <t>KRONOBERGS LÄN</t>
        </is>
      </c>
      <c r="E5410" t="inlineStr">
        <is>
          <t>LJUNGBY</t>
        </is>
      </c>
      <c r="G5410" t="n">
        <v>0.5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11650-2023</t>
        </is>
      </c>
      <c r="B5411" s="1" t="n">
        <v>44994.45623842593</v>
      </c>
      <c r="C5411" s="1" t="n">
        <v>45957</v>
      </c>
      <c r="D5411" t="inlineStr">
        <is>
          <t>KRONOBERGS LÄN</t>
        </is>
      </c>
      <c r="E5411" t="inlineStr">
        <is>
          <t>UPPVIDINGE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66182-2021</t>
        </is>
      </c>
      <c r="B5412" s="1" t="n">
        <v>44518.26645833333</v>
      </c>
      <c r="C5412" s="1" t="n">
        <v>45957</v>
      </c>
      <c r="D5412" t="inlineStr">
        <is>
          <t>KRONOBERGS LÄN</t>
        </is>
      </c>
      <c r="E5412" t="inlineStr">
        <is>
          <t>TINGSRYD</t>
        </is>
      </c>
      <c r="G5412" t="n">
        <v>1.4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60531-2022</t>
        </is>
      </c>
      <c r="B5413" s="1" t="n">
        <v>44911</v>
      </c>
      <c r="C5413" s="1" t="n">
        <v>45957</v>
      </c>
      <c r="D5413" t="inlineStr">
        <is>
          <t>KRONOBERGS LÄN</t>
        </is>
      </c>
      <c r="E5413" t="inlineStr">
        <is>
          <t>MARKARYD</t>
        </is>
      </c>
      <c r="G5413" t="n">
        <v>0.8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7891-2023</t>
        </is>
      </c>
      <c r="B5414" s="1" t="n">
        <v>44973.60834490741</v>
      </c>
      <c r="C5414" s="1" t="n">
        <v>45957</v>
      </c>
      <c r="D5414" t="inlineStr">
        <is>
          <t>KRONOBERGS LÄN</t>
        </is>
      </c>
      <c r="E5414" t="inlineStr">
        <is>
          <t>MARKARYD</t>
        </is>
      </c>
      <c r="G5414" t="n">
        <v>1.2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62090-2020</t>
        </is>
      </c>
      <c r="B5415" s="1" t="n">
        <v>44159</v>
      </c>
      <c r="C5415" s="1" t="n">
        <v>45957</v>
      </c>
      <c r="D5415" t="inlineStr">
        <is>
          <t>KRONOBERGS LÄN</t>
        </is>
      </c>
      <c r="E5415" t="inlineStr">
        <is>
          <t>TINGSRYD</t>
        </is>
      </c>
      <c r="G5415" t="n">
        <v>4.9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6556-2022</t>
        </is>
      </c>
      <c r="B5416" s="1" t="n">
        <v>44601.58173611111</v>
      </c>
      <c r="C5416" s="1" t="n">
        <v>45957</v>
      </c>
      <c r="D5416" t="inlineStr">
        <is>
          <t>KRONOBERGS LÄN</t>
        </is>
      </c>
      <c r="E5416" t="inlineStr">
        <is>
          <t>MARKARYD</t>
        </is>
      </c>
      <c r="F5416" t="inlineStr">
        <is>
          <t>Kommuner</t>
        </is>
      </c>
      <c r="G5416" t="n">
        <v>2.8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6561-2022</t>
        </is>
      </c>
      <c r="B5417" s="1" t="n">
        <v>44601.58780092592</v>
      </c>
      <c r="C5417" s="1" t="n">
        <v>45957</v>
      </c>
      <c r="D5417" t="inlineStr">
        <is>
          <t>KRONOBERGS LÄN</t>
        </is>
      </c>
      <c r="E5417" t="inlineStr">
        <is>
          <t>MARKARYD</t>
        </is>
      </c>
      <c r="F5417" t="inlineStr">
        <is>
          <t>Kommuner</t>
        </is>
      </c>
      <c r="G5417" t="n">
        <v>1.8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51876-2024</t>
        </is>
      </c>
      <c r="B5418" s="1" t="n">
        <v>45607.56002314815</v>
      </c>
      <c r="C5418" s="1" t="n">
        <v>45957</v>
      </c>
      <c r="D5418" t="inlineStr">
        <is>
          <t>KRONOBERGS LÄN</t>
        </is>
      </c>
      <c r="E5418" t="inlineStr">
        <is>
          <t>TINGSRYD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4839-2023</t>
        </is>
      </c>
      <c r="B5419" s="1" t="n">
        <v>44955</v>
      </c>
      <c r="C5419" s="1" t="n">
        <v>45957</v>
      </c>
      <c r="D5419" t="inlineStr">
        <is>
          <t>KRONOBERGS LÄN</t>
        </is>
      </c>
      <c r="E5419" t="inlineStr">
        <is>
          <t>LESSEBO</t>
        </is>
      </c>
      <c r="G5419" t="n">
        <v>2.2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1060-2023</t>
        </is>
      </c>
      <c r="B5420" s="1" t="n">
        <v>44935.50050925926</v>
      </c>
      <c r="C5420" s="1" t="n">
        <v>45957</v>
      </c>
      <c r="D5420" t="inlineStr">
        <is>
          <t>KRONOBERGS LÄN</t>
        </is>
      </c>
      <c r="E5420" t="inlineStr">
        <is>
          <t>ALVESTA</t>
        </is>
      </c>
      <c r="G5420" t="n">
        <v>2.9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21990-2023</t>
        </is>
      </c>
      <c r="B5421" s="1" t="n">
        <v>45068.71310185185</v>
      </c>
      <c r="C5421" s="1" t="n">
        <v>45957</v>
      </c>
      <c r="D5421" t="inlineStr">
        <is>
          <t>KRONOBERGS LÄN</t>
        </is>
      </c>
      <c r="E5421" t="inlineStr">
        <is>
          <t>ÄLMHULT</t>
        </is>
      </c>
      <c r="G5421" t="n">
        <v>1.4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38925-2024</t>
        </is>
      </c>
      <c r="B5422" s="1" t="n">
        <v>45547</v>
      </c>
      <c r="C5422" s="1" t="n">
        <v>45957</v>
      </c>
      <c r="D5422" t="inlineStr">
        <is>
          <t>KRONOBERGS LÄN</t>
        </is>
      </c>
      <c r="E5422" t="inlineStr">
        <is>
          <t>TINGSRYD</t>
        </is>
      </c>
      <c r="G5422" t="n">
        <v>0.9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26858-2023</t>
        </is>
      </c>
      <c r="B5423" s="1" t="n">
        <v>45093</v>
      </c>
      <c r="C5423" s="1" t="n">
        <v>45957</v>
      </c>
      <c r="D5423" t="inlineStr">
        <is>
          <t>KRONOBERGS LÄN</t>
        </is>
      </c>
      <c r="E5423" t="inlineStr">
        <is>
          <t>LJUNGBY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56552-2021</t>
        </is>
      </c>
      <c r="B5424" s="1" t="n">
        <v>44480.62013888889</v>
      </c>
      <c r="C5424" s="1" t="n">
        <v>45957</v>
      </c>
      <c r="D5424" t="inlineStr">
        <is>
          <t>KRONOBERGS LÄN</t>
        </is>
      </c>
      <c r="E5424" t="inlineStr">
        <is>
          <t>ALVESTA</t>
        </is>
      </c>
      <c r="G5424" t="n">
        <v>2.4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49975-2024</t>
        </is>
      </c>
      <c r="B5425" s="1" t="n">
        <v>45597.67458333333</v>
      </c>
      <c r="C5425" s="1" t="n">
        <v>45957</v>
      </c>
      <c r="D5425" t="inlineStr">
        <is>
          <t>KRONOBERGS LÄN</t>
        </is>
      </c>
      <c r="E5425" t="inlineStr">
        <is>
          <t>VÄXJÖ</t>
        </is>
      </c>
      <c r="G5425" t="n">
        <v>0.9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51394-2023</t>
        </is>
      </c>
      <c r="B5426" s="1" t="n">
        <v>45219</v>
      </c>
      <c r="C5426" s="1" t="n">
        <v>45957</v>
      </c>
      <c r="D5426" t="inlineStr">
        <is>
          <t>KRONOBERGS LÄN</t>
        </is>
      </c>
      <c r="E5426" t="inlineStr">
        <is>
          <t>VÄXJÖ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37113-2023</t>
        </is>
      </c>
      <c r="B5427" s="1" t="n">
        <v>45155.5568287037</v>
      </c>
      <c r="C5427" s="1" t="n">
        <v>45957</v>
      </c>
      <c r="D5427" t="inlineStr">
        <is>
          <t>KRONOBERGS LÄN</t>
        </is>
      </c>
      <c r="E5427" t="inlineStr">
        <is>
          <t>ALVESTA</t>
        </is>
      </c>
      <c r="G5427" t="n">
        <v>0.6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21046-2023</t>
        </is>
      </c>
      <c r="B5428" s="1" t="n">
        <v>45061</v>
      </c>
      <c r="C5428" s="1" t="n">
        <v>45957</v>
      </c>
      <c r="D5428" t="inlineStr">
        <is>
          <t>KRONOBERGS LÄN</t>
        </is>
      </c>
      <c r="E5428" t="inlineStr">
        <is>
          <t>VÄXJÖ</t>
        </is>
      </c>
      <c r="G5428" t="n">
        <v>0.5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36513-2021</t>
        </is>
      </c>
      <c r="B5429" s="1" t="n">
        <v>44391</v>
      </c>
      <c r="C5429" s="1" t="n">
        <v>45957</v>
      </c>
      <c r="D5429" t="inlineStr">
        <is>
          <t>KRONOBERGS LÄN</t>
        </is>
      </c>
      <c r="E5429" t="inlineStr">
        <is>
          <t>TINGSRYD</t>
        </is>
      </c>
      <c r="G5429" t="n">
        <v>2.5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37746-2025</t>
        </is>
      </c>
      <c r="B5430" s="1" t="n">
        <v>45880.66565972222</v>
      </c>
      <c r="C5430" s="1" t="n">
        <v>45957</v>
      </c>
      <c r="D5430" t="inlineStr">
        <is>
          <t>KRONOBERGS LÄN</t>
        </is>
      </c>
      <c r="E5430" t="inlineStr">
        <is>
          <t>ALVESTA</t>
        </is>
      </c>
      <c r="G5430" t="n">
        <v>2.5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25290-2023</t>
        </is>
      </c>
      <c r="B5431" s="1" t="n">
        <v>45086.72387731481</v>
      </c>
      <c r="C5431" s="1" t="n">
        <v>45957</v>
      </c>
      <c r="D5431" t="inlineStr">
        <is>
          <t>KRONOBERGS LÄN</t>
        </is>
      </c>
      <c r="E5431" t="inlineStr">
        <is>
          <t>TINGSRYD</t>
        </is>
      </c>
      <c r="G5431" t="n">
        <v>4.4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45492-2025</t>
        </is>
      </c>
      <c r="B5432" s="1" t="n">
        <v>45922</v>
      </c>
      <c r="C5432" s="1" t="n">
        <v>45957</v>
      </c>
      <c r="D5432" t="inlineStr">
        <is>
          <t>KRONOBERGS LÄN</t>
        </is>
      </c>
      <c r="E5432" t="inlineStr">
        <is>
          <t>ALVESTA</t>
        </is>
      </c>
      <c r="G5432" t="n">
        <v>0.7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41781-2023</t>
        </is>
      </c>
      <c r="B5433" s="1" t="n">
        <v>45176.47287037037</v>
      </c>
      <c r="C5433" s="1" t="n">
        <v>45957</v>
      </c>
      <c r="D5433" t="inlineStr">
        <is>
          <t>KRONOBERGS LÄN</t>
        </is>
      </c>
      <c r="E5433" t="inlineStr">
        <is>
          <t>ÄLMHULT</t>
        </is>
      </c>
      <c r="G5433" t="n">
        <v>1.3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19187-2023</t>
        </is>
      </c>
      <c r="B5434" s="1" t="n">
        <v>45048</v>
      </c>
      <c r="C5434" s="1" t="n">
        <v>45957</v>
      </c>
      <c r="D5434" t="inlineStr">
        <is>
          <t>KRONOBERGS LÄN</t>
        </is>
      </c>
      <c r="E5434" t="inlineStr">
        <is>
          <t>VÄXJÖ</t>
        </is>
      </c>
      <c r="G5434" t="n">
        <v>1.5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33002-2022</t>
        </is>
      </c>
      <c r="B5435" s="1" t="n">
        <v>44784</v>
      </c>
      <c r="C5435" s="1" t="n">
        <v>45957</v>
      </c>
      <c r="D5435" t="inlineStr">
        <is>
          <t>KRONOBERGS LÄN</t>
        </is>
      </c>
      <c r="E5435" t="inlineStr">
        <is>
          <t>ÄLMHULT</t>
        </is>
      </c>
      <c r="F5435" t="inlineStr">
        <is>
          <t>Kyrkan</t>
        </is>
      </c>
      <c r="G5435" t="n">
        <v>1.6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15960-2025</t>
        </is>
      </c>
      <c r="B5436" s="1" t="n">
        <v>45749.53158564815</v>
      </c>
      <c r="C5436" s="1" t="n">
        <v>45957</v>
      </c>
      <c r="D5436" t="inlineStr">
        <is>
          <t>KRONOBERGS LÄN</t>
        </is>
      </c>
      <c r="E5436" t="inlineStr">
        <is>
          <t>LJUNGBY</t>
        </is>
      </c>
      <c r="G5436" t="n">
        <v>0.6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60760-2022</t>
        </is>
      </c>
      <c r="B5437" s="1" t="n">
        <v>44914</v>
      </c>
      <c r="C5437" s="1" t="n">
        <v>45957</v>
      </c>
      <c r="D5437" t="inlineStr">
        <is>
          <t>KRONOBERGS LÄN</t>
        </is>
      </c>
      <c r="E5437" t="inlineStr">
        <is>
          <t>ALVESTA</t>
        </is>
      </c>
      <c r="G5437" t="n">
        <v>3.1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30604-2023</t>
        </is>
      </c>
      <c r="B5438" s="1" t="n">
        <v>45112.38873842593</v>
      </c>
      <c r="C5438" s="1" t="n">
        <v>45957</v>
      </c>
      <c r="D5438" t="inlineStr">
        <is>
          <t>KRONOBERGS LÄN</t>
        </is>
      </c>
      <c r="E5438" t="inlineStr">
        <is>
          <t>ALVESTA</t>
        </is>
      </c>
      <c r="G5438" t="n">
        <v>1.2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3118-2025</t>
        </is>
      </c>
      <c r="B5439" s="1" t="n">
        <v>45678</v>
      </c>
      <c r="C5439" s="1" t="n">
        <v>45957</v>
      </c>
      <c r="D5439" t="inlineStr">
        <is>
          <t>KRONOBERGS LÄN</t>
        </is>
      </c>
      <c r="E5439" t="inlineStr">
        <is>
          <t>ALVESTA</t>
        </is>
      </c>
      <c r="G5439" t="n">
        <v>0.5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2462-2025</t>
        </is>
      </c>
      <c r="B5440" s="1" t="n">
        <v>45674.4681712963</v>
      </c>
      <c r="C5440" s="1" t="n">
        <v>45957</v>
      </c>
      <c r="D5440" t="inlineStr">
        <is>
          <t>KRONOBERGS LÄN</t>
        </is>
      </c>
      <c r="E5440" t="inlineStr">
        <is>
          <t>TINGSRYD</t>
        </is>
      </c>
      <c r="G5440" t="n">
        <v>5.6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2421-2025</t>
        </is>
      </c>
      <c r="B5441" s="1" t="n">
        <v>45674.38553240741</v>
      </c>
      <c r="C5441" s="1" t="n">
        <v>45957</v>
      </c>
      <c r="D5441" t="inlineStr">
        <is>
          <t>KRONOBERGS LÄN</t>
        </is>
      </c>
      <c r="E5441" t="inlineStr">
        <is>
          <t>UPPVIDINGE</t>
        </is>
      </c>
      <c r="F5441" t="inlineStr">
        <is>
          <t>Sveaskog</t>
        </is>
      </c>
      <c r="G5441" t="n">
        <v>3.9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44175-2024</t>
        </is>
      </c>
      <c r="B5442" s="1" t="n">
        <v>45572</v>
      </c>
      <c r="C5442" s="1" t="n">
        <v>45957</v>
      </c>
      <c r="D5442" t="inlineStr">
        <is>
          <t>KRONOBERGS LÄN</t>
        </is>
      </c>
      <c r="E5442" t="inlineStr">
        <is>
          <t>VÄXJÖ</t>
        </is>
      </c>
      <c r="G5442" t="n">
        <v>4.6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3605-2024</t>
        </is>
      </c>
      <c r="B5443" s="1" t="n">
        <v>45320.86557870371</v>
      </c>
      <c r="C5443" s="1" t="n">
        <v>45957</v>
      </c>
      <c r="D5443" t="inlineStr">
        <is>
          <t>KRONOBERGS LÄN</t>
        </is>
      </c>
      <c r="E5443" t="inlineStr">
        <is>
          <t>LESSEBO</t>
        </is>
      </c>
      <c r="G5443" t="n">
        <v>1.9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41168-2023</t>
        </is>
      </c>
      <c r="B5444" s="1" t="n">
        <v>45174.34193287037</v>
      </c>
      <c r="C5444" s="1" t="n">
        <v>45957</v>
      </c>
      <c r="D5444" t="inlineStr">
        <is>
          <t>KRONOBERGS LÄN</t>
        </is>
      </c>
      <c r="E5444" t="inlineStr">
        <is>
          <t>UPPVIDINGE</t>
        </is>
      </c>
      <c r="G5444" t="n">
        <v>6.7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1470-2024</t>
        </is>
      </c>
      <c r="B5445" s="1" t="n">
        <v>45304.56362268519</v>
      </c>
      <c r="C5445" s="1" t="n">
        <v>45957</v>
      </c>
      <c r="D5445" t="inlineStr">
        <is>
          <t>KRONOBERGS LÄN</t>
        </is>
      </c>
      <c r="E5445" t="inlineStr">
        <is>
          <t>VÄXJÖ</t>
        </is>
      </c>
      <c r="G5445" t="n">
        <v>0.6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1479-2024</t>
        </is>
      </c>
      <c r="B5446" s="1" t="n">
        <v>45305.57791666667</v>
      </c>
      <c r="C5446" s="1" t="n">
        <v>45957</v>
      </c>
      <c r="D5446" t="inlineStr">
        <is>
          <t>KRONOBERGS LÄN</t>
        </is>
      </c>
      <c r="E5446" t="inlineStr">
        <is>
          <t>LJUNGBY</t>
        </is>
      </c>
      <c r="G5446" t="n">
        <v>4.5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49776-2024</t>
        </is>
      </c>
      <c r="B5447" s="1" t="n">
        <v>45597.34881944444</v>
      </c>
      <c r="C5447" s="1" t="n">
        <v>45957</v>
      </c>
      <c r="D5447" t="inlineStr">
        <is>
          <t>KRONOBERGS LÄN</t>
        </is>
      </c>
      <c r="E5447" t="inlineStr">
        <is>
          <t>UPPVIDINGE</t>
        </is>
      </c>
      <c r="F5447" t="inlineStr">
        <is>
          <t>Sveaskog</t>
        </is>
      </c>
      <c r="G5447" t="n">
        <v>1.2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50150-2024</t>
        </is>
      </c>
      <c r="B5448" s="1" t="n">
        <v>45600.45402777778</v>
      </c>
      <c r="C5448" s="1" t="n">
        <v>45957</v>
      </c>
      <c r="D5448" t="inlineStr">
        <is>
          <t>KRONOBERGS LÄN</t>
        </is>
      </c>
      <c r="E5448" t="inlineStr">
        <is>
          <t>UPPVIDINGE</t>
        </is>
      </c>
      <c r="G5448" t="n">
        <v>2.8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13322-2023</t>
        </is>
      </c>
      <c r="B5449" s="1" t="n">
        <v>45005.39861111111</v>
      </c>
      <c r="C5449" s="1" t="n">
        <v>45957</v>
      </c>
      <c r="D5449" t="inlineStr">
        <is>
          <t>KRONOBERGS LÄN</t>
        </is>
      </c>
      <c r="E5449" t="inlineStr">
        <is>
          <t>TINGSRYD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13340-2023</t>
        </is>
      </c>
      <c r="B5450" s="1" t="n">
        <v>45005</v>
      </c>
      <c r="C5450" s="1" t="n">
        <v>45957</v>
      </c>
      <c r="D5450" t="inlineStr">
        <is>
          <t>KRONOBERGS LÄN</t>
        </is>
      </c>
      <c r="E5450" t="inlineStr">
        <is>
          <t>TINGSRYD</t>
        </is>
      </c>
      <c r="G5450" t="n">
        <v>4.4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20223-2025</t>
        </is>
      </c>
      <c r="B5451" s="1" t="n">
        <v>45772.65694444445</v>
      </c>
      <c r="C5451" s="1" t="n">
        <v>45957</v>
      </c>
      <c r="D5451" t="inlineStr">
        <is>
          <t>KRONOBERGS LÄN</t>
        </is>
      </c>
      <c r="E5451" t="inlineStr">
        <is>
          <t>LESSEBO</t>
        </is>
      </c>
      <c r="G5451" t="n">
        <v>2.9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14282-2023</t>
        </is>
      </c>
      <c r="B5452" s="1" t="n">
        <v>45010.45023148148</v>
      </c>
      <c r="C5452" s="1" t="n">
        <v>45957</v>
      </c>
      <c r="D5452" t="inlineStr">
        <is>
          <t>KRONOBERGS LÄN</t>
        </is>
      </c>
      <c r="E5452" t="inlineStr">
        <is>
          <t>ÄLMHULT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39833-2023</t>
        </is>
      </c>
      <c r="B5453" s="1" t="n">
        <v>45168.33028935185</v>
      </c>
      <c r="C5453" s="1" t="n">
        <v>45957</v>
      </c>
      <c r="D5453" t="inlineStr">
        <is>
          <t>KRONOBERGS LÄN</t>
        </is>
      </c>
      <c r="E5453" t="inlineStr">
        <is>
          <t>LJUNGBY</t>
        </is>
      </c>
      <c r="G5453" t="n">
        <v>1.7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4724-2025</t>
        </is>
      </c>
      <c r="B5454" s="1" t="n">
        <v>45688</v>
      </c>
      <c r="C5454" s="1" t="n">
        <v>45957</v>
      </c>
      <c r="D5454" t="inlineStr">
        <is>
          <t>KRONOBERGS LÄN</t>
        </is>
      </c>
      <c r="E5454" t="inlineStr">
        <is>
          <t>TINGSRYD</t>
        </is>
      </c>
      <c r="G5454" t="n">
        <v>3.7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33481-2021</t>
        </is>
      </c>
      <c r="B5455" s="1" t="n">
        <v>44377</v>
      </c>
      <c r="C5455" s="1" t="n">
        <v>45957</v>
      </c>
      <c r="D5455" t="inlineStr">
        <is>
          <t>KRONOBERGS LÄN</t>
        </is>
      </c>
      <c r="E5455" t="inlineStr">
        <is>
          <t>LJUNGBY</t>
        </is>
      </c>
      <c r="G5455" t="n">
        <v>5.4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9334-2025</t>
        </is>
      </c>
      <c r="B5456" s="1" t="n">
        <v>45714.80385416667</v>
      </c>
      <c r="C5456" s="1" t="n">
        <v>45957</v>
      </c>
      <c r="D5456" t="inlineStr">
        <is>
          <t>KRONOBERGS LÄN</t>
        </is>
      </c>
      <c r="E5456" t="inlineStr">
        <is>
          <t>LJUNGBY</t>
        </is>
      </c>
      <c r="G5456" t="n">
        <v>0.4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44860-2023</t>
        </is>
      </c>
      <c r="B5457" s="1" t="n">
        <v>45190</v>
      </c>
      <c r="C5457" s="1" t="n">
        <v>45957</v>
      </c>
      <c r="D5457" t="inlineStr">
        <is>
          <t>KRONOBERGS LÄN</t>
        </is>
      </c>
      <c r="E5457" t="inlineStr">
        <is>
          <t>VÄXJÖ</t>
        </is>
      </c>
      <c r="G5457" t="n">
        <v>0.8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61134-2022</t>
        </is>
      </c>
      <c r="B5458" s="1" t="n">
        <v>44908</v>
      </c>
      <c r="C5458" s="1" t="n">
        <v>45957</v>
      </c>
      <c r="D5458" t="inlineStr">
        <is>
          <t>KRONOBERGS LÄN</t>
        </is>
      </c>
      <c r="E5458" t="inlineStr">
        <is>
          <t>UPPVIDINGE</t>
        </is>
      </c>
      <c r="F5458" t="inlineStr">
        <is>
          <t>Kyrkan</t>
        </is>
      </c>
      <c r="G5458" t="n">
        <v>1.1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51710-2024</t>
        </is>
      </c>
      <c r="B5459" s="1" t="n">
        <v>45607.36863425926</v>
      </c>
      <c r="C5459" s="1" t="n">
        <v>45957</v>
      </c>
      <c r="D5459" t="inlineStr">
        <is>
          <t>KRONOBERGS LÄN</t>
        </is>
      </c>
      <c r="E5459" t="inlineStr">
        <is>
          <t>LJUNGBY</t>
        </is>
      </c>
      <c r="G5459" t="n">
        <v>1.2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20571-2022</t>
        </is>
      </c>
      <c r="B5460" s="1" t="n">
        <v>44700.39484953704</v>
      </c>
      <c r="C5460" s="1" t="n">
        <v>45957</v>
      </c>
      <c r="D5460" t="inlineStr">
        <is>
          <t>KRONOBERGS LÄN</t>
        </is>
      </c>
      <c r="E5460" t="inlineStr">
        <is>
          <t>MARKARYD</t>
        </is>
      </c>
      <c r="G5460" t="n">
        <v>1.6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61996-2024</t>
        </is>
      </c>
      <c r="B5461" s="1" t="n">
        <v>45653.77716435185</v>
      </c>
      <c r="C5461" s="1" t="n">
        <v>45957</v>
      </c>
      <c r="D5461" t="inlineStr">
        <is>
          <t>KRONOBERGS LÄN</t>
        </is>
      </c>
      <c r="E5461" t="inlineStr">
        <is>
          <t>VÄXJÖ</t>
        </is>
      </c>
      <c r="G5461" t="n">
        <v>0.8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49602-2024</t>
        </is>
      </c>
      <c r="B5462" s="1" t="n">
        <v>45596</v>
      </c>
      <c r="C5462" s="1" t="n">
        <v>45957</v>
      </c>
      <c r="D5462" t="inlineStr">
        <is>
          <t>KRONOBERGS LÄN</t>
        </is>
      </c>
      <c r="E5462" t="inlineStr">
        <is>
          <t>ALVESTA</t>
        </is>
      </c>
      <c r="G5462" t="n">
        <v>1.7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19942-2022</t>
        </is>
      </c>
      <c r="B5463" s="1" t="n">
        <v>44697</v>
      </c>
      <c r="C5463" s="1" t="n">
        <v>45957</v>
      </c>
      <c r="D5463" t="inlineStr">
        <is>
          <t>KRONOBERGS LÄN</t>
        </is>
      </c>
      <c r="E5463" t="inlineStr">
        <is>
          <t>UPPVIDINGE</t>
        </is>
      </c>
      <c r="F5463" t="inlineStr">
        <is>
          <t>Kyrkan</t>
        </is>
      </c>
      <c r="G5463" t="n">
        <v>1.5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27562-2023</t>
        </is>
      </c>
      <c r="B5464" s="1" t="n">
        <v>45097</v>
      </c>
      <c r="C5464" s="1" t="n">
        <v>45957</v>
      </c>
      <c r="D5464" t="inlineStr">
        <is>
          <t>KRONOBERGS LÄN</t>
        </is>
      </c>
      <c r="E5464" t="inlineStr">
        <is>
          <t>LJUNGBY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58941-2023</t>
        </is>
      </c>
      <c r="B5465" s="1" t="n">
        <v>45252.56825231481</v>
      </c>
      <c r="C5465" s="1" t="n">
        <v>45957</v>
      </c>
      <c r="D5465" t="inlineStr">
        <is>
          <t>KRONOBERGS LÄN</t>
        </is>
      </c>
      <c r="E5465" t="inlineStr">
        <is>
          <t>TINGSRYD</t>
        </is>
      </c>
      <c r="G5465" t="n">
        <v>2.8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16917-2023</t>
        </is>
      </c>
      <c r="B5466" s="1" t="n">
        <v>45033</v>
      </c>
      <c r="C5466" s="1" t="n">
        <v>45957</v>
      </c>
      <c r="D5466" t="inlineStr">
        <is>
          <t>KRONOBERGS LÄN</t>
        </is>
      </c>
      <c r="E5466" t="inlineStr">
        <is>
          <t>LJUNGBY</t>
        </is>
      </c>
      <c r="G5466" t="n">
        <v>1.7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22178-2023</t>
        </is>
      </c>
      <c r="B5467" s="1" t="n">
        <v>45069.69295138889</v>
      </c>
      <c r="C5467" s="1" t="n">
        <v>45957</v>
      </c>
      <c r="D5467" t="inlineStr">
        <is>
          <t>KRONOBERGS LÄN</t>
        </is>
      </c>
      <c r="E5467" t="inlineStr">
        <is>
          <t>UPPVIDINGE</t>
        </is>
      </c>
      <c r="G5467" t="n">
        <v>0.6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6929-2025</t>
        </is>
      </c>
      <c r="B5468" s="1" t="n">
        <v>45701.45229166667</v>
      </c>
      <c r="C5468" s="1" t="n">
        <v>45957</v>
      </c>
      <c r="D5468" t="inlineStr">
        <is>
          <t>KRONOBERGS LÄN</t>
        </is>
      </c>
      <c r="E5468" t="inlineStr">
        <is>
          <t>TINGSRYD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27081-2021</t>
        </is>
      </c>
      <c r="B5469" s="1" t="n">
        <v>44350.48313657408</v>
      </c>
      <c r="C5469" s="1" t="n">
        <v>45957</v>
      </c>
      <c r="D5469" t="inlineStr">
        <is>
          <t>KRONOBERGS LÄN</t>
        </is>
      </c>
      <c r="E5469" t="inlineStr">
        <is>
          <t>VÄXJÖ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3142-2025</t>
        </is>
      </c>
      <c r="B5470" s="1" t="n">
        <v>45678.76413194444</v>
      </c>
      <c r="C5470" s="1" t="n">
        <v>45957</v>
      </c>
      <c r="D5470" t="inlineStr">
        <is>
          <t>KRONOBERGS LÄN</t>
        </is>
      </c>
      <c r="E5470" t="inlineStr">
        <is>
          <t>MARKARYD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26885-2024</t>
        </is>
      </c>
      <c r="B5471" s="1" t="n">
        <v>45470.64299768519</v>
      </c>
      <c r="C5471" s="1" t="n">
        <v>45957</v>
      </c>
      <c r="D5471" t="inlineStr">
        <is>
          <t>KRONOBERGS LÄN</t>
        </is>
      </c>
      <c r="E5471" t="inlineStr">
        <is>
          <t>LJUNGBY</t>
        </is>
      </c>
      <c r="G5471" t="n">
        <v>2.1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26888-2024</t>
        </is>
      </c>
      <c r="B5472" s="1" t="n">
        <v>45470.64894675926</v>
      </c>
      <c r="C5472" s="1" t="n">
        <v>45957</v>
      </c>
      <c r="D5472" t="inlineStr">
        <is>
          <t>KRONOBERGS LÄN</t>
        </is>
      </c>
      <c r="E5472" t="inlineStr">
        <is>
          <t>LJUNGBY</t>
        </is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16449-2023</t>
        </is>
      </c>
      <c r="B5473" s="1" t="n">
        <v>45029.47953703703</v>
      </c>
      <c r="C5473" s="1" t="n">
        <v>45957</v>
      </c>
      <c r="D5473" t="inlineStr">
        <is>
          <t>KRONOBERGS LÄN</t>
        </is>
      </c>
      <c r="E5473" t="inlineStr">
        <is>
          <t>VÄXJÖ</t>
        </is>
      </c>
      <c r="G5473" t="n">
        <v>1.9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9858-2025</t>
        </is>
      </c>
      <c r="B5474" s="1" t="n">
        <v>45716.62706018519</v>
      </c>
      <c r="C5474" s="1" t="n">
        <v>45957</v>
      </c>
      <c r="D5474" t="inlineStr">
        <is>
          <t>KRONOBERGS LÄN</t>
        </is>
      </c>
      <c r="E5474" t="inlineStr">
        <is>
          <t>ÄLMHULT</t>
        </is>
      </c>
      <c r="F5474" t="inlineStr">
        <is>
          <t>Sveaskog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11271-2023</t>
        </is>
      </c>
      <c r="B5475" s="1" t="n">
        <v>44992</v>
      </c>
      <c r="C5475" s="1" t="n">
        <v>45957</v>
      </c>
      <c r="D5475" t="inlineStr">
        <is>
          <t>KRONOBERGS LÄN</t>
        </is>
      </c>
      <c r="E5475" t="inlineStr">
        <is>
          <t>VÄXJÖ</t>
        </is>
      </c>
      <c r="G5475" t="n">
        <v>0.7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38759-2024</t>
        </is>
      </c>
      <c r="B5476" s="1" t="n">
        <v>45547.43822916667</v>
      </c>
      <c r="C5476" s="1" t="n">
        <v>45957</v>
      </c>
      <c r="D5476" t="inlineStr">
        <is>
          <t>KRONOBERGS LÄN</t>
        </is>
      </c>
      <c r="E5476" t="inlineStr">
        <is>
          <t>TINGSRYD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37610-2025</t>
        </is>
      </c>
      <c r="B5477" s="1" t="n">
        <v>45880.43133101852</v>
      </c>
      <c r="C5477" s="1" t="n">
        <v>45957</v>
      </c>
      <c r="D5477" t="inlineStr">
        <is>
          <t>KRONOBERGS LÄN</t>
        </is>
      </c>
      <c r="E5477" t="inlineStr">
        <is>
          <t>MARKARYD</t>
        </is>
      </c>
      <c r="G5477" t="n">
        <v>0.5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39761-2024</t>
        </is>
      </c>
      <c r="B5478" s="1" t="n">
        <v>45552.70320601852</v>
      </c>
      <c r="C5478" s="1" t="n">
        <v>45957</v>
      </c>
      <c r="D5478" t="inlineStr">
        <is>
          <t>KRONOBERGS LÄN</t>
        </is>
      </c>
      <c r="E5478" t="inlineStr">
        <is>
          <t>VÄXJÖ</t>
        </is>
      </c>
      <c r="G5478" t="n">
        <v>1.3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19063-2023</t>
        </is>
      </c>
      <c r="B5479" s="1" t="n">
        <v>45048.34269675926</v>
      </c>
      <c r="C5479" s="1" t="n">
        <v>45957</v>
      </c>
      <c r="D5479" t="inlineStr">
        <is>
          <t>KRONOBERGS LÄN</t>
        </is>
      </c>
      <c r="E5479" t="inlineStr">
        <is>
          <t>ÄLMHULT</t>
        </is>
      </c>
      <c r="G5479" t="n">
        <v>1.9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44487-2021</t>
        </is>
      </c>
      <c r="B5480" s="1" t="n">
        <v>44435</v>
      </c>
      <c r="C5480" s="1" t="n">
        <v>45957</v>
      </c>
      <c r="D5480" t="inlineStr">
        <is>
          <t>KRONOBERGS LÄN</t>
        </is>
      </c>
      <c r="E5480" t="inlineStr">
        <is>
          <t>ALVESTA</t>
        </is>
      </c>
      <c r="G5480" t="n">
        <v>1.3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46830-2023</t>
        </is>
      </c>
      <c r="B5481" s="1" t="n">
        <v>45199</v>
      </c>
      <c r="C5481" s="1" t="n">
        <v>45957</v>
      </c>
      <c r="D5481" t="inlineStr">
        <is>
          <t>KRONOBERGS LÄN</t>
        </is>
      </c>
      <c r="E5481" t="inlineStr">
        <is>
          <t>VÄXJÖ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42014-2023</t>
        </is>
      </c>
      <c r="B5482" s="1" t="n">
        <v>45177.47043981482</v>
      </c>
      <c r="C5482" s="1" t="n">
        <v>45957</v>
      </c>
      <c r="D5482" t="inlineStr">
        <is>
          <t>KRONOBERGS LÄN</t>
        </is>
      </c>
      <c r="E5482" t="inlineStr">
        <is>
          <t>ÄLMHULT</t>
        </is>
      </c>
      <c r="G5482" t="n">
        <v>2.5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14923-2021</t>
        </is>
      </c>
      <c r="B5483" s="1" t="n">
        <v>44281</v>
      </c>
      <c r="C5483" s="1" t="n">
        <v>45957</v>
      </c>
      <c r="D5483" t="inlineStr">
        <is>
          <t>KRONOBERGS LÄN</t>
        </is>
      </c>
      <c r="E5483" t="inlineStr">
        <is>
          <t>LJUNGBY</t>
        </is>
      </c>
      <c r="F5483" t="inlineStr">
        <is>
          <t>Kommuner</t>
        </is>
      </c>
      <c r="G5483" t="n">
        <v>1.9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42705-2023</t>
        </is>
      </c>
      <c r="B5484" s="1" t="n">
        <v>45181</v>
      </c>
      <c r="C5484" s="1" t="n">
        <v>45957</v>
      </c>
      <c r="D5484" t="inlineStr">
        <is>
          <t>KRONOBERGS LÄN</t>
        </is>
      </c>
      <c r="E5484" t="inlineStr">
        <is>
          <t>VÄXJÖ</t>
        </is>
      </c>
      <c r="G5484" t="n">
        <v>0.8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18385-2023</t>
        </is>
      </c>
      <c r="B5485" s="1" t="n">
        <v>45042.29704861111</v>
      </c>
      <c r="C5485" s="1" t="n">
        <v>45957</v>
      </c>
      <c r="D5485" t="inlineStr">
        <is>
          <t>KRONOBERGS LÄN</t>
        </is>
      </c>
      <c r="E5485" t="inlineStr">
        <is>
          <t>ÄLMHULT</t>
        </is>
      </c>
      <c r="G5485" t="n">
        <v>0.6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12676-2025</t>
        </is>
      </c>
      <c r="B5486" s="1" t="n">
        <v>45733.43582175926</v>
      </c>
      <c r="C5486" s="1" t="n">
        <v>45957</v>
      </c>
      <c r="D5486" t="inlineStr">
        <is>
          <t>KRONOBERGS LÄN</t>
        </is>
      </c>
      <c r="E5486" t="inlineStr">
        <is>
          <t>LJUNGBY</t>
        </is>
      </c>
      <c r="G5486" t="n">
        <v>4.2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13369-2023</t>
        </is>
      </c>
      <c r="B5487" s="1" t="n">
        <v>45005.47989583333</v>
      </c>
      <c r="C5487" s="1" t="n">
        <v>45957</v>
      </c>
      <c r="D5487" t="inlineStr">
        <is>
          <t>KRONOBERGS LÄN</t>
        </is>
      </c>
      <c r="E5487" t="inlineStr">
        <is>
          <t>ALVESTA</t>
        </is>
      </c>
      <c r="G5487" t="n">
        <v>0.8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46022-2023</t>
        </is>
      </c>
      <c r="B5488" s="1" t="n">
        <v>45189</v>
      </c>
      <c r="C5488" s="1" t="n">
        <v>45957</v>
      </c>
      <c r="D5488" t="inlineStr">
        <is>
          <t>KRONOBERGS LÄN</t>
        </is>
      </c>
      <c r="E5488" t="inlineStr">
        <is>
          <t>ALVESTA</t>
        </is>
      </c>
      <c r="G5488" t="n">
        <v>0.8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11800-2025</t>
        </is>
      </c>
      <c r="B5489" s="1" t="n">
        <v>45727.82142361111</v>
      </c>
      <c r="C5489" s="1" t="n">
        <v>45957</v>
      </c>
      <c r="D5489" t="inlineStr">
        <is>
          <t>KRONOBERGS LÄN</t>
        </is>
      </c>
      <c r="E5489" t="inlineStr">
        <is>
          <t>VÄXJÖ</t>
        </is>
      </c>
      <c r="G5489" t="n">
        <v>1.6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15358-2025</t>
        </is>
      </c>
      <c r="B5490" s="1" t="n">
        <v>45747.39269675926</v>
      </c>
      <c r="C5490" s="1" t="n">
        <v>45957</v>
      </c>
      <c r="D5490" t="inlineStr">
        <is>
          <t>KRONOBERGS LÄN</t>
        </is>
      </c>
      <c r="E5490" t="inlineStr">
        <is>
          <t>LJUNGBY</t>
        </is>
      </c>
      <c r="F5490" t="inlineStr">
        <is>
          <t>Sveaskog</t>
        </is>
      </c>
      <c r="G5490" t="n">
        <v>18.9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15359-2025</t>
        </is>
      </c>
      <c r="B5491" s="1" t="n">
        <v>45747.39408564815</v>
      </c>
      <c r="C5491" s="1" t="n">
        <v>45957</v>
      </c>
      <c r="D5491" t="inlineStr">
        <is>
          <t>KRONOBERGS LÄN</t>
        </is>
      </c>
      <c r="E5491" t="inlineStr">
        <is>
          <t>LJUNGBY</t>
        </is>
      </c>
      <c r="F5491" t="inlineStr">
        <is>
          <t>Sveaskog</t>
        </is>
      </c>
      <c r="G5491" t="n">
        <v>3.1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15744-2023</t>
        </is>
      </c>
      <c r="B5492" s="1" t="n">
        <v>45020</v>
      </c>
      <c r="C5492" s="1" t="n">
        <v>45957</v>
      </c>
      <c r="D5492" t="inlineStr">
        <is>
          <t>KRONOBERGS LÄN</t>
        </is>
      </c>
      <c r="E5492" t="inlineStr">
        <is>
          <t>UPPVIDINGE</t>
        </is>
      </c>
      <c r="F5492" t="inlineStr">
        <is>
          <t>Kyrkan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29596-2021</t>
        </is>
      </c>
      <c r="B5493" s="1" t="n">
        <v>44361.93059027778</v>
      </c>
      <c r="C5493" s="1" t="n">
        <v>45957</v>
      </c>
      <c r="D5493" t="inlineStr">
        <is>
          <t>KRONOBERGS LÄN</t>
        </is>
      </c>
      <c r="E5493" t="inlineStr">
        <is>
          <t>UPPVIDINGE</t>
        </is>
      </c>
      <c r="G5493" t="n">
        <v>1.4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63115-2023</t>
        </is>
      </c>
      <c r="B5494" s="1" t="n">
        <v>45273.43633101852</v>
      </c>
      <c r="C5494" s="1" t="n">
        <v>45957</v>
      </c>
      <c r="D5494" t="inlineStr">
        <is>
          <t>KRONOBERGS LÄN</t>
        </is>
      </c>
      <c r="E5494" t="inlineStr">
        <is>
          <t>ÄLMHULT</t>
        </is>
      </c>
      <c r="G5494" t="n">
        <v>0.9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7539-2024</t>
        </is>
      </c>
      <c r="B5495" s="1" t="n">
        <v>45348</v>
      </c>
      <c r="C5495" s="1" t="n">
        <v>45957</v>
      </c>
      <c r="D5495" t="inlineStr">
        <is>
          <t>KRONOBERGS LÄN</t>
        </is>
      </c>
      <c r="E5495" t="inlineStr">
        <is>
          <t>ÄLMHULT</t>
        </is>
      </c>
      <c r="G5495" t="n">
        <v>1.1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10967-2021</t>
        </is>
      </c>
      <c r="B5496" s="1" t="n">
        <v>44260</v>
      </c>
      <c r="C5496" s="1" t="n">
        <v>45957</v>
      </c>
      <c r="D5496" t="inlineStr">
        <is>
          <t>KRONOBERGS LÄN</t>
        </is>
      </c>
      <c r="E5496" t="inlineStr">
        <is>
          <t>UPPVIDINGE</t>
        </is>
      </c>
      <c r="G5496" t="n">
        <v>0.2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21546-2023</t>
        </is>
      </c>
      <c r="B5497" s="1" t="n">
        <v>45063.56233796296</v>
      </c>
      <c r="C5497" s="1" t="n">
        <v>45957</v>
      </c>
      <c r="D5497" t="inlineStr">
        <is>
          <t>KRONOBERGS LÄN</t>
        </is>
      </c>
      <c r="E5497" t="inlineStr">
        <is>
          <t>LESSEBO</t>
        </is>
      </c>
      <c r="G5497" t="n">
        <v>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1423-2025</t>
        </is>
      </c>
      <c r="B5498" s="1" t="n">
        <v>45668.63396990741</v>
      </c>
      <c r="C5498" s="1" t="n">
        <v>45957</v>
      </c>
      <c r="D5498" t="inlineStr">
        <is>
          <t>KRONOBERGS LÄN</t>
        </is>
      </c>
      <c r="E5498" t="inlineStr">
        <is>
          <t>UPPVIDINGE</t>
        </is>
      </c>
      <c r="G5498" t="n">
        <v>1.4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11365-2025</t>
        </is>
      </c>
      <c r="B5499" s="1" t="n">
        <v>45726.54469907407</v>
      </c>
      <c r="C5499" s="1" t="n">
        <v>45957</v>
      </c>
      <c r="D5499" t="inlineStr">
        <is>
          <t>KRONOBERGS LÄN</t>
        </is>
      </c>
      <c r="E5499" t="inlineStr">
        <is>
          <t>LJUNGBY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35543-2023</t>
        </is>
      </c>
      <c r="B5500" s="1" t="n">
        <v>45147</v>
      </c>
      <c r="C5500" s="1" t="n">
        <v>45957</v>
      </c>
      <c r="D5500" t="inlineStr">
        <is>
          <t>KRONOBERGS LÄN</t>
        </is>
      </c>
      <c r="E5500" t="inlineStr">
        <is>
          <t>VÄXJÖ</t>
        </is>
      </c>
      <c r="G5500" t="n">
        <v>1.1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46234-2023</t>
        </is>
      </c>
      <c r="B5501" s="1" t="n">
        <v>45196.705625</v>
      </c>
      <c r="C5501" s="1" t="n">
        <v>45957</v>
      </c>
      <c r="D5501" t="inlineStr">
        <is>
          <t>KRONOBERGS LÄN</t>
        </is>
      </c>
      <c r="E5501" t="inlineStr">
        <is>
          <t>ALVESTA</t>
        </is>
      </c>
      <c r="G5501" t="n">
        <v>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18646-2022</t>
        </is>
      </c>
      <c r="B5502" s="1" t="n">
        <v>44687.495625</v>
      </c>
      <c r="C5502" s="1" t="n">
        <v>45957</v>
      </c>
      <c r="D5502" t="inlineStr">
        <is>
          <t>KRONOBERGS LÄN</t>
        </is>
      </c>
      <c r="E5502" t="inlineStr">
        <is>
          <t>ALVESTA</t>
        </is>
      </c>
      <c r="G5502" t="n">
        <v>0.5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3101-2025</t>
        </is>
      </c>
      <c r="B5503" s="1" t="n">
        <v>45678</v>
      </c>
      <c r="C5503" s="1" t="n">
        <v>45957</v>
      </c>
      <c r="D5503" t="inlineStr">
        <is>
          <t>KRONOBERGS LÄN</t>
        </is>
      </c>
      <c r="E5503" t="inlineStr">
        <is>
          <t>VÄXJÖ</t>
        </is>
      </c>
      <c r="G5503" t="n">
        <v>11.3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50942-2023</t>
        </is>
      </c>
      <c r="B5504" s="1" t="n">
        <v>45218.4646412037</v>
      </c>
      <c r="C5504" s="1" t="n">
        <v>45957</v>
      </c>
      <c r="D5504" t="inlineStr">
        <is>
          <t>KRONOBERGS LÄN</t>
        </is>
      </c>
      <c r="E5504" t="inlineStr">
        <is>
          <t>MARKARYD</t>
        </is>
      </c>
      <c r="G5504" t="n">
        <v>2.2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32509-2023</t>
        </is>
      </c>
      <c r="B5505" s="1" t="n">
        <v>45121.35078703704</v>
      </c>
      <c r="C5505" s="1" t="n">
        <v>45957</v>
      </c>
      <c r="D5505" t="inlineStr">
        <is>
          <t>KRONOBERGS LÄN</t>
        </is>
      </c>
      <c r="E5505" t="inlineStr">
        <is>
          <t>LJUNGBY</t>
        </is>
      </c>
      <c r="G5505" t="n">
        <v>2.5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29103-2023</t>
        </is>
      </c>
      <c r="B5506" s="1" t="n">
        <v>45105.37561342592</v>
      </c>
      <c r="C5506" s="1" t="n">
        <v>45957</v>
      </c>
      <c r="D5506" t="inlineStr">
        <is>
          <t>KRONOBERGS LÄN</t>
        </is>
      </c>
      <c r="E5506" t="inlineStr">
        <is>
          <t>VÄXJÖ</t>
        </is>
      </c>
      <c r="G5506" t="n">
        <v>3.3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60670-2023</t>
        </is>
      </c>
      <c r="B5507" s="1" t="n">
        <v>45260.46252314815</v>
      </c>
      <c r="C5507" s="1" t="n">
        <v>45957</v>
      </c>
      <c r="D5507" t="inlineStr">
        <is>
          <t>KRONOBERGS LÄN</t>
        </is>
      </c>
      <c r="E5507" t="inlineStr">
        <is>
          <t>UPPVIDINGE</t>
        </is>
      </c>
      <c r="G5507" t="n">
        <v>0.6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45307-2025</t>
        </is>
      </c>
      <c r="B5508" s="1" t="n">
        <v>45921.70836805556</v>
      </c>
      <c r="C5508" s="1" t="n">
        <v>45957</v>
      </c>
      <c r="D5508" t="inlineStr">
        <is>
          <t>KRONOBERGS LÄN</t>
        </is>
      </c>
      <c r="E5508" t="inlineStr">
        <is>
          <t>VÄXJÖ</t>
        </is>
      </c>
      <c r="G5508" t="n">
        <v>1.7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45441-2025</t>
        </is>
      </c>
      <c r="B5509" s="1" t="n">
        <v>45922.47278935185</v>
      </c>
      <c r="C5509" s="1" t="n">
        <v>45957</v>
      </c>
      <c r="D5509" t="inlineStr">
        <is>
          <t>KRONOBERGS LÄN</t>
        </is>
      </c>
      <c r="E5509" t="inlineStr">
        <is>
          <t>TINGSRYD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44646-2025</t>
        </is>
      </c>
      <c r="B5510" s="1" t="n">
        <v>45917</v>
      </c>
      <c r="C5510" s="1" t="n">
        <v>45957</v>
      </c>
      <c r="D5510" t="inlineStr">
        <is>
          <t>KRONOBERGS LÄN</t>
        </is>
      </c>
      <c r="E5510" t="inlineStr">
        <is>
          <t>ALVESTA</t>
        </is>
      </c>
      <c r="G5510" t="n">
        <v>1.3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1519-2023</t>
        </is>
      </c>
      <c r="B5511" s="1" t="n">
        <v>44937</v>
      </c>
      <c r="C5511" s="1" t="n">
        <v>45957</v>
      </c>
      <c r="D5511" t="inlineStr">
        <is>
          <t>KRONOBERGS LÄN</t>
        </is>
      </c>
      <c r="E5511" t="inlineStr">
        <is>
          <t>TINGSRYD</t>
        </is>
      </c>
      <c r="G5511" t="n">
        <v>3.1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61585-2021</t>
        </is>
      </c>
      <c r="B5512" s="1" t="n">
        <v>44501</v>
      </c>
      <c r="C5512" s="1" t="n">
        <v>45957</v>
      </c>
      <c r="D5512" t="inlineStr">
        <is>
          <t>KRONOBERGS LÄN</t>
        </is>
      </c>
      <c r="E5512" t="inlineStr">
        <is>
          <t>VÄXJÖ</t>
        </is>
      </c>
      <c r="G5512" t="n">
        <v>0.6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9895-2023</t>
        </is>
      </c>
      <c r="B5513" s="1" t="n">
        <v>44985</v>
      </c>
      <c r="C5513" s="1" t="n">
        <v>45957</v>
      </c>
      <c r="D5513" t="inlineStr">
        <is>
          <t>KRONOBERGS LÄN</t>
        </is>
      </c>
      <c r="E5513" t="inlineStr">
        <is>
          <t>LJUNGBY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40621-2024</t>
        </is>
      </c>
      <c r="B5514" s="1" t="n">
        <v>45557.57099537037</v>
      </c>
      <c r="C5514" s="1" t="n">
        <v>45957</v>
      </c>
      <c r="D5514" t="inlineStr">
        <is>
          <t>KRONOBERGS LÄN</t>
        </is>
      </c>
      <c r="E5514" t="inlineStr">
        <is>
          <t>VÄXJÖ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28026-2024</t>
        </is>
      </c>
      <c r="B5515" s="1" t="n">
        <v>45476.48375</v>
      </c>
      <c r="C5515" s="1" t="n">
        <v>45957</v>
      </c>
      <c r="D5515" t="inlineStr">
        <is>
          <t>KRONOBERGS LÄN</t>
        </is>
      </c>
      <c r="E5515" t="inlineStr">
        <is>
          <t>ÄLMHULT</t>
        </is>
      </c>
      <c r="G5515" t="n">
        <v>11.8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45511-2025</t>
        </is>
      </c>
      <c r="B5516" s="1" t="n">
        <v>45922.58009259259</v>
      </c>
      <c r="C5516" s="1" t="n">
        <v>45957</v>
      </c>
      <c r="D5516" t="inlineStr">
        <is>
          <t>KRONOBERGS LÄN</t>
        </is>
      </c>
      <c r="E5516" t="inlineStr">
        <is>
          <t>LJUNGBY</t>
        </is>
      </c>
      <c r="G5516" t="n">
        <v>4.2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17627-2025</t>
        </is>
      </c>
      <c r="B5517" s="1" t="n">
        <v>45757.94755787037</v>
      </c>
      <c r="C5517" s="1" t="n">
        <v>45957</v>
      </c>
      <c r="D5517" t="inlineStr">
        <is>
          <t>KRONOBERGS LÄN</t>
        </is>
      </c>
      <c r="E5517" t="inlineStr">
        <is>
          <t>LJUNGBY</t>
        </is>
      </c>
      <c r="G5517" t="n">
        <v>0.4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50115-2022</t>
        </is>
      </c>
      <c r="B5518" s="1" t="n">
        <v>44865.54231481482</v>
      </c>
      <c r="C5518" s="1" t="n">
        <v>45957</v>
      </c>
      <c r="D5518" t="inlineStr">
        <is>
          <t>KRONOBERGS LÄN</t>
        </is>
      </c>
      <c r="E5518" t="inlineStr">
        <is>
          <t>UPPVIDINGE</t>
        </is>
      </c>
      <c r="G5518" t="n">
        <v>0.9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7828-2024</t>
        </is>
      </c>
      <c r="B5519" s="1" t="n">
        <v>45349</v>
      </c>
      <c r="C5519" s="1" t="n">
        <v>45957</v>
      </c>
      <c r="D5519" t="inlineStr">
        <is>
          <t>KRONOBERGS LÄN</t>
        </is>
      </c>
      <c r="E5519" t="inlineStr">
        <is>
          <t>LJUNGBY</t>
        </is>
      </c>
      <c r="G5519" t="n">
        <v>0.4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45140-2025</t>
        </is>
      </c>
      <c r="B5520" s="1" t="n">
        <v>45919.45515046296</v>
      </c>
      <c r="C5520" s="1" t="n">
        <v>45957</v>
      </c>
      <c r="D5520" t="inlineStr">
        <is>
          <t>KRONOBERGS LÄN</t>
        </is>
      </c>
      <c r="E5520" t="inlineStr">
        <is>
          <t>TINGSRYD</t>
        </is>
      </c>
      <c r="G5520" t="n">
        <v>0.6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8655-2025</t>
        </is>
      </c>
      <c r="B5521" s="1" t="n">
        <v>45710</v>
      </c>
      <c r="C5521" s="1" t="n">
        <v>45957</v>
      </c>
      <c r="D5521" t="inlineStr">
        <is>
          <t>KRONOBERGS LÄN</t>
        </is>
      </c>
      <c r="E5521" t="inlineStr">
        <is>
          <t>LESSEBO</t>
        </is>
      </c>
      <c r="G5521" t="n">
        <v>2.1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19904-2025</t>
        </is>
      </c>
      <c r="B5522" s="1" t="n">
        <v>45771.59387731482</v>
      </c>
      <c r="C5522" s="1" t="n">
        <v>45957</v>
      </c>
      <c r="D5522" t="inlineStr">
        <is>
          <t>KRONOBERGS LÄN</t>
        </is>
      </c>
      <c r="E5522" t="inlineStr">
        <is>
          <t>VÄXJÖ</t>
        </is>
      </c>
      <c r="G5522" t="n">
        <v>2.3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37040-2023</t>
        </is>
      </c>
      <c r="B5523" s="1" t="n">
        <v>45155</v>
      </c>
      <c r="C5523" s="1" t="n">
        <v>45957</v>
      </c>
      <c r="D5523" t="inlineStr">
        <is>
          <t>KRONOBERGS LÄN</t>
        </is>
      </c>
      <c r="E5523" t="inlineStr">
        <is>
          <t>UPPVIDINGE</t>
        </is>
      </c>
      <c r="G5523" t="n">
        <v>1.1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14476-2023</t>
        </is>
      </c>
      <c r="B5524" s="1" t="n">
        <v>45012</v>
      </c>
      <c r="C5524" s="1" t="n">
        <v>45957</v>
      </c>
      <c r="D5524" t="inlineStr">
        <is>
          <t>KRONOBERGS LÄN</t>
        </is>
      </c>
      <c r="E5524" t="inlineStr">
        <is>
          <t>LJUNGBY</t>
        </is>
      </c>
      <c r="G5524" t="n">
        <v>2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10939-2023</t>
        </is>
      </c>
      <c r="B5525" s="1" t="n">
        <v>44991.53373842593</v>
      </c>
      <c r="C5525" s="1" t="n">
        <v>45957</v>
      </c>
      <c r="D5525" t="inlineStr">
        <is>
          <t>KRONOBERGS LÄN</t>
        </is>
      </c>
      <c r="E5525" t="inlineStr">
        <is>
          <t>LJUNGBY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10955-2023</t>
        </is>
      </c>
      <c r="B5526" s="1" t="n">
        <v>44991</v>
      </c>
      <c r="C5526" s="1" t="n">
        <v>45957</v>
      </c>
      <c r="D5526" t="inlineStr">
        <is>
          <t>KRONOBERGS LÄN</t>
        </is>
      </c>
      <c r="E5526" t="inlineStr">
        <is>
          <t>VÄXJÖ</t>
        </is>
      </c>
      <c r="G5526" t="n">
        <v>24.7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44237-2023</t>
        </is>
      </c>
      <c r="B5527" s="1" t="n">
        <v>45188.57582175926</v>
      </c>
      <c r="C5527" s="1" t="n">
        <v>45957</v>
      </c>
      <c r="D5527" t="inlineStr">
        <is>
          <t>KRONOBERGS LÄN</t>
        </is>
      </c>
      <c r="E5527" t="inlineStr">
        <is>
          <t>TINGSRYD</t>
        </is>
      </c>
      <c r="G5527" t="n">
        <v>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8798-2023</t>
        </is>
      </c>
      <c r="B5528" s="1" t="n">
        <v>44978.59528935186</v>
      </c>
      <c r="C5528" s="1" t="n">
        <v>45957</v>
      </c>
      <c r="D5528" t="inlineStr">
        <is>
          <t>KRONOBERGS LÄN</t>
        </is>
      </c>
      <c r="E5528" t="inlineStr">
        <is>
          <t>LJUNGBY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29354-2023</t>
        </is>
      </c>
      <c r="B5529" s="1" t="n">
        <v>45106.30399305555</v>
      </c>
      <c r="C5529" s="1" t="n">
        <v>45957</v>
      </c>
      <c r="D5529" t="inlineStr">
        <is>
          <t>KRONOBERGS LÄN</t>
        </is>
      </c>
      <c r="E5529" t="inlineStr">
        <is>
          <t>TINGSRYD</t>
        </is>
      </c>
      <c r="G5529" t="n">
        <v>0.7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7089-2023</t>
        </is>
      </c>
      <c r="B5530" s="1" t="n">
        <v>44965</v>
      </c>
      <c r="C5530" s="1" t="n">
        <v>45957</v>
      </c>
      <c r="D5530" t="inlineStr">
        <is>
          <t>KRONOBERGS LÄN</t>
        </is>
      </c>
      <c r="E5530" t="inlineStr">
        <is>
          <t>TINGSRYD</t>
        </is>
      </c>
      <c r="G5530" t="n">
        <v>0.5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5482-2023</t>
        </is>
      </c>
      <c r="B5531" s="1" t="n">
        <v>44960.36971064815</v>
      </c>
      <c r="C5531" s="1" t="n">
        <v>45957</v>
      </c>
      <c r="D5531" t="inlineStr">
        <is>
          <t>KRONOBERGS LÄN</t>
        </is>
      </c>
      <c r="E5531" t="inlineStr">
        <is>
          <t>LJUNGBY</t>
        </is>
      </c>
      <c r="G5531" t="n">
        <v>0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26795-2024</t>
        </is>
      </c>
      <c r="B5532" s="1" t="n">
        <v>45470.5</v>
      </c>
      <c r="C5532" s="1" t="n">
        <v>45957</v>
      </c>
      <c r="D5532" t="inlineStr">
        <is>
          <t>KRONOBERGS LÄN</t>
        </is>
      </c>
      <c r="E5532" t="inlineStr">
        <is>
          <t>MARKARYD</t>
        </is>
      </c>
      <c r="G5532" t="n">
        <v>0.5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3495-2025</t>
        </is>
      </c>
      <c r="B5533" s="1" t="n">
        <v>45680</v>
      </c>
      <c r="C5533" s="1" t="n">
        <v>45957</v>
      </c>
      <c r="D5533" t="inlineStr">
        <is>
          <t>KRONOBERGS LÄN</t>
        </is>
      </c>
      <c r="E5533" t="inlineStr">
        <is>
          <t>ÄLMHULT</t>
        </is>
      </c>
      <c r="G5533" t="n">
        <v>2.8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6144-2023</t>
        </is>
      </c>
      <c r="B5534" s="1" t="n">
        <v>44964</v>
      </c>
      <c r="C5534" s="1" t="n">
        <v>45957</v>
      </c>
      <c r="D5534" t="inlineStr">
        <is>
          <t>KRONOBERGS LÄN</t>
        </is>
      </c>
      <c r="E5534" t="inlineStr">
        <is>
          <t>TINGSRYD</t>
        </is>
      </c>
      <c r="G5534" t="n">
        <v>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22171-2022</t>
        </is>
      </c>
      <c r="B5535" s="1" t="n">
        <v>44712.45701388889</v>
      </c>
      <c r="C5535" s="1" t="n">
        <v>45957</v>
      </c>
      <c r="D5535" t="inlineStr">
        <is>
          <t>KRONOBERGS LÄN</t>
        </is>
      </c>
      <c r="E5535" t="inlineStr">
        <is>
          <t>TINGSRYD</t>
        </is>
      </c>
      <c r="G5535" t="n">
        <v>1.1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13801-2024</t>
        </is>
      </c>
      <c r="B5536" s="1" t="n">
        <v>45391.3859837963</v>
      </c>
      <c r="C5536" s="1" t="n">
        <v>45957</v>
      </c>
      <c r="D5536" t="inlineStr">
        <is>
          <t>KRONOBERGS LÄN</t>
        </is>
      </c>
      <c r="E5536" t="inlineStr">
        <is>
          <t>ÄLMHULT</t>
        </is>
      </c>
      <c r="G5536" t="n">
        <v>0.6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52636-2023</t>
        </is>
      </c>
      <c r="B5537" s="1" t="n">
        <v>45225.64645833334</v>
      </c>
      <c r="C5537" s="1" t="n">
        <v>45957</v>
      </c>
      <c r="D5537" t="inlineStr">
        <is>
          <t>KRONOBERGS LÄN</t>
        </is>
      </c>
      <c r="E5537" t="inlineStr">
        <is>
          <t>MARKARYD</t>
        </is>
      </c>
      <c r="G5537" t="n">
        <v>1.4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17514-2021</t>
        </is>
      </c>
      <c r="B5538" s="1" t="n">
        <v>44299.58810185185</v>
      </c>
      <c r="C5538" s="1" t="n">
        <v>45957</v>
      </c>
      <c r="D5538" t="inlineStr">
        <is>
          <t>KRONOBERGS LÄN</t>
        </is>
      </c>
      <c r="E5538" t="inlineStr">
        <is>
          <t>TINGSRYD</t>
        </is>
      </c>
      <c r="G5538" t="n">
        <v>1.1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16721-2021</t>
        </is>
      </c>
      <c r="B5539" s="1" t="n">
        <v>44294</v>
      </c>
      <c r="C5539" s="1" t="n">
        <v>45957</v>
      </c>
      <c r="D5539" t="inlineStr">
        <is>
          <t>KRONOBERGS LÄN</t>
        </is>
      </c>
      <c r="E5539" t="inlineStr">
        <is>
          <t>ÄLMHULT</t>
        </is>
      </c>
      <c r="G5539" t="n">
        <v>0.4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25670-2021</t>
        </is>
      </c>
      <c r="B5540" s="1" t="n">
        <v>44343</v>
      </c>
      <c r="C5540" s="1" t="n">
        <v>45957</v>
      </c>
      <c r="D5540" t="inlineStr">
        <is>
          <t>KRONOBERGS LÄN</t>
        </is>
      </c>
      <c r="E5540" t="inlineStr">
        <is>
          <t>TINGSRYD</t>
        </is>
      </c>
      <c r="G5540" t="n">
        <v>0.7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4318-2024</t>
        </is>
      </c>
      <c r="B5541" s="1" t="n">
        <v>45324</v>
      </c>
      <c r="C5541" s="1" t="n">
        <v>45957</v>
      </c>
      <c r="D5541" t="inlineStr">
        <is>
          <t>KRONOBERGS LÄN</t>
        </is>
      </c>
      <c r="E5541" t="inlineStr">
        <is>
          <t>VÄXJÖ</t>
        </is>
      </c>
      <c r="G5541" t="n">
        <v>0.6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35529-2023</t>
        </is>
      </c>
      <c r="B5542" s="1" t="n">
        <v>45146</v>
      </c>
      <c r="C5542" s="1" t="n">
        <v>45957</v>
      </c>
      <c r="D5542" t="inlineStr">
        <is>
          <t>KRONOBERGS LÄN</t>
        </is>
      </c>
      <c r="E5542" t="inlineStr">
        <is>
          <t>ALVESTA</t>
        </is>
      </c>
      <c r="G5542" t="n">
        <v>1.2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22123-2022</t>
        </is>
      </c>
      <c r="B5543" s="1" t="n">
        <v>44712</v>
      </c>
      <c r="C5543" s="1" t="n">
        <v>45957</v>
      </c>
      <c r="D5543" t="inlineStr">
        <is>
          <t>KRONOBERGS LÄN</t>
        </is>
      </c>
      <c r="E5543" t="inlineStr">
        <is>
          <t>LJUNGBY</t>
        </is>
      </c>
      <c r="G5543" t="n">
        <v>2.4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19765-2023</t>
        </is>
      </c>
      <c r="B5544" s="1" t="n">
        <v>45051</v>
      </c>
      <c r="C5544" s="1" t="n">
        <v>45957</v>
      </c>
      <c r="D5544" t="inlineStr">
        <is>
          <t>KRONOBERGS LÄN</t>
        </is>
      </c>
      <c r="E5544" t="inlineStr">
        <is>
          <t>TINGSRYD</t>
        </is>
      </c>
      <c r="G5544" t="n">
        <v>1.5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8842-2023</t>
        </is>
      </c>
      <c r="B5545" s="1" t="n">
        <v>44978.74306712963</v>
      </c>
      <c r="C5545" s="1" t="n">
        <v>45957</v>
      </c>
      <c r="D5545" t="inlineStr">
        <is>
          <t>KRONOBERGS LÄN</t>
        </is>
      </c>
      <c r="E5545" t="inlineStr">
        <is>
          <t>ALVESTA</t>
        </is>
      </c>
      <c r="G5545" t="n">
        <v>0.9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45240-2025</t>
        </is>
      </c>
      <c r="B5546" s="1" t="n">
        <v>45919.59701388889</v>
      </c>
      <c r="C5546" s="1" t="n">
        <v>45957</v>
      </c>
      <c r="D5546" t="inlineStr">
        <is>
          <t>KRONOBERGS LÄN</t>
        </is>
      </c>
      <c r="E5546" t="inlineStr">
        <is>
          <t>TINGSRYD</t>
        </is>
      </c>
      <c r="G5546" t="n">
        <v>1.7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37661-2025</t>
        </is>
      </c>
      <c r="B5547" s="1" t="n">
        <v>45880</v>
      </c>
      <c r="C5547" s="1" t="n">
        <v>45957</v>
      </c>
      <c r="D5547" t="inlineStr">
        <is>
          <t>KRONOBERGS LÄN</t>
        </is>
      </c>
      <c r="E5547" t="inlineStr">
        <is>
          <t>LJUNGBY</t>
        </is>
      </c>
      <c r="G5547" t="n">
        <v>5.6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38473-2025</t>
        </is>
      </c>
      <c r="B5548" s="1" t="n">
        <v>45884</v>
      </c>
      <c r="C5548" s="1" t="n">
        <v>45957</v>
      </c>
      <c r="D5548" t="inlineStr">
        <is>
          <t>KRONOBERGS LÄN</t>
        </is>
      </c>
      <c r="E5548" t="inlineStr">
        <is>
          <t>ÄLMHULT</t>
        </is>
      </c>
      <c r="G5548" t="n">
        <v>1.5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20056-2025</t>
        </is>
      </c>
      <c r="B5549" s="1" t="n">
        <v>45772.40685185185</v>
      </c>
      <c r="C5549" s="1" t="n">
        <v>45957</v>
      </c>
      <c r="D5549" t="inlineStr">
        <is>
          <t>KRONOBERGS LÄN</t>
        </is>
      </c>
      <c r="E5549" t="inlineStr">
        <is>
          <t>LESSEBO</t>
        </is>
      </c>
      <c r="G5549" t="n">
        <v>0.7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20058-2025</t>
        </is>
      </c>
      <c r="B5550" s="1" t="n">
        <v>45772</v>
      </c>
      <c r="C5550" s="1" t="n">
        <v>45957</v>
      </c>
      <c r="D5550" t="inlineStr">
        <is>
          <t>KRONOBERGS LÄN</t>
        </is>
      </c>
      <c r="E5550" t="inlineStr">
        <is>
          <t>TINGSRYD</t>
        </is>
      </c>
      <c r="G5550" t="n">
        <v>3.6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6018-2022</t>
        </is>
      </c>
      <c r="B5551" s="1" t="n">
        <v>44599.46640046296</v>
      </c>
      <c r="C5551" s="1" t="n">
        <v>45957</v>
      </c>
      <c r="D5551" t="inlineStr">
        <is>
          <t>KRONOBERGS LÄN</t>
        </is>
      </c>
      <c r="E5551" t="inlineStr">
        <is>
          <t>TINGSRYD</t>
        </is>
      </c>
      <c r="G5551" t="n">
        <v>1.6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65092-2023</t>
        </is>
      </c>
      <c r="B5552" s="1" t="n">
        <v>45288</v>
      </c>
      <c r="C5552" s="1" t="n">
        <v>45957</v>
      </c>
      <c r="D5552" t="inlineStr">
        <is>
          <t>KRONOBERGS LÄN</t>
        </is>
      </c>
      <c r="E5552" t="inlineStr">
        <is>
          <t>ALVESTA</t>
        </is>
      </c>
      <c r="G5552" t="n">
        <v>0.8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16901-2023</t>
        </is>
      </c>
      <c r="B5553" s="1" t="n">
        <v>45033.56914351852</v>
      </c>
      <c r="C5553" s="1" t="n">
        <v>45957</v>
      </c>
      <c r="D5553" t="inlineStr">
        <is>
          <t>KRONOBERGS LÄN</t>
        </is>
      </c>
      <c r="E5553" t="inlineStr">
        <is>
          <t>TINGSRYD</t>
        </is>
      </c>
      <c r="G5553" t="n">
        <v>0.5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37780-2025</t>
        </is>
      </c>
      <c r="B5554" s="1" t="n">
        <v>45880</v>
      </c>
      <c r="C5554" s="1" t="n">
        <v>45957</v>
      </c>
      <c r="D5554" t="inlineStr">
        <is>
          <t>KRONOBERGS LÄN</t>
        </is>
      </c>
      <c r="E5554" t="inlineStr">
        <is>
          <t>TINGSRYD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37377-2023</t>
        </is>
      </c>
      <c r="B5555" s="1" t="n">
        <v>45156.54523148148</v>
      </c>
      <c r="C5555" s="1" t="n">
        <v>45957</v>
      </c>
      <c r="D5555" t="inlineStr">
        <is>
          <t>KRONOBERGS LÄN</t>
        </is>
      </c>
      <c r="E5555" t="inlineStr">
        <is>
          <t>UPPVIDINGE</t>
        </is>
      </c>
      <c r="G5555" t="n">
        <v>0.5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45344-2025</t>
        </is>
      </c>
      <c r="B5556" s="1" t="n">
        <v>45922.34789351852</v>
      </c>
      <c r="C5556" s="1" t="n">
        <v>45957</v>
      </c>
      <c r="D5556" t="inlineStr">
        <is>
          <t>KRONOBERGS LÄN</t>
        </is>
      </c>
      <c r="E5556" t="inlineStr">
        <is>
          <t>UPPVIDINGE</t>
        </is>
      </c>
      <c r="G5556" t="n">
        <v>2.2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50927-2023</t>
        </is>
      </c>
      <c r="B5557" s="1" t="n">
        <v>45218.44605324074</v>
      </c>
      <c r="C5557" s="1" t="n">
        <v>45957</v>
      </c>
      <c r="D5557" t="inlineStr">
        <is>
          <t>KRONOBERGS LÄN</t>
        </is>
      </c>
      <c r="E5557" t="inlineStr">
        <is>
          <t>MARKARYD</t>
        </is>
      </c>
      <c r="G5557" t="n">
        <v>1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32490-2024</t>
        </is>
      </c>
      <c r="B5558" s="1" t="n">
        <v>45513.4027199074</v>
      </c>
      <c r="C5558" s="1" t="n">
        <v>45957</v>
      </c>
      <c r="D5558" t="inlineStr">
        <is>
          <t>KRONOBERGS LÄN</t>
        </is>
      </c>
      <c r="E5558" t="inlineStr">
        <is>
          <t>VÄXJÖ</t>
        </is>
      </c>
      <c r="G5558" t="n">
        <v>1.7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93-2023</t>
        </is>
      </c>
      <c r="B5559" s="1" t="n">
        <v>44928.47056712963</v>
      </c>
      <c r="C5559" s="1" t="n">
        <v>45957</v>
      </c>
      <c r="D5559" t="inlineStr">
        <is>
          <t>KRONOBERGS LÄN</t>
        </is>
      </c>
      <c r="E5559" t="inlineStr">
        <is>
          <t>MARKARYD</t>
        </is>
      </c>
      <c r="G5559" t="n">
        <v>7.4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28529-2024</t>
        </is>
      </c>
      <c r="B5560" s="1" t="n">
        <v>45478.32578703704</v>
      </c>
      <c r="C5560" s="1" t="n">
        <v>45957</v>
      </c>
      <c r="D5560" t="inlineStr">
        <is>
          <t>KRONOBERGS LÄN</t>
        </is>
      </c>
      <c r="E5560" t="inlineStr">
        <is>
          <t>ALVESTA</t>
        </is>
      </c>
      <c r="G5560" t="n">
        <v>7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36056-2024</t>
        </is>
      </c>
      <c r="B5561" s="1" t="n">
        <v>45533.63113425926</v>
      </c>
      <c r="C5561" s="1" t="n">
        <v>45957</v>
      </c>
      <c r="D5561" t="inlineStr">
        <is>
          <t>KRONOBERGS LÄN</t>
        </is>
      </c>
      <c r="E5561" t="inlineStr">
        <is>
          <t>VÄXJÖ</t>
        </is>
      </c>
      <c r="G5561" t="n">
        <v>1.2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33944-2023</t>
        </is>
      </c>
      <c r="B5562" s="1" t="n">
        <v>45134</v>
      </c>
      <c r="C5562" s="1" t="n">
        <v>45957</v>
      </c>
      <c r="D5562" t="inlineStr">
        <is>
          <t>KRONOBERGS LÄN</t>
        </is>
      </c>
      <c r="E5562" t="inlineStr">
        <is>
          <t>ÄLMHULT</t>
        </is>
      </c>
      <c r="G5562" t="n">
        <v>0.2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10713-2024</t>
        </is>
      </c>
      <c r="B5563" s="1" t="n">
        <v>45369.44256944444</v>
      </c>
      <c r="C5563" s="1" t="n">
        <v>45957</v>
      </c>
      <c r="D5563" t="inlineStr">
        <is>
          <t>KRONOBERGS LÄN</t>
        </is>
      </c>
      <c r="E5563" t="inlineStr">
        <is>
          <t>UPPVIDINGE</t>
        </is>
      </c>
      <c r="G5563" t="n">
        <v>5.5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10820-2024</t>
        </is>
      </c>
      <c r="B5564" s="1" t="n">
        <v>45369.66939814815</v>
      </c>
      <c r="C5564" s="1" t="n">
        <v>45957</v>
      </c>
      <c r="D5564" t="inlineStr">
        <is>
          <t>KRONOBERGS LÄN</t>
        </is>
      </c>
      <c r="E5564" t="inlineStr">
        <is>
          <t>VÄXJÖ</t>
        </is>
      </c>
      <c r="G5564" t="n">
        <v>0.5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27863-2022</t>
        </is>
      </c>
      <c r="B5565" s="1" t="n">
        <v>44743.63931712963</v>
      </c>
      <c r="C5565" s="1" t="n">
        <v>45957</v>
      </c>
      <c r="D5565" t="inlineStr">
        <is>
          <t>KRONOBERGS LÄN</t>
        </is>
      </c>
      <c r="E5565" t="inlineStr">
        <is>
          <t>ÄLMHULT</t>
        </is>
      </c>
      <c r="G5565" t="n">
        <v>3.3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383-2023</t>
        </is>
      </c>
      <c r="B5566" s="1" t="n">
        <v>44929</v>
      </c>
      <c r="C5566" s="1" t="n">
        <v>45957</v>
      </c>
      <c r="D5566" t="inlineStr">
        <is>
          <t>KRONOBERGS LÄN</t>
        </is>
      </c>
      <c r="E5566" t="inlineStr">
        <is>
          <t>LJUNGBY</t>
        </is>
      </c>
      <c r="G5566" t="n">
        <v>0.7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4473-2023</t>
        </is>
      </c>
      <c r="B5567" s="1" t="n">
        <v>44956</v>
      </c>
      <c r="C5567" s="1" t="n">
        <v>45957</v>
      </c>
      <c r="D5567" t="inlineStr">
        <is>
          <t>KRONOBERGS LÄN</t>
        </is>
      </c>
      <c r="E5567" t="inlineStr">
        <is>
          <t>MARKARYD</t>
        </is>
      </c>
      <c r="G5567" t="n">
        <v>1.2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4474-2023</t>
        </is>
      </c>
      <c r="B5568" s="1" t="n">
        <v>44956</v>
      </c>
      <c r="C5568" s="1" t="n">
        <v>45957</v>
      </c>
      <c r="D5568" t="inlineStr">
        <is>
          <t>KRONOBERGS LÄN</t>
        </is>
      </c>
      <c r="E5568" t="inlineStr">
        <is>
          <t>MARKARYD</t>
        </is>
      </c>
      <c r="G5568" t="n">
        <v>2.7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32740-2021</t>
        </is>
      </c>
      <c r="B5569" s="1" t="n">
        <v>44375</v>
      </c>
      <c r="C5569" s="1" t="n">
        <v>45957</v>
      </c>
      <c r="D5569" t="inlineStr">
        <is>
          <t>KRONOBERGS LÄN</t>
        </is>
      </c>
      <c r="E5569" t="inlineStr">
        <is>
          <t>UPPVIDINGE</t>
        </is>
      </c>
      <c r="G5569" t="n">
        <v>0.8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26605-2024</t>
        </is>
      </c>
      <c r="B5570" s="1" t="n">
        <v>45469.71447916667</v>
      </c>
      <c r="C5570" s="1" t="n">
        <v>45957</v>
      </c>
      <c r="D5570" t="inlineStr">
        <is>
          <t>KRONOBERGS LÄN</t>
        </is>
      </c>
      <c r="E5570" t="inlineStr">
        <is>
          <t>ÄLMHULT</t>
        </is>
      </c>
      <c r="F5570" t="inlineStr">
        <is>
          <t>Sveaskog</t>
        </is>
      </c>
      <c r="G5570" t="n">
        <v>0.6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37794-2025</t>
        </is>
      </c>
      <c r="B5571" s="1" t="n">
        <v>45881.32390046296</v>
      </c>
      <c r="C5571" s="1" t="n">
        <v>45957</v>
      </c>
      <c r="D5571" t="inlineStr">
        <is>
          <t>KRONOBERGS LÄN</t>
        </is>
      </c>
      <c r="E5571" t="inlineStr">
        <is>
          <t>ALVESTA</t>
        </is>
      </c>
      <c r="G5571" t="n">
        <v>1.2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38064-2025</t>
        </is>
      </c>
      <c r="B5572" s="1" t="n">
        <v>45882.43188657407</v>
      </c>
      <c r="C5572" s="1" t="n">
        <v>45957</v>
      </c>
      <c r="D5572" t="inlineStr">
        <is>
          <t>KRONOBERGS LÄN</t>
        </is>
      </c>
      <c r="E5572" t="inlineStr">
        <is>
          <t>TINGSRYD</t>
        </is>
      </c>
      <c r="G5572" t="n">
        <v>1.2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44528-2025</t>
        </is>
      </c>
      <c r="B5573" s="1" t="n">
        <v>45916</v>
      </c>
      <c r="C5573" s="1" t="n">
        <v>45957</v>
      </c>
      <c r="D5573" t="inlineStr">
        <is>
          <t>KRONOBERGS LÄN</t>
        </is>
      </c>
      <c r="E5573" t="inlineStr">
        <is>
          <t>ALVESTA</t>
        </is>
      </c>
      <c r="G5573" t="n">
        <v>4.1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45905-2025</t>
        </is>
      </c>
      <c r="B5574" s="1" t="n">
        <v>45923.70304398148</v>
      </c>
      <c r="C5574" s="1" t="n">
        <v>45957</v>
      </c>
      <c r="D5574" t="inlineStr">
        <is>
          <t>KRONOBERGS LÄN</t>
        </is>
      </c>
      <c r="E5574" t="inlineStr">
        <is>
          <t>UPPVIDINGE</t>
        </is>
      </c>
      <c r="G5574" t="n">
        <v>1.7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45908-2025</t>
        </is>
      </c>
      <c r="B5575" s="1" t="n">
        <v>45923.71457175926</v>
      </c>
      <c r="C5575" s="1" t="n">
        <v>45957</v>
      </c>
      <c r="D5575" t="inlineStr">
        <is>
          <t>KRONOBERGS LÄN</t>
        </is>
      </c>
      <c r="E5575" t="inlineStr">
        <is>
          <t>UPPVIDINGE</t>
        </is>
      </c>
      <c r="G5575" t="n">
        <v>2.3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45913-2025</t>
        </is>
      </c>
      <c r="B5576" s="1" t="n">
        <v>45923.82539351852</v>
      </c>
      <c r="C5576" s="1" t="n">
        <v>45957</v>
      </c>
      <c r="D5576" t="inlineStr">
        <is>
          <t>KRONOBERGS LÄN</t>
        </is>
      </c>
      <c r="E5576" t="inlineStr">
        <is>
          <t>LJUNGBY</t>
        </is>
      </c>
      <c r="G5576" t="n">
        <v>0.4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46224-2025</t>
        </is>
      </c>
      <c r="B5577" s="1" t="n">
        <v>45924.8859837963</v>
      </c>
      <c r="C5577" s="1" t="n">
        <v>45957</v>
      </c>
      <c r="D5577" t="inlineStr">
        <is>
          <t>KRONOBERGS LÄN</t>
        </is>
      </c>
      <c r="E5577" t="inlineStr">
        <is>
          <t>LJUNGBY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49695-2023</t>
        </is>
      </c>
      <c r="B5578" s="1" t="n">
        <v>45212.38681712963</v>
      </c>
      <c r="C5578" s="1" t="n">
        <v>45957</v>
      </c>
      <c r="D5578" t="inlineStr">
        <is>
          <t>KRONOBERGS LÄN</t>
        </is>
      </c>
      <c r="E5578" t="inlineStr">
        <is>
          <t>MARKARYD</t>
        </is>
      </c>
      <c r="G5578" t="n">
        <v>3.3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26573-2023</t>
        </is>
      </c>
      <c r="B5579" s="1" t="n">
        <v>45092.64133101852</v>
      </c>
      <c r="C5579" s="1" t="n">
        <v>45957</v>
      </c>
      <c r="D5579" t="inlineStr">
        <is>
          <t>KRONOBERGS LÄN</t>
        </is>
      </c>
      <c r="E5579" t="inlineStr">
        <is>
          <t>ALVESTA</t>
        </is>
      </c>
      <c r="G5579" t="n">
        <v>0.8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18343-2025</t>
        </is>
      </c>
      <c r="B5580" s="1" t="n">
        <v>45762</v>
      </c>
      <c r="C5580" s="1" t="n">
        <v>45957</v>
      </c>
      <c r="D5580" t="inlineStr">
        <is>
          <t>KRONOBERGS LÄN</t>
        </is>
      </c>
      <c r="E5580" t="inlineStr">
        <is>
          <t>LJUNGBY</t>
        </is>
      </c>
      <c r="G5580" t="n">
        <v>1.8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11470-2024</t>
        </is>
      </c>
      <c r="B5581" s="1" t="n">
        <v>45372.6037037037</v>
      </c>
      <c r="C5581" s="1" t="n">
        <v>45957</v>
      </c>
      <c r="D5581" t="inlineStr">
        <is>
          <t>KRONOBERGS LÄN</t>
        </is>
      </c>
      <c r="E5581" t="inlineStr">
        <is>
          <t>MARKARYD</t>
        </is>
      </c>
      <c r="G5581" t="n">
        <v>0.7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56846-2023</t>
        </is>
      </c>
      <c r="B5582" s="1" t="n">
        <v>45244.48413194445</v>
      </c>
      <c r="C5582" s="1" t="n">
        <v>45957</v>
      </c>
      <c r="D5582" t="inlineStr">
        <is>
          <t>KRONOBERGS LÄN</t>
        </is>
      </c>
      <c r="E5582" t="inlineStr">
        <is>
          <t>ÄLMHULT</t>
        </is>
      </c>
      <c r="G5582" t="n">
        <v>1.9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64691-2023</t>
        </is>
      </c>
      <c r="B5583" s="1" t="n">
        <v>45281.63481481482</v>
      </c>
      <c r="C5583" s="1" t="n">
        <v>45957</v>
      </c>
      <c r="D5583" t="inlineStr">
        <is>
          <t>KRONOBERGS LÄN</t>
        </is>
      </c>
      <c r="E5583" t="inlineStr">
        <is>
          <t>LJUNGBY</t>
        </is>
      </c>
      <c r="G5583" t="n">
        <v>1.3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37867-2025</t>
        </is>
      </c>
      <c r="B5584" s="1" t="n">
        <v>45881.47059027778</v>
      </c>
      <c r="C5584" s="1" t="n">
        <v>45957</v>
      </c>
      <c r="D5584" t="inlineStr">
        <is>
          <t>KRONOBERGS LÄN</t>
        </is>
      </c>
      <c r="E5584" t="inlineStr">
        <is>
          <t>TINGSRYD</t>
        </is>
      </c>
      <c r="G5584" t="n">
        <v>5.7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37871-2025</t>
        </is>
      </c>
      <c r="B5585" s="1" t="n">
        <v>45881.47516203704</v>
      </c>
      <c r="C5585" s="1" t="n">
        <v>45957</v>
      </c>
      <c r="D5585" t="inlineStr">
        <is>
          <t>KRONOBERGS LÄN</t>
        </is>
      </c>
      <c r="E5585" t="inlineStr">
        <is>
          <t>TINGSRYD</t>
        </is>
      </c>
      <c r="G5585" t="n">
        <v>2.5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37895-2025</t>
        </is>
      </c>
      <c r="B5586" s="1" t="n">
        <v>45881.55119212963</v>
      </c>
      <c r="C5586" s="1" t="n">
        <v>45957</v>
      </c>
      <c r="D5586" t="inlineStr">
        <is>
          <t>KRONOBERGS LÄN</t>
        </is>
      </c>
      <c r="E5586" t="inlineStr">
        <is>
          <t>UPPVIDINGE</t>
        </is>
      </c>
      <c r="G5586" t="n">
        <v>2.5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37902-2025</t>
        </is>
      </c>
      <c r="B5587" s="1" t="n">
        <v>45881.56177083333</v>
      </c>
      <c r="C5587" s="1" t="n">
        <v>45957</v>
      </c>
      <c r="D5587" t="inlineStr">
        <is>
          <t>KRONOBERGS LÄN</t>
        </is>
      </c>
      <c r="E5587" t="inlineStr">
        <is>
          <t>VÄXJÖ</t>
        </is>
      </c>
      <c r="G5587" t="n">
        <v>1.4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37967-2025</t>
        </is>
      </c>
      <c r="B5588" s="1" t="n">
        <v>45881.66684027778</v>
      </c>
      <c r="C5588" s="1" t="n">
        <v>45957</v>
      </c>
      <c r="D5588" t="inlineStr">
        <is>
          <t>KRONOBERGS LÄN</t>
        </is>
      </c>
      <c r="E5588" t="inlineStr">
        <is>
          <t>LJUNGBY</t>
        </is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45813-2025</t>
        </is>
      </c>
      <c r="B5589" s="1" t="n">
        <v>45923.58896990741</v>
      </c>
      <c r="C5589" s="1" t="n">
        <v>45957</v>
      </c>
      <c r="D5589" t="inlineStr">
        <is>
          <t>KRONOBERGS LÄN</t>
        </is>
      </c>
      <c r="E5589" t="inlineStr">
        <is>
          <t>VÄXJÖ</t>
        </is>
      </c>
      <c r="G5589" t="n">
        <v>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46169-2025</t>
        </is>
      </c>
      <c r="B5590" s="1" t="n">
        <v>45924.64511574074</v>
      </c>
      <c r="C5590" s="1" t="n">
        <v>45957</v>
      </c>
      <c r="D5590" t="inlineStr">
        <is>
          <t>KRONOBERGS LÄN</t>
        </is>
      </c>
      <c r="E5590" t="inlineStr">
        <is>
          <t>VÄXJÖ</t>
        </is>
      </c>
      <c r="G5590" t="n">
        <v>2.6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37779-2025</t>
        </is>
      </c>
      <c r="B5591" s="1" t="n">
        <v>45880.86574074074</v>
      </c>
      <c r="C5591" s="1" t="n">
        <v>45957</v>
      </c>
      <c r="D5591" t="inlineStr">
        <is>
          <t>KRONOBERGS LÄN</t>
        </is>
      </c>
      <c r="E5591" t="inlineStr">
        <is>
          <t>LJUNGBY</t>
        </is>
      </c>
      <c r="G5591" t="n">
        <v>9.5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45890-2025</t>
        </is>
      </c>
      <c r="B5592" s="1" t="n">
        <v>45923.674375</v>
      </c>
      <c r="C5592" s="1" t="n">
        <v>45957</v>
      </c>
      <c r="D5592" t="inlineStr">
        <is>
          <t>KRONOBERGS LÄN</t>
        </is>
      </c>
      <c r="E5592" t="inlineStr">
        <is>
          <t>TINGSRYD</t>
        </is>
      </c>
      <c r="G5592" t="n">
        <v>0.7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45730-2025</t>
        </is>
      </c>
      <c r="B5593" s="1" t="n">
        <v>45923.46226851852</v>
      </c>
      <c r="C5593" s="1" t="n">
        <v>45957</v>
      </c>
      <c r="D5593" t="inlineStr">
        <is>
          <t>KRONOBERGS LÄN</t>
        </is>
      </c>
      <c r="E5593" t="inlineStr">
        <is>
          <t>ÄLMHULT</t>
        </is>
      </c>
      <c r="G5593" t="n">
        <v>0.9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40249-2024</t>
        </is>
      </c>
      <c r="B5594" s="1" t="n">
        <v>45554.61875</v>
      </c>
      <c r="C5594" s="1" t="n">
        <v>45957</v>
      </c>
      <c r="D5594" t="inlineStr">
        <is>
          <t>KRONOBERGS LÄN</t>
        </is>
      </c>
      <c r="E5594" t="inlineStr">
        <is>
          <t>VÄXJÖ</t>
        </is>
      </c>
      <c r="G5594" t="n">
        <v>0.9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33437-2023</t>
        </is>
      </c>
      <c r="B5595" s="1" t="n">
        <v>45129.5234375</v>
      </c>
      <c r="C5595" s="1" t="n">
        <v>45957</v>
      </c>
      <c r="D5595" t="inlineStr">
        <is>
          <t>KRONOBERGS LÄN</t>
        </is>
      </c>
      <c r="E5595" t="inlineStr">
        <is>
          <t>TINGSRYD</t>
        </is>
      </c>
      <c r="G5595" t="n">
        <v>3.4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63204-2023</t>
        </is>
      </c>
      <c r="B5596" s="1" t="n">
        <v>45273.60899305555</v>
      </c>
      <c r="C5596" s="1" t="n">
        <v>45957</v>
      </c>
      <c r="D5596" t="inlineStr">
        <is>
          <t>KRONOBERGS LÄN</t>
        </is>
      </c>
      <c r="E5596" t="inlineStr">
        <is>
          <t>UPPVIDINGE</t>
        </is>
      </c>
      <c r="G5596" t="n">
        <v>1.8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63211-2023</t>
        </is>
      </c>
      <c r="B5597" s="1" t="n">
        <v>45273</v>
      </c>
      <c r="C5597" s="1" t="n">
        <v>45957</v>
      </c>
      <c r="D5597" t="inlineStr">
        <is>
          <t>KRONOBERGS LÄN</t>
        </is>
      </c>
      <c r="E5597" t="inlineStr">
        <is>
          <t>UPPVIDINGE</t>
        </is>
      </c>
      <c r="G5597" t="n">
        <v>2.1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30439-2022</t>
        </is>
      </c>
      <c r="B5598" s="1" t="n">
        <v>44761</v>
      </c>
      <c r="C5598" s="1" t="n">
        <v>45957</v>
      </c>
      <c r="D5598" t="inlineStr">
        <is>
          <t>KRONOBERGS LÄN</t>
        </is>
      </c>
      <c r="E5598" t="inlineStr">
        <is>
          <t>VÄXJÖ</t>
        </is>
      </c>
      <c r="F5598" t="inlineStr">
        <is>
          <t>Kyrkan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20131-2024</t>
        </is>
      </c>
      <c r="B5599" s="1" t="n">
        <v>45434.56020833334</v>
      </c>
      <c r="C5599" s="1" t="n">
        <v>45957</v>
      </c>
      <c r="D5599" t="inlineStr">
        <is>
          <t>KRONOBERGS LÄN</t>
        </is>
      </c>
      <c r="E5599" t="inlineStr">
        <is>
          <t>UPPVIDINGE</t>
        </is>
      </c>
      <c r="G5599" t="n">
        <v>1.4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17750-2024</t>
        </is>
      </c>
      <c r="B5600" s="1" t="n">
        <v>45418.5978125</v>
      </c>
      <c r="C5600" s="1" t="n">
        <v>45957</v>
      </c>
      <c r="D5600" t="inlineStr">
        <is>
          <t>KRONOBERGS LÄN</t>
        </is>
      </c>
      <c r="E5600" t="inlineStr">
        <is>
          <t>ALVESTA</t>
        </is>
      </c>
      <c r="G5600" t="n">
        <v>2.2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30385-2023</t>
        </is>
      </c>
      <c r="B5601" s="1" t="n">
        <v>45111</v>
      </c>
      <c r="C5601" s="1" t="n">
        <v>45957</v>
      </c>
      <c r="D5601" t="inlineStr">
        <is>
          <t>KRONOBERGS LÄN</t>
        </is>
      </c>
      <c r="E5601" t="inlineStr">
        <is>
          <t>LJUNGBY</t>
        </is>
      </c>
      <c r="G5601" t="n">
        <v>2.3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55342-2024</t>
        </is>
      </c>
      <c r="B5602" s="1" t="n">
        <v>45621</v>
      </c>
      <c r="C5602" s="1" t="n">
        <v>45957</v>
      </c>
      <c r="D5602" t="inlineStr">
        <is>
          <t>KRONOBERGS LÄN</t>
        </is>
      </c>
      <c r="E5602" t="inlineStr">
        <is>
          <t>LJUNGBY</t>
        </is>
      </c>
      <c r="G5602" t="n">
        <v>2.4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55382-2024</t>
        </is>
      </c>
      <c r="B5603" s="1" t="n">
        <v>45622</v>
      </c>
      <c r="C5603" s="1" t="n">
        <v>45957</v>
      </c>
      <c r="D5603" t="inlineStr">
        <is>
          <t>KRONOBERGS LÄN</t>
        </is>
      </c>
      <c r="E5603" t="inlineStr">
        <is>
          <t>UPPVIDINGE</t>
        </is>
      </c>
      <c r="G5603" t="n">
        <v>2.3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56047-2023</t>
        </is>
      </c>
      <c r="B5604" s="1" t="n">
        <v>45233</v>
      </c>
      <c r="C5604" s="1" t="n">
        <v>45957</v>
      </c>
      <c r="D5604" t="inlineStr">
        <is>
          <t>KRONOBERGS LÄN</t>
        </is>
      </c>
      <c r="E5604" t="inlineStr">
        <is>
          <t>UPPVIDINGE</t>
        </is>
      </c>
      <c r="G5604" t="n">
        <v>2.1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55443-2024</t>
        </is>
      </c>
      <c r="B5605" s="1" t="n">
        <v>45622</v>
      </c>
      <c r="C5605" s="1" t="n">
        <v>45957</v>
      </c>
      <c r="D5605" t="inlineStr">
        <is>
          <t>KRONOBERGS LÄN</t>
        </is>
      </c>
      <c r="E5605" t="inlineStr">
        <is>
          <t>TINGSRYD</t>
        </is>
      </c>
      <c r="G5605" t="n">
        <v>1.2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62198-2023</t>
        </is>
      </c>
      <c r="B5606" s="1" t="n">
        <v>45267.46962962963</v>
      </c>
      <c r="C5606" s="1" t="n">
        <v>45957</v>
      </c>
      <c r="D5606" t="inlineStr">
        <is>
          <t>KRONOBERGS LÄN</t>
        </is>
      </c>
      <c r="E5606" t="inlineStr">
        <is>
          <t>LJUNGBY</t>
        </is>
      </c>
      <c r="G5606" t="n">
        <v>1.1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62230-2023</t>
        </is>
      </c>
      <c r="B5607" s="1" t="n">
        <v>45267.58740740741</v>
      </c>
      <c r="C5607" s="1" t="n">
        <v>45957</v>
      </c>
      <c r="D5607" t="inlineStr">
        <is>
          <t>KRONOBERGS LÄN</t>
        </is>
      </c>
      <c r="E5607" t="inlineStr">
        <is>
          <t>ALVESTA</t>
        </is>
      </c>
      <c r="G5607" t="n">
        <v>1.5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60364-2024</t>
        </is>
      </c>
      <c r="B5608" s="1" t="n">
        <v>45643.45525462963</v>
      </c>
      <c r="C5608" s="1" t="n">
        <v>45957</v>
      </c>
      <c r="D5608" t="inlineStr">
        <is>
          <t>KRONOBERGS LÄN</t>
        </is>
      </c>
      <c r="E5608" t="inlineStr">
        <is>
          <t>LJUNGBY</t>
        </is>
      </c>
      <c r="G5608" t="n">
        <v>0.9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16944-2025</t>
        </is>
      </c>
      <c r="B5609" s="1" t="n">
        <v>45755</v>
      </c>
      <c r="C5609" s="1" t="n">
        <v>45957</v>
      </c>
      <c r="D5609" t="inlineStr">
        <is>
          <t>KRONOBERGS LÄN</t>
        </is>
      </c>
      <c r="E5609" t="inlineStr">
        <is>
          <t>UPPVIDINGE</t>
        </is>
      </c>
      <c r="G5609" t="n">
        <v>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57948-2023</t>
        </is>
      </c>
      <c r="B5610" s="1" t="n">
        <v>45247</v>
      </c>
      <c r="C5610" s="1" t="n">
        <v>45957</v>
      </c>
      <c r="D5610" t="inlineStr">
        <is>
          <t>KRONOBERGS LÄN</t>
        </is>
      </c>
      <c r="E5610" t="inlineStr">
        <is>
          <t>ALVESTA</t>
        </is>
      </c>
      <c r="G5610" t="n">
        <v>0.5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57952-2023</t>
        </is>
      </c>
      <c r="B5611" s="1" t="n">
        <v>45247.56596064815</v>
      </c>
      <c r="C5611" s="1" t="n">
        <v>45957</v>
      </c>
      <c r="D5611" t="inlineStr">
        <is>
          <t>KRONOBERGS LÄN</t>
        </is>
      </c>
      <c r="E5611" t="inlineStr">
        <is>
          <t>TINGSRYD</t>
        </is>
      </c>
      <c r="G5611" t="n">
        <v>0.7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10849-2023</t>
        </is>
      </c>
      <c r="B5612" s="1" t="n">
        <v>44991.35916666667</v>
      </c>
      <c r="C5612" s="1" t="n">
        <v>45957</v>
      </c>
      <c r="D5612" t="inlineStr">
        <is>
          <t>KRONOBERGS LÄN</t>
        </is>
      </c>
      <c r="E5612" t="inlineStr">
        <is>
          <t>LJUNGBY</t>
        </is>
      </c>
      <c r="G5612" t="n">
        <v>0.6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10855-2023</t>
        </is>
      </c>
      <c r="B5613" s="1" t="n">
        <v>44991.37030092593</v>
      </c>
      <c r="C5613" s="1" t="n">
        <v>45957</v>
      </c>
      <c r="D5613" t="inlineStr">
        <is>
          <t>KRONOBERGS LÄN</t>
        </is>
      </c>
      <c r="E5613" t="inlineStr">
        <is>
          <t>TINGSRYD</t>
        </is>
      </c>
      <c r="G5613" t="n">
        <v>2.4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10856-2023</t>
        </is>
      </c>
      <c r="B5614" s="1" t="n">
        <v>44991.37282407407</v>
      </c>
      <c r="C5614" s="1" t="n">
        <v>45957</v>
      </c>
      <c r="D5614" t="inlineStr">
        <is>
          <t>KRONOBERGS LÄN</t>
        </is>
      </c>
      <c r="E5614" t="inlineStr">
        <is>
          <t>TINGSRYD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14796-2025</t>
        </is>
      </c>
      <c r="B5615" s="1" t="n">
        <v>45742.89054398148</v>
      </c>
      <c r="C5615" s="1" t="n">
        <v>45957</v>
      </c>
      <c r="D5615" t="inlineStr">
        <is>
          <t>KRONOBERGS LÄN</t>
        </is>
      </c>
      <c r="E5615" t="inlineStr">
        <is>
          <t>LJUNGBY</t>
        </is>
      </c>
      <c r="G5615" t="n">
        <v>0.8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10925-2023</t>
        </is>
      </c>
      <c r="B5616" s="1" t="n">
        <v>44991</v>
      </c>
      <c r="C5616" s="1" t="n">
        <v>45957</v>
      </c>
      <c r="D5616" t="inlineStr">
        <is>
          <t>KRONOBERGS LÄN</t>
        </is>
      </c>
      <c r="E5616" t="inlineStr">
        <is>
          <t>LJUNGBY</t>
        </is>
      </c>
      <c r="G5616" t="n">
        <v>7.3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57955-2023</t>
        </is>
      </c>
      <c r="B5617" s="1" t="n">
        <v>45247.56952546296</v>
      </c>
      <c r="C5617" s="1" t="n">
        <v>45957</v>
      </c>
      <c r="D5617" t="inlineStr">
        <is>
          <t>KRONOBERGS LÄN</t>
        </is>
      </c>
      <c r="E5617" t="inlineStr">
        <is>
          <t>TINGSRYD</t>
        </is>
      </c>
      <c r="G5617" t="n">
        <v>0.5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57962-2023</t>
        </is>
      </c>
      <c r="B5618" s="1" t="n">
        <v>45247.57582175926</v>
      </c>
      <c r="C5618" s="1" t="n">
        <v>45957</v>
      </c>
      <c r="D5618" t="inlineStr">
        <is>
          <t>KRONOBERGS LÄN</t>
        </is>
      </c>
      <c r="E5618" t="inlineStr">
        <is>
          <t>TINGSRYD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18202-2025</t>
        </is>
      </c>
      <c r="B5619" s="1" t="n">
        <v>45761.68358796297</v>
      </c>
      <c r="C5619" s="1" t="n">
        <v>45957</v>
      </c>
      <c r="D5619" t="inlineStr">
        <is>
          <t>KRONOBERGS LÄN</t>
        </is>
      </c>
      <c r="E5619" t="inlineStr">
        <is>
          <t>LESSEBO</t>
        </is>
      </c>
      <c r="F5619" t="inlineStr">
        <is>
          <t>Sveaskog</t>
        </is>
      </c>
      <c r="G5619" t="n">
        <v>3.4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14852-2025</t>
        </is>
      </c>
      <c r="B5620" s="1" t="n">
        <v>45743.40726851852</v>
      </c>
      <c r="C5620" s="1" t="n">
        <v>45957</v>
      </c>
      <c r="D5620" t="inlineStr">
        <is>
          <t>KRONOBERGS LÄN</t>
        </is>
      </c>
      <c r="E5620" t="inlineStr">
        <is>
          <t>VÄXJÖ</t>
        </is>
      </c>
      <c r="G5620" t="n">
        <v>5.5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18233-2025</t>
        </is>
      </c>
      <c r="B5621" s="1" t="n">
        <v>45761</v>
      </c>
      <c r="C5621" s="1" t="n">
        <v>45957</v>
      </c>
      <c r="D5621" t="inlineStr">
        <is>
          <t>KRONOBERGS LÄN</t>
        </is>
      </c>
      <c r="E5621" t="inlineStr">
        <is>
          <t>LJUNGBY</t>
        </is>
      </c>
      <c r="G5621" t="n">
        <v>1.3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18234-2025</t>
        </is>
      </c>
      <c r="B5622" s="1" t="n">
        <v>45761.93627314815</v>
      </c>
      <c r="C5622" s="1" t="n">
        <v>45957</v>
      </c>
      <c r="D5622" t="inlineStr">
        <is>
          <t>KRONOBERGS LÄN</t>
        </is>
      </c>
      <c r="E5622" t="inlineStr">
        <is>
          <t>UPPVIDINGE</t>
        </is>
      </c>
      <c r="F5622" t="inlineStr">
        <is>
          <t>Sveaskog</t>
        </is>
      </c>
      <c r="G5622" t="n">
        <v>9.5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18235-2025</t>
        </is>
      </c>
      <c r="B5623" s="1" t="n">
        <v>45761</v>
      </c>
      <c r="C5623" s="1" t="n">
        <v>45957</v>
      </c>
      <c r="D5623" t="inlineStr">
        <is>
          <t>KRONOBERGS LÄN</t>
        </is>
      </c>
      <c r="E5623" t="inlineStr">
        <is>
          <t>UPPVIDINGE</t>
        </is>
      </c>
      <c r="F5623" t="inlineStr">
        <is>
          <t>Sveaskog</t>
        </is>
      </c>
      <c r="G5623" t="n">
        <v>2.2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57111-2022</t>
        </is>
      </c>
      <c r="B5624" s="1" t="n">
        <v>44895.51835648148</v>
      </c>
      <c r="C5624" s="1" t="n">
        <v>45957</v>
      </c>
      <c r="D5624" t="inlineStr">
        <is>
          <t>KRONOBERGS LÄN</t>
        </is>
      </c>
      <c r="E5624" t="inlineStr">
        <is>
          <t>TINGSRYD</t>
        </is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11807-2024</t>
        </is>
      </c>
      <c r="B5625" s="1" t="n">
        <v>45375</v>
      </c>
      <c r="C5625" s="1" t="n">
        <v>45957</v>
      </c>
      <c r="D5625" t="inlineStr">
        <is>
          <t>KRONOBERGS LÄN</t>
        </is>
      </c>
      <c r="E5625" t="inlineStr">
        <is>
          <t>UPPVIDINGE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59785-2024</t>
        </is>
      </c>
      <c r="B5626" s="1" t="n">
        <v>45639.58114583333</v>
      </c>
      <c r="C5626" s="1" t="n">
        <v>45957</v>
      </c>
      <c r="D5626" t="inlineStr">
        <is>
          <t>KRONOBERGS LÄN</t>
        </is>
      </c>
      <c r="E5626" t="inlineStr">
        <is>
          <t>LJUNGBY</t>
        </is>
      </c>
      <c r="G5626" t="n">
        <v>1.6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4352-2025</t>
        </is>
      </c>
      <c r="B5627" s="1" t="n">
        <v>45686.3184375</v>
      </c>
      <c r="C5627" s="1" t="n">
        <v>45957</v>
      </c>
      <c r="D5627" t="inlineStr">
        <is>
          <t>KRONOBERGS LÄN</t>
        </is>
      </c>
      <c r="E5627" t="inlineStr">
        <is>
          <t>LJUNGBY</t>
        </is>
      </c>
      <c r="G5627" t="n">
        <v>0.7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11669-2024</t>
        </is>
      </c>
      <c r="B5628" s="1" t="n">
        <v>45373</v>
      </c>
      <c r="C5628" s="1" t="n">
        <v>45957</v>
      </c>
      <c r="D5628" t="inlineStr">
        <is>
          <t>KRONOBERGS LÄN</t>
        </is>
      </c>
      <c r="E5628" t="inlineStr">
        <is>
          <t>ALVESTA</t>
        </is>
      </c>
      <c r="G5628" t="n">
        <v>2.4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61462-2022</t>
        </is>
      </c>
      <c r="B5629" s="1" t="n">
        <v>44916.42905092592</v>
      </c>
      <c r="C5629" s="1" t="n">
        <v>45957</v>
      </c>
      <c r="D5629" t="inlineStr">
        <is>
          <t>KRONOBERGS LÄN</t>
        </is>
      </c>
      <c r="E5629" t="inlineStr">
        <is>
          <t>TINGSRYD</t>
        </is>
      </c>
      <c r="G5629" t="n">
        <v>0.5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26139-2024</t>
        </is>
      </c>
      <c r="B5630" s="1" t="n">
        <v>45468.49049768518</v>
      </c>
      <c r="C5630" s="1" t="n">
        <v>45957</v>
      </c>
      <c r="D5630" t="inlineStr">
        <is>
          <t>KRONOBERGS LÄN</t>
        </is>
      </c>
      <c r="E5630" t="inlineStr">
        <is>
          <t>VÄXJÖ</t>
        </is>
      </c>
      <c r="G5630" t="n">
        <v>12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20478-2023</t>
        </is>
      </c>
      <c r="B5631" s="1" t="n">
        <v>45057</v>
      </c>
      <c r="C5631" s="1" t="n">
        <v>45957</v>
      </c>
      <c r="D5631" t="inlineStr">
        <is>
          <t>KRONOBERGS LÄN</t>
        </is>
      </c>
      <c r="E5631" t="inlineStr">
        <is>
          <t>VÄXJÖ</t>
        </is>
      </c>
      <c r="G5631" t="n">
        <v>0.7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59250-2023</t>
        </is>
      </c>
      <c r="B5632" s="1" t="n">
        <v>45253.54356481481</v>
      </c>
      <c r="C5632" s="1" t="n">
        <v>45957</v>
      </c>
      <c r="D5632" t="inlineStr">
        <is>
          <t>KRONOBERGS LÄN</t>
        </is>
      </c>
      <c r="E5632" t="inlineStr">
        <is>
          <t>LJUNGBY</t>
        </is>
      </c>
      <c r="G5632" t="n">
        <v>0.4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16727-2025</t>
        </is>
      </c>
      <c r="B5633" s="1" t="n">
        <v>45754.52563657407</v>
      </c>
      <c r="C5633" s="1" t="n">
        <v>45957</v>
      </c>
      <c r="D5633" t="inlineStr">
        <is>
          <t>KRONOBERGS LÄN</t>
        </is>
      </c>
      <c r="E5633" t="inlineStr">
        <is>
          <t>LJUNGBY</t>
        </is>
      </c>
      <c r="G5633" t="n">
        <v>0.8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16730-2025</t>
        </is>
      </c>
      <c r="B5634" s="1" t="n">
        <v>45754.52998842593</v>
      </c>
      <c r="C5634" s="1" t="n">
        <v>45957</v>
      </c>
      <c r="D5634" t="inlineStr">
        <is>
          <t>KRONOBERGS LÄN</t>
        </is>
      </c>
      <c r="E5634" t="inlineStr">
        <is>
          <t>LJUNGBY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64854-2023</t>
        </is>
      </c>
      <c r="B5635" s="1" t="n">
        <v>45282.48534722222</v>
      </c>
      <c r="C5635" s="1" t="n">
        <v>45957</v>
      </c>
      <c r="D5635" t="inlineStr">
        <is>
          <t>KRONOBERGS LÄN</t>
        </is>
      </c>
      <c r="E5635" t="inlineStr">
        <is>
          <t>MARKARYD</t>
        </is>
      </c>
      <c r="G5635" t="n">
        <v>0.7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7589-2023</t>
        </is>
      </c>
      <c r="B5636" s="1" t="n">
        <v>44972.4353587963</v>
      </c>
      <c r="C5636" s="1" t="n">
        <v>45957</v>
      </c>
      <c r="D5636" t="inlineStr">
        <is>
          <t>KRONOBERGS LÄN</t>
        </is>
      </c>
      <c r="E5636" t="inlineStr">
        <is>
          <t>TINGSRYD</t>
        </is>
      </c>
      <c r="G5636" t="n">
        <v>1.6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8434-2023</t>
        </is>
      </c>
      <c r="B5637" s="1" t="n">
        <v>44977.46348379629</v>
      </c>
      <c r="C5637" s="1" t="n">
        <v>45957</v>
      </c>
      <c r="D5637" t="inlineStr">
        <is>
          <t>KRONOBERGS LÄN</t>
        </is>
      </c>
      <c r="E5637" t="inlineStr">
        <is>
          <t>ÄLMHULT</t>
        </is>
      </c>
      <c r="G5637" t="n">
        <v>2.5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19070-2024</t>
        </is>
      </c>
      <c r="B5638" s="1" t="n">
        <v>45427.93607638889</v>
      </c>
      <c r="C5638" s="1" t="n">
        <v>45957</v>
      </c>
      <c r="D5638" t="inlineStr">
        <is>
          <t>KRONOBERGS LÄN</t>
        </is>
      </c>
      <c r="E5638" t="inlineStr">
        <is>
          <t>UPPVIDINGE</t>
        </is>
      </c>
      <c r="G5638" t="n">
        <v>0.7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19074-2024</t>
        </is>
      </c>
      <c r="B5639" s="1" t="n">
        <v>45427</v>
      </c>
      <c r="C5639" s="1" t="n">
        <v>45957</v>
      </c>
      <c r="D5639" t="inlineStr">
        <is>
          <t>KRONOBERGS LÄN</t>
        </is>
      </c>
      <c r="E5639" t="inlineStr">
        <is>
          <t>VÄXJÖ</t>
        </is>
      </c>
      <c r="G5639" t="n">
        <v>0.6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11594-2024</t>
        </is>
      </c>
      <c r="B5640" s="1" t="n">
        <v>45373.37761574074</v>
      </c>
      <c r="C5640" s="1" t="n">
        <v>45957</v>
      </c>
      <c r="D5640" t="inlineStr">
        <is>
          <t>KRONOBERGS LÄN</t>
        </is>
      </c>
      <c r="E5640" t="inlineStr">
        <is>
          <t>ÄLMHULT</t>
        </is>
      </c>
      <c r="F5640" t="inlineStr">
        <is>
          <t>Sveaskog</t>
        </is>
      </c>
      <c r="G5640" t="n">
        <v>3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11597-2024</t>
        </is>
      </c>
      <c r="B5641" s="1" t="n">
        <v>45373.38342592592</v>
      </c>
      <c r="C5641" s="1" t="n">
        <v>45957</v>
      </c>
      <c r="D5641" t="inlineStr">
        <is>
          <t>KRONOBERGS LÄN</t>
        </is>
      </c>
      <c r="E5641" t="inlineStr">
        <is>
          <t>ÄLMHULT</t>
        </is>
      </c>
      <c r="F5641" t="inlineStr">
        <is>
          <t>Sveaskog</t>
        </is>
      </c>
      <c r="G5641" t="n">
        <v>1.6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52449-2023</t>
        </is>
      </c>
      <c r="B5642" s="1" t="n">
        <v>45225</v>
      </c>
      <c r="C5642" s="1" t="n">
        <v>45957</v>
      </c>
      <c r="D5642" t="inlineStr">
        <is>
          <t>KRONOBERGS LÄN</t>
        </is>
      </c>
      <c r="E5642" t="inlineStr">
        <is>
          <t>UPPVIDINGE</t>
        </is>
      </c>
      <c r="G5642" t="n">
        <v>2.6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15223-2024</t>
        </is>
      </c>
      <c r="B5643" s="1" t="n">
        <v>45400.47762731482</v>
      </c>
      <c r="C5643" s="1" t="n">
        <v>45957</v>
      </c>
      <c r="D5643" t="inlineStr">
        <is>
          <t>KRONOBERGS LÄN</t>
        </is>
      </c>
      <c r="E5643" t="inlineStr">
        <is>
          <t>VÄXJÖ</t>
        </is>
      </c>
      <c r="G5643" t="n">
        <v>0.9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56955-2024</t>
        </is>
      </c>
      <c r="B5644" s="1" t="n">
        <v>45628</v>
      </c>
      <c r="C5644" s="1" t="n">
        <v>45957</v>
      </c>
      <c r="D5644" t="inlineStr">
        <is>
          <t>KRONOBERGS LÄN</t>
        </is>
      </c>
      <c r="E5644" t="inlineStr">
        <is>
          <t>ÄLMHULT</t>
        </is>
      </c>
      <c r="G5644" t="n">
        <v>1.5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50635-2024</t>
        </is>
      </c>
      <c r="B5645" s="1" t="n">
        <v>45601.67561342593</v>
      </c>
      <c r="C5645" s="1" t="n">
        <v>45957</v>
      </c>
      <c r="D5645" t="inlineStr">
        <is>
          <t>KRONOBERGS LÄN</t>
        </is>
      </c>
      <c r="E5645" t="inlineStr">
        <is>
          <t>TINGSRYD</t>
        </is>
      </c>
      <c r="G5645" t="n">
        <v>0.6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49010-2024</t>
        </is>
      </c>
      <c r="B5646" s="1" t="n">
        <v>45594.50193287037</v>
      </c>
      <c r="C5646" s="1" t="n">
        <v>45957</v>
      </c>
      <c r="D5646" t="inlineStr">
        <is>
          <t>KRONOBERGS LÄN</t>
        </is>
      </c>
      <c r="E5646" t="inlineStr">
        <is>
          <t>VÄXJÖ</t>
        </is>
      </c>
      <c r="F5646" t="inlineStr">
        <is>
          <t>Sveaskog</t>
        </is>
      </c>
      <c r="G5646" t="n">
        <v>0.8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49013-2024</t>
        </is>
      </c>
      <c r="B5647" s="1" t="n">
        <v>45594.50355324074</v>
      </c>
      <c r="C5647" s="1" t="n">
        <v>45957</v>
      </c>
      <c r="D5647" t="inlineStr">
        <is>
          <t>KRONOBERGS LÄN</t>
        </is>
      </c>
      <c r="E5647" t="inlineStr">
        <is>
          <t>VÄXJÖ</t>
        </is>
      </c>
      <c r="F5647" t="inlineStr">
        <is>
          <t>Sveaskog</t>
        </is>
      </c>
      <c r="G5647" t="n">
        <v>0.8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49026-2024</t>
        </is>
      </c>
      <c r="B5648" s="1" t="n">
        <v>45594.51657407408</v>
      </c>
      <c r="C5648" s="1" t="n">
        <v>45957</v>
      </c>
      <c r="D5648" t="inlineStr">
        <is>
          <t>KRONOBERGS LÄN</t>
        </is>
      </c>
      <c r="E5648" t="inlineStr">
        <is>
          <t>VÄXJÖ</t>
        </is>
      </c>
      <c r="F5648" t="inlineStr">
        <is>
          <t>Sveaskog</t>
        </is>
      </c>
      <c r="G5648" t="n">
        <v>0.7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7897-2024</t>
        </is>
      </c>
      <c r="B5649" s="1" t="n">
        <v>45350</v>
      </c>
      <c r="C5649" s="1" t="n">
        <v>45957</v>
      </c>
      <c r="D5649" t="inlineStr">
        <is>
          <t>KRONOBERGS LÄN</t>
        </is>
      </c>
      <c r="E5649" t="inlineStr">
        <is>
          <t>UPPVIDINGE</t>
        </is>
      </c>
      <c r="G5649" t="n">
        <v>3.1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2445-2024</t>
        </is>
      </c>
      <c r="B5650" s="1" t="n">
        <v>45311.62662037037</v>
      </c>
      <c r="C5650" s="1" t="n">
        <v>45957</v>
      </c>
      <c r="D5650" t="inlineStr">
        <is>
          <t>KRONOBERGS LÄN</t>
        </is>
      </c>
      <c r="E5650" t="inlineStr">
        <is>
          <t>ÄLMHULT</t>
        </is>
      </c>
      <c r="G5650" t="n">
        <v>0.6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10844-2023</t>
        </is>
      </c>
      <c r="B5651" s="1" t="n">
        <v>44991.34855324074</v>
      </c>
      <c r="C5651" s="1" t="n">
        <v>45957</v>
      </c>
      <c r="D5651" t="inlineStr">
        <is>
          <t>KRONOBERGS LÄN</t>
        </is>
      </c>
      <c r="E5651" t="inlineStr">
        <is>
          <t>LJUNGBY</t>
        </is>
      </c>
      <c r="G5651" t="n">
        <v>1.7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14568-2023</t>
        </is>
      </c>
      <c r="B5652" s="1" t="n">
        <v>45013.46271990741</v>
      </c>
      <c r="C5652" s="1" t="n">
        <v>45957</v>
      </c>
      <c r="D5652" t="inlineStr">
        <is>
          <t>KRONOBERGS LÄN</t>
        </is>
      </c>
      <c r="E5652" t="inlineStr">
        <is>
          <t>MARKARYD</t>
        </is>
      </c>
      <c r="G5652" t="n">
        <v>1.3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22213-2024</t>
        </is>
      </c>
      <c r="B5653" s="1" t="n">
        <v>45446.39304398148</v>
      </c>
      <c r="C5653" s="1" t="n">
        <v>45957</v>
      </c>
      <c r="D5653" t="inlineStr">
        <is>
          <t>KRONOBERGS LÄN</t>
        </is>
      </c>
      <c r="E5653" t="inlineStr">
        <is>
          <t>VÄXJÖ</t>
        </is>
      </c>
      <c r="G5653" t="n">
        <v>1.3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8571-2023</t>
        </is>
      </c>
      <c r="B5654" s="1" t="n">
        <v>44977.63971064815</v>
      </c>
      <c r="C5654" s="1" t="n">
        <v>45957</v>
      </c>
      <c r="D5654" t="inlineStr">
        <is>
          <t>KRONOBERGS LÄN</t>
        </is>
      </c>
      <c r="E5654" t="inlineStr">
        <is>
          <t>VÄXJÖ</t>
        </is>
      </c>
      <c r="G5654" t="n">
        <v>0.7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11937-2023</t>
        </is>
      </c>
      <c r="B5655" s="1" t="n">
        <v>44995.50556712963</v>
      </c>
      <c r="C5655" s="1" t="n">
        <v>45957</v>
      </c>
      <c r="D5655" t="inlineStr">
        <is>
          <t>KRONOBERGS LÄN</t>
        </is>
      </c>
      <c r="E5655" t="inlineStr">
        <is>
          <t>ALVESTA</t>
        </is>
      </c>
      <c r="G5655" t="n">
        <v>1.9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19669-2025</t>
        </is>
      </c>
      <c r="B5656" s="1" t="n">
        <v>45770.6984837963</v>
      </c>
      <c r="C5656" s="1" t="n">
        <v>45957</v>
      </c>
      <c r="D5656" t="inlineStr">
        <is>
          <t>KRONOBERGS LÄN</t>
        </is>
      </c>
      <c r="E5656" t="inlineStr">
        <is>
          <t>MARKARYD</t>
        </is>
      </c>
      <c r="G5656" t="n">
        <v>3.9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14427-2023</t>
        </is>
      </c>
      <c r="B5657" s="1" t="n">
        <v>45009</v>
      </c>
      <c r="C5657" s="1" t="n">
        <v>45957</v>
      </c>
      <c r="D5657" t="inlineStr">
        <is>
          <t>KRONOBERGS LÄN</t>
        </is>
      </c>
      <c r="E5657" t="inlineStr">
        <is>
          <t>VÄXJÖ</t>
        </is>
      </c>
      <c r="F5657" t="inlineStr">
        <is>
          <t>Kyrkan</t>
        </is>
      </c>
      <c r="G5657" t="n">
        <v>3.4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16301-2024</t>
        </is>
      </c>
      <c r="B5658" s="1" t="n">
        <v>45407</v>
      </c>
      <c r="C5658" s="1" t="n">
        <v>45957</v>
      </c>
      <c r="D5658" t="inlineStr">
        <is>
          <t>KRONOBERGS LÄN</t>
        </is>
      </c>
      <c r="E5658" t="inlineStr">
        <is>
          <t>ALVESTA</t>
        </is>
      </c>
      <c r="G5658" t="n">
        <v>2.9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7383-2023</t>
        </is>
      </c>
      <c r="B5659" s="1" t="n">
        <v>44971.45475694445</v>
      </c>
      <c r="C5659" s="1" t="n">
        <v>45957</v>
      </c>
      <c r="D5659" t="inlineStr">
        <is>
          <t>KRONOBERGS LÄN</t>
        </is>
      </c>
      <c r="E5659" t="inlineStr">
        <is>
          <t>LJUNGBY</t>
        </is>
      </c>
      <c r="G5659" t="n">
        <v>0.2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19196-2025</t>
        </is>
      </c>
      <c r="B5660" s="1" t="n">
        <v>45769</v>
      </c>
      <c r="C5660" s="1" t="n">
        <v>45957</v>
      </c>
      <c r="D5660" t="inlineStr">
        <is>
          <t>KRONOBERGS LÄN</t>
        </is>
      </c>
      <c r="E5660" t="inlineStr">
        <is>
          <t>ÄLMHULT</t>
        </is>
      </c>
      <c r="G5660" t="n">
        <v>26.2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19209-2025</t>
        </is>
      </c>
      <c r="B5661" s="1" t="n">
        <v>45769</v>
      </c>
      <c r="C5661" s="1" t="n">
        <v>45957</v>
      </c>
      <c r="D5661" t="inlineStr">
        <is>
          <t>KRONOBERGS LÄN</t>
        </is>
      </c>
      <c r="E5661" t="inlineStr">
        <is>
          <t>ÄLMHULT</t>
        </is>
      </c>
      <c r="G5661" t="n">
        <v>3.7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3357-2025</t>
        </is>
      </c>
      <c r="B5662" s="1" t="n">
        <v>45679.92653935185</v>
      </c>
      <c r="C5662" s="1" t="n">
        <v>45957</v>
      </c>
      <c r="D5662" t="inlineStr">
        <is>
          <t>KRONOBERGS LÄN</t>
        </is>
      </c>
      <c r="E5662" t="inlineStr">
        <is>
          <t>VÄXJÖ</t>
        </is>
      </c>
      <c r="G5662" t="n">
        <v>0.6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6809-2022</t>
        </is>
      </c>
      <c r="B5663" s="1" t="n">
        <v>44602.57952546296</v>
      </c>
      <c r="C5663" s="1" t="n">
        <v>45957</v>
      </c>
      <c r="D5663" t="inlineStr">
        <is>
          <t>KRONOBERGS LÄN</t>
        </is>
      </c>
      <c r="E5663" t="inlineStr">
        <is>
          <t>VÄXJÖ</t>
        </is>
      </c>
      <c r="G5663" t="n">
        <v>1.2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25569-2022</t>
        </is>
      </c>
      <c r="B5664" s="1" t="n">
        <v>44732</v>
      </c>
      <c r="C5664" s="1" t="n">
        <v>45957</v>
      </c>
      <c r="D5664" t="inlineStr">
        <is>
          <t>KRONOBERGS LÄN</t>
        </is>
      </c>
      <c r="E5664" t="inlineStr">
        <is>
          <t>VÄXJÖ</t>
        </is>
      </c>
      <c r="G5664" t="n">
        <v>5.9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20964-2023</t>
        </is>
      </c>
      <c r="B5665" s="1" t="n">
        <v>45061</v>
      </c>
      <c r="C5665" s="1" t="n">
        <v>45957</v>
      </c>
      <c r="D5665" t="inlineStr">
        <is>
          <t>KRONOBERGS LÄN</t>
        </is>
      </c>
      <c r="E5665" t="inlineStr">
        <is>
          <t>ÄLMHULT</t>
        </is>
      </c>
      <c r="G5665" t="n">
        <v>4.5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10599-2023</t>
        </is>
      </c>
      <c r="B5666" s="1" t="n">
        <v>44988.39340277778</v>
      </c>
      <c r="C5666" s="1" t="n">
        <v>45957</v>
      </c>
      <c r="D5666" t="inlineStr">
        <is>
          <t>KRONOBERGS LÄN</t>
        </is>
      </c>
      <c r="E5666" t="inlineStr">
        <is>
          <t>TINGSRYD</t>
        </is>
      </c>
      <c r="G5666" t="n">
        <v>0.7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41826-2023</t>
        </is>
      </c>
      <c r="B5667" s="1" t="n">
        <v>45176.58371527777</v>
      </c>
      <c r="C5667" s="1" t="n">
        <v>45957</v>
      </c>
      <c r="D5667" t="inlineStr">
        <is>
          <t>KRONOBERGS LÄN</t>
        </is>
      </c>
      <c r="E5667" t="inlineStr">
        <is>
          <t>VÄXJÖ</t>
        </is>
      </c>
      <c r="G5667" t="n">
        <v>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32664-2023</t>
        </is>
      </c>
      <c r="B5668" s="1" t="n">
        <v>45111</v>
      </c>
      <c r="C5668" s="1" t="n">
        <v>45957</v>
      </c>
      <c r="D5668" t="inlineStr">
        <is>
          <t>KRONOBERGS LÄN</t>
        </is>
      </c>
      <c r="E5668" t="inlineStr">
        <is>
          <t>LJUNGBY</t>
        </is>
      </c>
      <c r="G5668" t="n">
        <v>3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59631-2024</t>
        </is>
      </c>
      <c r="B5669" s="1" t="n">
        <v>45638.91269675926</v>
      </c>
      <c r="C5669" s="1" t="n">
        <v>45957</v>
      </c>
      <c r="D5669" t="inlineStr">
        <is>
          <t>KRONOBERGS LÄN</t>
        </is>
      </c>
      <c r="E5669" t="inlineStr">
        <is>
          <t>ÄLMHULT</t>
        </is>
      </c>
      <c r="G5669" t="n">
        <v>4.7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30918-2023</t>
        </is>
      </c>
      <c r="B5670" s="1" t="n">
        <v>45113.43203703704</v>
      </c>
      <c r="C5670" s="1" t="n">
        <v>45957</v>
      </c>
      <c r="D5670" t="inlineStr">
        <is>
          <t>KRONOBERGS LÄN</t>
        </is>
      </c>
      <c r="E5670" t="inlineStr">
        <is>
          <t>TINGSRYD</t>
        </is>
      </c>
      <c r="G5670" t="n">
        <v>3.9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42784-2023</t>
        </is>
      </c>
      <c r="B5671" s="1" t="n">
        <v>45181</v>
      </c>
      <c r="C5671" s="1" t="n">
        <v>45957</v>
      </c>
      <c r="D5671" t="inlineStr">
        <is>
          <t>KRONOBERGS LÄN</t>
        </is>
      </c>
      <c r="E5671" t="inlineStr">
        <is>
          <t>LJUNGBY</t>
        </is>
      </c>
      <c r="G5671" t="n">
        <v>2.3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32079-2023</t>
        </is>
      </c>
      <c r="B5672" s="1" t="n">
        <v>45119.58694444445</v>
      </c>
      <c r="C5672" s="1" t="n">
        <v>45957</v>
      </c>
      <c r="D5672" t="inlineStr">
        <is>
          <t>KRONOBERGS LÄN</t>
        </is>
      </c>
      <c r="E5672" t="inlineStr">
        <is>
          <t>LJUNGBY</t>
        </is>
      </c>
      <c r="G5672" t="n">
        <v>0.6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4423-2023</t>
        </is>
      </c>
      <c r="B5673" s="1" t="n">
        <v>44956.39506944444</v>
      </c>
      <c r="C5673" s="1" t="n">
        <v>45957</v>
      </c>
      <c r="D5673" t="inlineStr">
        <is>
          <t>KRONOBERGS LÄN</t>
        </is>
      </c>
      <c r="E5673" t="inlineStr">
        <is>
          <t>VÄXJÖ</t>
        </is>
      </c>
      <c r="G5673" t="n">
        <v>0.5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12183-2023</t>
        </is>
      </c>
      <c r="B5674" s="1" t="n">
        <v>44998.55319444444</v>
      </c>
      <c r="C5674" s="1" t="n">
        <v>45957</v>
      </c>
      <c r="D5674" t="inlineStr">
        <is>
          <t>KRONOBERGS LÄN</t>
        </is>
      </c>
      <c r="E5674" t="inlineStr">
        <is>
          <t>UPPVIDINGE</t>
        </is>
      </c>
      <c r="G5674" t="n">
        <v>2.3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  <c r="U5674">
        <f>HYPERLINK("https://klasma.github.io/Logging_0760/knärot/A 12183-2023 karta knärot.png", "A 12183-2023")</f>
        <v/>
      </c>
      <c r="V5674">
        <f>HYPERLINK("https://klasma.github.io/Logging_0760/klagomål/A 12183-2023 FSC-klagomål.docx", "A 12183-2023")</f>
        <v/>
      </c>
      <c r="W5674">
        <f>HYPERLINK("https://klasma.github.io/Logging_0760/klagomålsmail/A 12183-2023 FSC-klagomål mail.docx", "A 12183-2023")</f>
        <v/>
      </c>
      <c r="X5674">
        <f>HYPERLINK("https://klasma.github.io/Logging_0760/tillsyn/A 12183-2023 tillsynsbegäran.docx", "A 12183-2023")</f>
        <v/>
      </c>
      <c r="Y5674">
        <f>HYPERLINK("https://klasma.github.io/Logging_0760/tillsynsmail/A 12183-2023 tillsynsbegäran mail.docx", "A 12183-2023")</f>
        <v/>
      </c>
    </row>
    <row r="5675" ht="15" customHeight="1">
      <c r="A5675" t="inlineStr">
        <is>
          <t>A 64715-2023</t>
        </is>
      </c>
      <c r="B5675" s="1" t="n">
        <v>45281.69575231482</v>
      </c>
      <c r="C5675" s="1" t="n">
        <v>45957</v>
      </c>
      <c r="D5675" t="inlineStr">
        <is>
          <t>KRONOBERGS LÄN</t>
        </is>
      </c>
      <c r="E5675" t="inlineStr">
        <is>
          <t>VÄXJÖ</t>
        </is>
      </c>
      <c r="G5675" t="n">
        <v>1.4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3531-2025</t>
        </is>
      </c>
      <c r="B5676" s="1" t="n">
        <v>45680</v>
      </c>
      <c r="C5676" s="1" t="n">
        <v>45957</v>
      </c>
      <c r="D5676" t="inlineStr">
        <is>
          <t>KRONOBERGS LÄN</t>
        </is>
      </c>
      <c r="E5676" t="inlineStr">
        <is>
          <t>TINGSRYD</t>
        </is>
      </c>
      <c r="G5676" t="n">
        <v>0.6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49747-2023</t>
        </is>
      </c>
      <c r="B5677" s="1" t="n">
        <v>45212</v>
      </c>
      <c r="C5677" s="1" t="n">
        <v>45957</v>
      </c>
      <c r="D5677" t="inlineStr">
        <is>
          <t>KRONOBERGS LÄN</t>
        </is>
      </c>
      <c r="E5677" t="inlineStr">
        <is>
          <t>LJUNGBY</t>
        </is>
      </c>
      <c r="G5677" t="n">
        <v>6.7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30044-2023</t>
        </is>
      </c>
      <c r="B5678" s="1" t="n">
        <v>45110.37491898148</v>
      </c>
      <c r="C5678" s="1" t="n">
        <v>45957</v>
      </c>
      <c r="D5678" t="inlineStr">
        <is>
          <t>KRONOBERGS LÄN</t>
        </is>
      </c>
      <c r="E5678" t="inlineStr">
        <is>
          <t>TINGSRYD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2310-2025</t>
        </is>
      </c>
      <c r="B5679" s="1" t="n">
        <v>45673.60282407407</v>
      </c>
      <c r="C5679" s="1" t="n">
        <v>45957</v>
      </c>
      <c r="D5679" t="inlineStr">
        <is>
          <t>KRONOBERGS LÄN</t>
        </is>
      </c>
      <c r="E5679" t="inlineStr">
        <is>
          <t>ALVESTA</t>
        </is>
      </c>
      <c r="G5679" t="n">
        <v>1.3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7887-2025</t>
        </is>
      </c>
      <c r="B5680" s="1" t="n">
        <v>45706.93050925926</v>
      </c>
      <c r="C5680" s="1" t="n">
        <v>45957</v>
      </c>
      <c r="D5680" t="inlineStr">
        <is>
          <t>KRONOBERGS LÄN</t>
        </is>
      </c>
      <c r="E5680" t="inlineStr">
        <is>
          <t>ALVESTA</t>
        </is>
      </c>
      <c r="G5680" t="n">
        <v>0.9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29579-2022</t>
        </is>
      </c>
      <c r="B5681" s="1" t="n">
        <v>44754</v>
      </c>
      <c r="C5681" s="1" t="n">
        <v>45957</v>
      </c>
      <c r="D5681" t="inlineStr">
        <is>
          <t>KRONOBERGS LÄN</t>
        </is>
      </c>
      <c r="E5681" t="inlineStr">
        <is>
          <t>ALVESTA</t>
        </is>
      </c>
      <c r="G5681" t="n">
        <v>1.7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49078-2023</t>
        </is>
      </c>
      <c r="B5682" s="1" t="n">
        <v>45210.37579861111</v>
      </c>
      <c r="C5682" s="1" t="n">
        <v>45957</v>
      </c>
      <c r="D5682" t="inlineStr">
        <is>
          <t>KRONOBERGS LÄN</t>
        </is>
      </c>
      <c r="E5682" t="inlineStr">
        <is>
          <t>ALVESTA</t>
        </is>
      </c>
      <c r="G5682" t="n">
        <v>1.2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19225-2024</t>
        </is>
      </c>
      <c r="B5683" s="1" t="n">
        <v>45428.55946759259</v>
      </c>
      <c r="C5683" s="1" t="n">
        <v>45957</v>
      </c>
      <c r="D5683" t="inlineStr">
        <is>
          <t>KRONOBERGS LÄN</t>
        </is>
      </c>
      <c r="E5683" t="inlineStr">
        <is>
          <t>UPPVIDINGE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19236-2024</t>
        </is>
      </c>
      <c r="B5684" s="1" t="n">
        <v>45428.5703587963</v>
      </c>
      <c r="C5684" s="1" t="n">
        <v>45957</v>
      </c>
      <c r="D5684" t="inlineStr">
        <is>
          <t>KRONOBERGS LÄN</t>
        </is>
      </c>
      <c r="E5684" t="inlineStr">
        <is>
          <t>UPPVIDINGE</t>
        </is>
      </c>
      <c r="G5684" t="n">
        <v>2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19242-2024</t>
        </is>
      </c>
      <c r="B5685" s="1" t="n">
        <v>45428.57371527778</v>
      </c>
      <c r="C5685" s="1" t="n">
        <v>45957</v>
      </c>
      <c r="D5685" t="inlineStr">
        <is>
          <t>KRONOBERGS LÄN</t>
        </is>
      </c>
      <c r="E5685" t="inlineStr">
        <is>
          <t>UPPVIDINGE</t>
        </is>
      </c>
      <c r="G5685" t="n">
        <v>0.6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37791-2025</t>
        </is>
      </c>
      <c r="B5686" s="1" t="n">
        <v>45881</v>
      </c>
      <c r="C5686" s="1" t="n">
        <v>45957</v>
      </c>
      <c r="D5686" t="inlineStr">
        <is>
          <t>KRONOBERGS LÄN</t>
        </is>
      </c>
      <c r="E5686" t="inlineStr">
        <is>
          <t>VÄXJÖ</t>
        </is>
      </c>
      <c r="G5686" t="n">
        <v>2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37793-2025</t>
        </is>
      </c>
      <c r="B5687" s="1" t="n">
        <v>45881.31761574074</v>
      </c>
      <c r="C5687" s="1" t="n">
        <v>45957</v>
      </c>
      <c r="D5687" t="inlineStr">
        <is>
          <t>KRONOBERGS LÄN</t>
        </is>
      </c>
      <c r="E5687" t="inlineStr">
        <is>
          <t>LJUNGBY</t>
        </is>
      </c>
      <c r="G5687" t="n">
        <v>1.6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37805-2025</t>
        </is>
      </c>
      <c r="B5688" s="1" t="n">
        <v>45881</v>
      </c>
      <c r="C5688" s="1" t="n">
        <v>45957</v>
      </c>
      <c r="D5688" t="inlineStr">
        <is>
          <t>KRONOBERGS LÄN</t>
        </is>
      </c>
      <c r="E5688" t="inlineStr">
        <is>
          <t>LJUNGBY</t>
        </is>
      </c>
      <c r="G5688" t="n">
        <v>3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37841-2025</t>
        </is>
      </c>
      <c r="B5689" s="1" t="n">
        <v>45881</v>
      </c>
      <c r="C5689" s="1" t="n">
        <v>45957</v>
      </c>
      <c r="D5689" t="inlineStr">
        <is>
          <t>KRONOBERGS LÄN</t>
        </is>
      </c>
      <c r="E5689" t="inlineStr">
        <is>
          <t>UPPVIDINGE</t>
        </is>
      </c>
      <c r="G5689" t="n">
        <v>2.1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50938-2024</t>
        </is>
      </c>
      <c r="B5690" s="1" t="n">
        <v>45602.91650462963</v>
      </c>
      <c r="C5690" s="1" t="n">
        <v>45957</v>
      </c>
      <c r="D5690" t="inlineStr">
        <is>
          <t>KRONOBERGS LÄN</t>
        </is>
      </c>
      <c r="E5690" t="inlineStr">
        <is>
          <t>LJUNGBY</t>
        </is>
      </c>
      <c r="G5690" t="n">
        <v>3.1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59585-2024</t>
        </is>
      </c>
      <c r="B5691" s="1" t="n">
        <v>45638.67876157408</v>
      </c>
      <c r="C5691" s="1" t="n">
        <v>45957</v>
      </c>
      <c r="D5691" t="inlineStr">
        <is>
          <t>KRONOBERGS LÄN</t>
        </is>
      </c>
      <c r="E5691" t="inlineStr">
        <is>
          <t>ÄLMHULT</t>
        </is>
      </c>
      <c r="G5691" t="n">
        <v>2.6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34465-2023</t>
        </is>
      </c>
      <c r="B5692" s="1" t="n">
        <v>45139</v>
      </c>
      <c r="C5692" s="1" t="n">
        <v>45957</v>
      </c>
      <c r="D5692" t="inlineStr">
        <is>
          <t>KRONOBERGS LÄN</t>
        </is>
      </c>
      <c r="E5692" t="inlineStr">
        <is>
          <t>TINGSRYD</t>
        </is>
      </c>
      <c r="G5692" t="n">
        <v>3.5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15773-2024</t>
        </is>
      </c>
      <c r="B5693" s="1" t="n">
        <v>45404.59559027778</v>
      </c>
      <c r="C5693" s="1" t="n">
        <v>45957</v>
      </c>
      <c r="D5693" t="inlineStr">
        <is>
          <t>KRONOBERGS LÄN</t>
        </is>
      </c>
      <c r="E5693" t="inlineStr">
        <is>
          <t>MARKARYD</t>
        </is>
      </c>
      <c r="G5693" t="n">
        <v>1.6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34272-2023</t>
        </is>
      </c>
      <c r="B5694" s="1" t="n">
        <v>45128</v>
      </c>
      <c r="C5694" s="1" t="n">
        <v>45957</v>
      </c>
      <c r="D5694" t="inlineStr">
        <is>
          <t>KRONOBERGS LÄN</t>
        </is>
      </c>
      <c r="E5694" t="inlineStr">
        <is>
          <t>ALVESTA</t>
        </is>
      </c>
      <c r="G5694" t="n">
        <v>0.6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34478-2021</t>
        </is>
      </c>
      <c r="B5695" s="1" t="n">
        <v>44381.93877314815</v>
      </c>
      <c r="C5695" s="1" t="n">
        <v>45957</v>
      </c>
      <c r="D5695" t="inlineStr">
        <is>
          <t>KRONOBERGS LÄN</t>
        </is>
      </c>
      <c r="E5695" t="inlineStr">
        <is>
          <t>ALVESTA</t>
        </is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51172-2022</t>
        </is>
      </c>
      <c r="B5696" s="1" t="n">
        <v>44868.56361111111</v>
      </c>
      <c r="C5696" s="1" t="n">
        <v>45957</v>
      </c>
      <c r="D5696" t="inlineStr">
        <is>
          <t>KRONOBERGS LÄN</t>
        </is>
      </c>
      <c r="E5696" t="inlineStr">
        <is>
          <t>LJUNGBY</t>
        </is>
      </c>
      <c r="G5696" t="n">
        <v>2.3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54454-2022</t>
        </is>
      </c>
      <c r="B5697" s="1" t="n">
        <v>44882</v>
      </c>
      <c r="C5697" s="1" t="n">
        <v>45957</v>
      </c>
      <c r="D5697" t="inlineStr">
        <is>
          <t>KRONOBERGS LÄN</t>
        </is>
      </c>
      <c r="E5697" t="inlineStr">
        <is>
          <t>LJUNGBY</t>
        </is>
      </c>
      <c r="G5697" t="n">
        <v>2.8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25707-2023</t>
        </is>
      </c>
      <c r="B5698" s="1" t="n">
        <v>45090</v>
      </c>
      <c r="C5698" s="1" t="n">
        <v>45957</v>
      </c>
      <c r="D5698" t="inlineStr">
        <is>
          <t>KRONOBERGS LÄN</t>
        </is>
      </c>
      <c r="E5698" t="inlineStr">
        <is>
          <t>ÄLMHULT</t>
        </is>
      </c>
      <c r="G5698" t="n">
        <v>0.7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25806-2023</t>
        </is>
      </c>
      <c r="B5699" s="1" t="n">
        <v>45090.5199537037</v>
      </c>
      <c r="C5699" s="1" t="n">
        <v>45957</v>
      </c>
      <c r="D5699" t="inlineStr">
        <is>
          <t>KRONOBERGS LÄN</t>
        </is>
      </c>
      <c r="E5699" t="inlineStr">
        <is>
          <t>VÄXJÖ</t>
        </is>
      </c>
      <c r="G5699" t="n">
        <v>0.7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5126-2025</t>
        </is>
      </c>
      <c r="B5700" s="1" t="n">
        <v>45691.56284722222</v>
      </c>
      <c r="C5700" s="1" t="n">
        <v>45957</v>
      </c>
      <c r="D5700" t="inlineStr">
        <is>
          <t>KRONOBERGS LÄN</t>
        </is>
      </c>
      <c r="E5700" t="inlineStr">
        <is>
          <t>UPPVIDINGE</t>
        </is>
      </c>
      <c r="G5700" t="n">
        <v>2.8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44304-2023</t>
        </is>
      </c>
      <c r="B5701" s="1" t="n">
        <v>45188</v>
      </c>
      <c r="C5701" s="1" t="n">
        <v>45957</v>
      </c>
      <c r="D5701" t="inlineStr">
        <is>
          <t>KRONOBERGS LÄN</t>
        </is>
      </c>
      <c r="E5701" t="inlineStr">
        <is>
          <t>LJUNGBY</t>
        </is>
      </c>
      <c r="G5701" t="n">
        <v>4.8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20485-2025</t>
        </is>
      </c>
      <c r="B5702" s="1" t="n">
        <v>45775.56107638889</v>
      </c>
      <c r="C5702" s="1" t="n">
        <v>45957</v>
      </c>
      <c r="D5702" t="inlineStr">
        <is>
          <t>KRONOBERGS LÄN</t>
        </is>
      </c>
      <c r="E5702" t="inlineStr">
        <is>
          <t>LESSEBO</t>
        </is>
      </c>
      <c r="F5702" t="inlineStr">
        <is>
          <t>Sveaskog</t>
        </is>
      </c>
      <c r="G5702" t="n">
        <v>1.1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33355-2023</t>
        </is>
      </c>
      <c r="B5703" s="1" t="n">
        <v>45117</v>
      </c>
      <c r="C5703" s="1" t="n">
        <v>45957</v>
      </c>
      <c r="D5703" t="inlineStr">
        <is>
          <t>KRONOBERGS LÄN</t>
        </is>
      </c>
      <c r="E5703" t="inlineStr">
        <is>
          <t>TINGSRYD</t>
        </is>
      </c>
      <c r="G5703" t="n">
        <v>8.800000000000001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33365-2023</t>
        </is>
      </c>
      <c r="B5704" s="1" t="n">
        <v>45117</v>
      </c>
      <c r="C5704" s="1" t="n">
        <v>45957</v>
      </c>
      <c r="D5704" t="inlineStr">
        <is>
          <t>KRONOBERGS LÄN</t>
        </is>
      </c>
      <c r="E5704" t="inlineStr">
        <is>
          <t>TINGSRYD</t>
        </is>
      </c>
      <c r="G5704" t="n">
        <v>5.1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15180-2023</t>
        </is>
      </c>
      <c r="B5705" s="1" t="n">
        <v>45016</v>
      </c>
      <c r="C5705" s="1" t="n">
        <v>45957</v>
      </c>
      <c r="D5705" t="inlineStr">
        <is>
          <t>KRONOBERGS LÄN</t>
        </is>
      </c>
      <c r="E5705" t="inlineStr">
        <is>
          <t>LESSEBO</t>
        </is>
      </c>
      <c r="G5705" t="n">
        <v>0.4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15218-2023</t>
        </is>
      </c>
      <c r="B5706" s="1" t="n">
        <v>45019.29746527778</v>
      </c>
      <c r="C5706" s="1" t="n">
        <v>45957</v>
      </c>
      <c r="D5706" t="inlineStr">
        <is>
          <t>KRONOBERGS LÄN</t>
        </is>
      </c>
      <c r="E5706" t="inlineStr">
        <is>
          <t>VÄXJÖ</t>
        </is>
      </c>
      <c r="G5706" t="n">
        <v>0.8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52802-2024</t>
        </is>
      </c>
      <c r="B5707" s="1" t="n">
        <v>45610.56901620371</v>
      </c>
      <c r="C5707" s="1" t="n">
        <v>45957</v>
      </c>
      <c r="D5707" t="inlineStr">
        <is>
          <t>KRONOBERGS LÄN</t>
        </is>
      </c>
      <c r="E5707" t="inlineStr">
        <is>
          <t>LESSEBO</t>
        </is>
      </c>
      <c r="G5707" t="n">
        <v>0.5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45976-2025</t>
        </is>
      </c>
      <c r="B5708" s="1" t="n">
        <v>45924.36989583333</v>
      </c>
      <c r="C5708" s="1" t="n">
        <v>45957</v>
      </c>
      <c r="D5708" t="inlineStr">
        <is>
          <t>KRONOBERGS LÄN</t>
        </is>
      </c>
      <c r="E5708" t="inlineStr">
        <is>
          <t>VÄXJÖ</t>
        </is>
      </c>
      <c r="G5708" t="n">
        <v>1.6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45915-2025</t>
        </is>
      </c>
      <c r="B5709" s="1" t="n">
        <v>45923.82942129629</v>
      </c>
      <c r="C5709" s="1" t="n">
        <v>45957</v>
      </c>
      <c r="D5709" t="inlineStr">
        <is>
          <t>KRONOBERGS LÄN</t>
        </is>
      </c>
      <c r="E5709" t="inlineStr">
        <is>
          <t>LJUNGBY</t>
        </is>
      </c>
      <c r="G5709" t="n">
        <v>0.5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4213-2025</t>
        </is>
      </c>
      <c r="B5710" s="1" t="n">
        <v>45685.49436342593</v>
      </c>
      <c r="C5710" s="1" t="n">
        <v>45957</v>
      </c>
      <c r="D5710" t="inlineStr">
        <is>
          <t>KRONOBERGS LÄN</t>
        </is>
      </c>
      <c r="E5710" t="inlineStr">
        <is>
          <t>TINGSRYD</t>
        </is>
      </c>
      <c r="G5710" t="n">
        <v>4.9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15294-2025</t>
        </is>
      </c>
      <c r="B5711" s="1" t="n">
        <v>45745.75537037037</v>
      </c>
      <c r="C5711" s="1" t="n">
        <v>45957</v>
      </c>
      <c r="D5711" t="inlineStr">
        <is>
          <t>KRONOBERGS LÄN</t>
        </is>
      </c>
      <c r="E5711" t="inlineStr">
        <is>
          <t>UPPVIDINGE</t>
        </is>
      </c>
      <c r="G5711" t="n">
        <v>1.1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16263-2025</t>
        </is>
      </c>
      <c r="B5712" s="1" t="n">
        <v>45749</v>
      </c>
      <c r="C5712" s="1" t="n">
        <v>45957</v>
      </c>
      <c r="D5712" t="inlineStr">
        <is>
          <t>KRONOBERGS LÄN</t>
        </is>
      </c>
      <c r="E5712" t="inlineStr">
        <is>
          <t>UPPVIDINGE</t>
        </is>
      </c>
      <c r="F5712" t="inlineStr">
        <is>
          <t>Kyrkan</t>
        </is>
      </c>
      <c r="G5712" t="n">
        <v>3.2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56933-2023</t>
        </is>
      </c>
      <c r="B5713" s="1" t="n">
        <v>45244.59684027778</v>
      </c>
      <c r="C5713" s="1" t="n">
        <v>45957</v>
      </c>
      <c r="D5713" t="inlineStr">
        <is>
          <t>KRONOBERGS LÄN</t>
        </is>
      </c>
      <c r="E5713" t="inlineStr">
        <is>
          <t>TINGSRYD</t>
        </is>
      </c>
      <c r="G5713" t="n">
        <v>2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6275-2025</t>
        </is>
      </c>
      <c r="B5714" s="1" t="n">
        <v>45698</v>
      </c>
      <c r="C5714" s="1" t="n">
        <v>45957</v>
      </c>
      <c r="D5714" t="inlineStr">
        <is>
          <t>KRONOBERGS LÄN</t>
        </is>
      </c>
      <c r="E5714" t="inlineStr">
        <is>
          <t>LJUNGBY</t>
        </is>
      </c>
      <c r="G5714" t="n">
        <v>1.1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23712-2024</t>
        </is>
      </c>
      <c r="B5715" s="1" t="n">
        <v>45454.73359953704</v>
      </c>
      <c r="C5715" s="1" t="n">
        <v>45957</v>
      </c>
      <c r="D5715" t="inlineStr">
        <is>
          <t>KRONOBERGS LÄN</t>
        </is>
      </c>
      <c r="E5715" t="inlineStr">
        <is>
          <t>UPPVIDINGE</t>
        </is>
      </c>
      <c r="G5715" t="n">
        <v>1.4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24415-2023</t>
        </is>
      </c>
      <c r="B5716" s="1" t="n">
        <v>45082.45512731482</v>
      </c>
      <c r="C5716" s="1" t="n">
        <v>45957</v>
      </c>
      <c r="D5716" t="inlineStr">
        <is>
          <t>KRONOBERGS LÄN</t>
        </is>
      </c>
      <c r="E5716" t="inlineStr">
        <is>
          <t>TINGSRYD</t>
        </is>
      </c>
      <c r="G5716" t="n">
        <v>1.5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61558-2024</t>
        </is>
      </c>
      <c r="B5717" s="1" t="n">
        <v>45646.61111111111</v>
      </c>
      <c r="C5717" s="1" t="n">
        <v>45957</v>
      </c>
      <c r="D5717" t="inlineStr">
        <is>
          <t>KRONOBERGS LÄN</t>
        </is>
      </c>
      <c r="E5717" t="inlineStr">
        <is>
          <t>TINGSRYD</t>
        </is>
      </c>
      <c r="G5717" t="n">
        <v>0.7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53188-2024</t>
        </is>
      </c>
      <c r="B5718" s="1" t="n">
        <v>45611.70576388889</v>
      </c>
      <c r="C5718" s="1" t="n">
        <v>45957</v>
      </c>
      <c r="D5718" t="inlineStr">
        <is>
          <t>KRONOBERGS LÄN</t>
        </is>
      </c>
      <c r="E5718" t="inlineStr">
        <is>
          <t>VÄXJÖ</t>
        </is>
      </c>
      <c r="G5718" t="n">
        <v>0.7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53203-2024</t>
        </is>
      </c>
      <c r="B5719" s="1" t="n">
        <v>45612.43539351852</v>
      </c>
      <c r="C5719" s="1" t="n">
        <v>45957</v>
      </c>
      <c r="D5719" t="inlineStr">
        <is>
          <t>KRONOBERGS LÄN</t>
        </is>
      </c>
      <c r="E5719" t="inlineStr">
        <is>
          <t>ÄLMHULT</t>
        </is>
      </c>
      <c r="G5719" t="n">
        <v>1.3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16201-2023</t>
        </is>
      </c>
      <c r="B5720" s="1" t="n">
        <v>45028</v>
      </c>
      <c r="C5720" s="1" t="n">
        <v>45957</v>
      </c>
      <c r="D5720" t="inlineStr">
        <is>
          <t>KRONOBERGS LÄN</t>
        </is>
      </c>
      <c r="E5720" t="inlineStr">
        <is>
          <t>UPPVIDINGE</t>
        </is>
      </c>
      <c r="G5720" t="n">
        <v>2.8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57032-2023</t>
        </is>
      </c>
      <c r="B5721" s="1" t="n">
        <v>45244.86136574074</v>
      </c>
      <c r="C5721" s="1" t="n">
        <v>45957</v>
      </c>
      <c r="D5721" t="inlineStr">
        <is>
          <t>KRONOBERGS LÄN</t>
        </is>
      </c>
      <c r="E5721" t="inlineStr">
        <is>
          <t>UPPVIDINGE</t>
        </is>
      </c>
      <c r="G5721" t="n">
        <v>3.6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20168-2023</t>
        </is>
      </c>
      <c r="B5722" s="1" t="n">
        <v>45055.49951388889</v>
      </c>
      <c r="C5722" s="1" t="n">
        <v>45957</v>
      </c>
      <c r="D5722" t="inlineStr">
        <is>
          <t>KRONOBERGS LÄN</t>
        </is>
      </c>
      <c r="E5722" t="inlineStr">
        <is>
          <t>LJUNGBY</t>
        </is>
      </c>
      <c r="G5722" t="n">
        <v>0.5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49263-2023</t>
        </is>
      </c>
      <c r="B5723" s="1" t="n">
        <v>45210.6784837963</v>
      </c>
      <c r="C5723" s="1" t="n">
        <v>45957</v>
      </c>
      <c r="D5723" t="inlineStr">
        <is>
          <t>KRONOBERGS LÄN</t>
        </is>
      </c>
      <c r="E5723" t="inlineStr">
        <is>
          <t>VÄXJÖ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21508-2023</t>
        </is>
      </c>
      <c r="B5724" s="1" t="n">
        <v>45063.50965277778</v>
      </c>
      <c r="C5724" s="1" t="n">
        <v>45957</v>
      </c>
      <c r="D5724" t="inlineStr">
        <is>
          <t>KRONOBERGS LÄN</t>
        </is>
      </c>
      <c r="E5724" t="inlineStr">
        <is>
          <t>TINGSRYD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21512-2023</t>
        </is>
      </c>
      <c r="B5725" s="1" t="n">
        <v>45063.51554398148</v>
      </c>
      <c r="C5725" s="1" t="n">
        <v>45957</v>
      </c>
      <c r="D5725" t="inlineStr">
        <is>
          <t>KRONOBERGS LÄN</t>
        </is>
      </c>
      <c r="E5725" t="inlineStr">
        <is>
          <t>TINGSRYD</t>
        </is>
      </c>
      <c r="G5725" t="n">
        <v>2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46072-2025</t>
        </is>
      </c>
      <c r="B5726" s="1" t="n">
        <v>45924.49310185185</v>
      </c>
      <c r="C5726" s="1" t="n">
        <v>45957</v>
      </c>
      <c r="D5726" t="inlineStr">
        <is>
          <t>KRONOBERGS LÄN</t>
        </is>
      </c>
      <c r="E5726" t="inlineStr">
        <is>
          <t>TINGSRYD</t>
        </is>
      </c>
      <c r="G5726" t="n">
        <v>3.8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25439-2024</t>
        </is>
      </c>
      <c r="B5727" s="1" t="n">
        <v>45463.39309027778</v>
      </c>
      <c r="C5727" s="1" t="n">
        <v>45957</v>
      </c>
      <c r="D5727" t="inlineStr">
        <is>
          <t>KRONOBERGS LÄN</t>
        </is>
      </c>
      <c r="E5727" t="inlineStr">
        <is>
          <t>LJUNGBY</t>
        </is>
      </c>
      <c r="G5727" t="n">
        <v>0.4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41900-2022</t>
        </is>
      </c>
      <c r="B5728" s="1" t="n">
        <v>44830.34797453704</v>
      </c>
      <c r="C5728" s="1" t="n">
        <v>45957</v>
      </c>
      <c r="D5728" t="inlineStr">
        <is>
          <t>KRONOBERGS LÄN</t>
        </is>
      </c>
      <c r="E5728" t="inlineStr">
        <is>
          <t>LESSEBO</t>
        </is>
      </c>
      <c r="F5728" t="inlineStr">
        <is>
          <t>Sveaskog</t>
        </is>
      </c>
      <c r="G5728" t="n">
        <v>5.2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45716-2025</t>
        </is>
      </c>
      <c r="B5729" s="1" t="n">
        <v>45923.44113425926</v>
      </c>
      <c r="C5729" s="1" t="n">
        <v>45957</v>
      </c>
      <c r="D5729" t="inlineStr">
        <is>
          <t>KRONOBERGS LÄN</t>
        </is>
      </c>
      <c r="E5729" t="inlineStr">
        <is>
          <t>MARKARYD</t>
        </is>
      </c>
      <c r="G5729" t="n">
        <v>1.3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45733-2025</t>
        </is>
      </c>
      <c r="B5730" s="1" t="n">
        <v>45923.46449074074</v>
      </c>
      <c r="C5730" s="1" t="n">
        <v>45957</v>
      </c>
      <c r="D5730" t="inlineStr">
        <is>
          <t>KRONOBERGS LÄN</t>
        </is>
      </c>
      <c r="E5730" t="inlineStr">
        <is>
          <t>ÄLMHULT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31766-2023</t>
        </is>
      </c>
      <c r="B5731" s="1" t="n">
        <v>45118.36900462963</v>
      </c>
      <c r="C5731" s="1" t="n">
        <v>45957</v>
      </c>
      <c r="D5731" t="inlineStr">
        <is>
          <t>KRONOBERGS LÄN</t>
        </is>
      </c>
      <c r="E5731" t="inlineStr">
        <is>
          <t>UPPVIDINGE</t>
        </is>
      </c>
      <c r="G5731" t="n">
        <v>1.3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4963-2023</t>
        </is>
      </c>
      <c r="B5732" s="1" t="n">
        <v>44958.44938657407</v>
      </c>
      <c r="C5732" s="1" t="n">
        <v>45957</v>
      </c>
      <c r="D5732" t="inlineStr">
        <is>
          <t>KRONOBERGS LÄN</t>
        </is>
      </c>
      <c r="E5732" t="inlineStr">
        <is>
          <t>MARKARYD</t>
        </is>
      </c>
      <c r="G5732" t="n">
        <v>0.9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55652-2022</t>
        </is>
      </c>
      <c r="B5733" s="1" t="n">
        <v>44888.47229166667</v>
      </c>
      <c r="C5733" s="1" t="n">
        <v>45957</v>
      </c>
      <c r="D5733" t="inlineStr">
        <is>
          <t>KRONOBERGS LÄN</t>
        </is>
      </c>
      <c r="E5733" t="inlineStr">
        <is>
          <t>TINGSRYD</t>
        </is>
      </c>
      <c r="G5733" t="n">
        <v>0.5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5298-2025</t>
        </is>
      </c>
      <c r="B5734" s="1" t="n">
        <v>45692.46317129629</v>
      </c>
      <c r="C5734" s="1" t="n">
        <v>45957</v>
      </c>
      <c r="D5734" t="inlineStr">
        <is>
          <t>KRONOBERGS LÄN</t>
        </is>
      </c>
      <c r="E5734" t="inlineStr">
        <is>
          <t>ALVESTA</t>
        </is>
      </c>
      <c r="G5734" t="n">
        <v>0.6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20411-2025</t>
        </is>
      </c>
      <c r="B5735" s="1" t="n">
        <v>45775.45998842592</v>
      </c>
      <c r="C5735" s="1" t="n">
        <v>45957</v>
      </c>
      <c r="D5735" t="inlineStr">
        <is>
          <t>KRONOBERGS LÄN</t>
        </is>
      </c>
      <c r="E5735" t="inlineStr">
        <is>
          <t>VÄXJÖ</t>
        </is>
      </c>
      <c r="G5735" t="n">
        <v>4.4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2657-2025</t>
        </is>
      </c>
      <c r="B5736" s="1" t="n">
        <v>45676.75392361111</v>
      </c>
      <c r="C5736" s="1" t="n">
        <v>45957</v>
      </c>
      <c r="D5736" t="inlineStr">
        <is>
          <t>KRONOBERGS LÄN</t>
        </is>
      </c>
      <c r="E5736" t="inlineStr">
        <is>
          <t>VÄXJÖ</t>
        </is>
      </c>
      <c r="F5736" t="inlineStr">
        <is>
          <t>Sveaskog</t>
        </is>
      </c>
      <c r="G5736" t="n">
        <v>1.7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38457-2023</t>
        </is>
      </c>
      <c r="B5737" s="1" t="n">
        <v>45162.43773148148</v>
      </c>
      <c r="C5737" s="1" t="n">
        <v>45957</v>
      </c>
      <c r="D5737" t="inlineStr">
        <is>
          <t>KRONOBERGS LÄN</t>
        </is>
      </c>
      <c r="E5737" t="inlineStr">
        <is>
          <t>VÄXJÖ</t>
        </is>
      </c>
      <c r="G5737" t="n">
        <v>0.9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38460-2023</t>
        </is>
      </c>
      <c r="B5738" s="1" t="n">
        <v>45162.44449074074</v>
      </c>
      <c r="C5738" s="1" t="n">
        <v>45957</v>
      </c>
      <c r="D5738" t="inlineStr">
        <is>
          <t>KRONOBERGS LÄN</t>
        </is>
      </c>
      <c r="E5738" t="inlineStr">
        <is>
          <t>VÄXJÖ</t>
        </is>
      </c>
      <c r="G5738" t="n">
        <v>0.6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45928-2025</t>
        </is>
      </c>
      <c r="B5739" s="1" t="n">
        <v>45923.86340277778</v>
      </c>
      <c r="C5739" s="1" t="n">
        <v>45957</v>
      </c>
      <c r="D5739" t="inlineStr">
        <is>
          <t>KRONOBERGS LÄN</t>
        </is>
      </c>
      <c r="E5739" t="inlineStr">
        <is>
          <t>LJUNGBY</t>
        </is>
      </c>
      <c r="G5739" t="n">
        <v>0.4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57853-2020</t>
        </is>
      </c>
      <c r="B5740" s="1" t="n">
        <v>44141</v>
      </c>
      <c r="C5740" s="1" t="n">
        <v>45957</v>
      </c>
      <c r="D5740" t="inlineStr">
        <is>
          <t>KRONOBERGS LÄN</t>
        </is>
      </c>
      <c r="E5740" t="inlineStr">
        <is>
          <t>ALVESTA</t>
        </is>
      </c>
      <c r="G5740" t="n">
        <v>1.1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62521-2020</t>
        </is>
      </c>
      <c r="B5741" s="1" t="n">
        <v>44160</v>
      </c>
      <c r="C5741" s="1" t="n">
        <v>45957</v>
      </c>
      <c r="D5741" t="inlineStr">
        <is>
          <t>KRONOBERGS LÄN</t>
        </is>
      </c>
      <c r="E5741" t="inlineStr">
        <is>
          <t>UPPVIDINGE</t>
        </is>
      </c>
      <c r="F5741" t="inlineStr">
        <is>
          <t>Sveaskog</t>
        </is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54716-2023</t>
        </is>
      </c>
      <c r="B5742" s="1" t="n">
        <v>45236.35502314815</v>
      </c>
      <c r="C5742" s="1" t="n">
        <v>45957</v>
      </c>
      <c r="D5742" t="inlineStr">
        <is>
          <t>KRONOBERGS LÄN</t>
        </is>
      </c>
      <c r="E5742" t="inlineStr">
        <is>
          <t>LJUNGBY</t>
        </is>
      </c>
      <c r="G5742" t="n">
        <v>2.4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37855-2025</t>
        </is>
      </c>
      <c r="B5743" s="1" t="n">
        <v>45881.4566087963</v>
      </c>
      <c r="C5743" s="1" t="n">
        <v>45957</v>
      </c>
      <c r="D5743" t="inlineStr">
        <is>
          <t>KRONOBERGS LÄN</t>
        </is>
      </c>
      <c r="E5743" t="inlineStr">
        <is>
          <t>UPPVIDINGE</t>
        </is>
      </c>
      <c r="G5743" t="n">
        <v>1.6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45926-2025</t>
        </is>
      </c>
      <c r="B5744" s="1" t="n">
        <v>45923.85591435185</v>
      </c>
      <c r="C5744" s="1" t="n">
        <v>45957</v>
      </c>
      <c r="D5744" t="inlineStr">
        <is>
          <t>KRONOBERGS LÄN</t>
        </is>
      </c>
      <c r="E5744" t="inlineStr">
        <is>
          <t>LJUNGBY</t>
        </is>
      </c>
      <c r="G5744" t="n">
        <v>2.1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46087-2025</t>
        </is>
      </c>
      <c r="B5745" s="1" t="n">
        <v>45924</v>
      </c>
      <c r="C5745" s="1" t="n">
        <v>45957</v>
      </c>
      <c r="D5745" t="inlineStr">
        <is>
          <t>KRONOBERGS LÄN</t>
        </is>
      </c>
      <c r="E5745" t="inlineStr">
        <is>
          <t>TINGSRYD</t>
        </is>
      </c>
      <c r="G5745" t="n">
        <v>1.5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45893-2025</t>
        </is>
      </c>
      <c r="B5746" s="1" t="n">
        <v>45923.67596064815</v>
      </c>
      <c r="C5746" s="1" t="n">
        <v>45957</v>
      </c>
      <c r="D5746" t="inlineStr">
        <is>
          <t>KRONOBERGS LÄN</t>
        </is>
      </c>
      <c r="E5746" t="inlineStr">
        <is>
          <t>VÄXJÖ</t>
        </is>
      </c>
      <c r="G5746" t="n">
        <v>3.6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19768-2023</t>
        </is>
      </c>
      <c r="B5747" s="1" t="n">
        <v>45051.61240740741</v>
      </c>
      <c r="C5747" s="1" t="n">
        <v>45957</v>
      </c>
      <c r="D5747" t="inlineStr">
        <is>
          <t>KRONOBERGS LÄN</t>
        </is>
      </c>
      <c r="E5747" t="inlineStr">
        <is>
          <t>ÄLMHULT</t>
        </is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50882-2024</t>
        </is>
      </c>
      <c r="B5748" s="1" t="n">
        <v>45602.65810185186</v>
      </c>
      <c r="C5748" s="1" t="n">
        <v>45957</v>
      </c>
      <c r="D5748" t="inlineStr">
        <is>
          <t>KRONOBERGS LÄN</t>
        </is>
      </c>
      <c r="E5748" t="inlineStr">
        <is>
          <t>LJUNGBY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37624-2023</t>
        </is>
      </c>
      <c r="B5749" s="1" t="n">
        <v>45159.45591435185</v>
      </c>
      <c r="C5749" s="1" t="n">
        <v>45957</v>
      </c>
      <c r="D5749" t="inlineStr">
        <is>
          <t>KRONOBERGS LÄN</t>
        </is>
      </c>
      <c r="E5749" t="inlineStr">
        <is>
          <t>ALVESTA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46214-2024</t>
        </is>
      </c>
      <c r="B5750" s="1" t="n">
        <v>45581.55803240741</v>
      </c>
      <c r="C5750" s="1" t="n">
        <v>45957</v>
      </c>
      <c r="D5750" t="inlineStr">
        <is>
          <t>KRONOBERGS LÄN</t>
        </is>
      </c>
      <c r="E5750" t="inlineStr">
        <is>
          <t>VÄXJÖ</t>
        </is>
      </c>
      <c r="G5750" t="n">
        <v>0.5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31309-2024</t>
        </is>
      </c>
      <c r="B5751" s="1" t="n">
        <v>45504.53853009259</v>
      </c>
      <c r="C5751" s="1" t="n">
        <v>45957</v>
      </c>
      <c r="D5751" t="inlineStr">
        <is>
          <t>KRONOBERGS LÄN</t>
        </is>
      </c>
      <c r="E5751" t="inlineStr">
        <is>
          <t>VÄXJÖ</t>
        </is>
      </c>
      <c r="G5751" t="n">
        <v>3.5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2088-2025</t>
        </is>
      </c>
      <c r="B5752" s="1" t="n">
        <v>45672.591875</v>
      </c>
      <c r="C5752" s="1" t="n">
        <v>45957</v>
      </c>
      <c r="D5752" t="inlineStr">
        <is>
          <t>KRONOBERGS LÄN</t>
        </is>
      </c>
      <c r="E5752" t="inlineStr">
        <is>
          <t>LJUNGBY</t>
        </is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22432-2023</t>
        </is>
      </c>
      <c r="B5753" s="1" t="n">
        <v>45070</v>
      </c>
      <c r="C5753" s="1" t="n">
        <v>45957</v>
      </c>
      <c r="D5753" t="inlineStr">
        <is>
          <t>KRONOBERGS LÄN</t>
        </is>
      </c>
      <c r="E5753" t="inlineStr">
        <is>
          <t>LESSEBO</t>
        </is>
      </c>
      <c r="F5753" t="inlineStr">
        <is>
          <t>Kommuner</t>
        </is>
      </c>
      <c r="G5753" t="n">
        <v>2.9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13229-2025</t>
        </is>
      </c>
      <c r="B5754" s="1" t="n">
        <v>45735.46643518518</v>
      </c>
      <c r="C5754" s="1" t="n">
        <v>45957</v>
      </c>
      <c r="D5754" t="inlineStr">
        <is>
          <t>KRONOBERGS LÄN</t>
        </is>
      </c>
      <c r="E5754" t="inlineStr">
        <is>
          <t>LJUNGBY</t>
        </is>
      </c>
      <c r="G5754" t="n">
        <v>2.6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13280-2025</t>
        </is>
      </c>
      <c r="B5755" s="1" t="n">
        <v>45735.55299768518</v>
      </c>
      <c r="C5755" s="1" t="n">
        <v>45957</v>
      </c>
      <c r="D5755" t="inlineStr">
        <is>
          <t>KRONOBERGS LÄN</t>
        </is>
      </c>
      <c r="E5755" t="inlineStr">
        <is>
          <t>ÄLMHULT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13281-2025</t>
        </is>
      </c>
      <c r="B5756" s="1" t="n">
        <v>45735.555</v>
      </c>
      <c r="C5756" s="1" t="n">
        <v>45957</v>
      </c>
      <c r="D5756" t="inlineStr">
        <is>
          <t>KRONOBERGS LÄN</t>
        </is>
      </c>
      <c r="E5756" t="inlineStr">
        <is>
          <t>ÄLMHULT</t>
        </is>
      </c>
      <c r="G5756" t="n">
        <v>0.7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62164-2021</t>
        </is>
      </c>
      <c r="B5757" s="1" t="n">
        <v>44502.76005787037</v>
      </c>
      <c r="C5757" s="1" t="n">
        <v>45957</v>
      </c>
      <c r="D5757" t="inlineStr">
        <is>
          <t>KRONOBERGS LÄN</t>
        </is>
      </c>
      <c r="E5757" t="inlineStr">
        <is>
          <t>VÄXJÖ</t>
        </is>
      </c>
      <c r="F5757" t="inlineStr">
        <is>
          <t>Sveaskog</t>
        </is>
      </c>
      <c r="G5757" t="n">
        <v>1.3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12044-2024</t>
        </is>
      </c>
      <c r="B5758" s="1" t="n">
        <v>45377.44168981481</v>
      </c>
      <c r="C5758" s="1" t="n">
        <v>45957</v>
      </c>
      <c r="D5758" t="inlineStr">
        <is>
          <t>KRONOBERGS LÄN</t>
        </is>
      </c>
      <c r="E5758" t="inlineStr">
        <is>
          <t>TINGSRYD</t>
        </is>
      </c>
      <c r="G5758" t="n">
        <v>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323-2022</t>
        </is>
      </c>
      <c r="B5759" s="1" t="n">
        <v>44565.57157407407</v>
      </c>
      <c r="C5759" s="1" t="n">
        <v>45957</v>
      </c>
      <c r="D5759" t="inlineStr">
        <is>
          <t>KRONOBERGS LÄN</t>
        </is>
      </c>
      <c r="E5759" t="inlineStr">
        <is>
          <t>LJUNGBY</t>
        </is>
      </c>
      <c r="G5759" t="n">
        <v>1.2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343-2022</t>
        </is>
      </c>
      <c r="B5760" s="1" t="n">
        <v>44565</v>
      </c>
      <c r="C5760" s="1" t="n">
        <v>45957</v>
      </c>
      <c r="D5760" t="inlineStr">
        <is>
          <t>KRONOBERGS LÄN</t>
        </is>
      </c>
      <c r="E5760" t="inlineStr">
        <is>
          <t>LJUNGBY</t>
        </is>
      </c>
      <c r="G5760" t="n">
        <v>1.1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60163-2022</t>
        </is>
      </c>
      <c r="B5761" s="1" t="n">
        <v>44909.78114583333</v>
      </c>
      <c r="C5761" s="1" t="n">
        <v>45957</v>
      </c>
      <c r="D5761" t="inlineStr">
        <is>
          <t>KRONOBERGS LÄN</t>
        </is>
      </c>
      <c r="E5761" t="inlineStr">
        <is>
          <t>VÄXJÖ</t>
        </is>
      </c>
      <c r="G5761" t="n">
        <v>0.8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40898-2023</t>
        </is>
      </c>
      <c r="B5762" s="1" t="n">
        <v>45169</v>
      </c>
      <c r="C5762" s="1" t="n">
        <v>45957</v>
      </c>
      <c r="D5762" t="inlineStr">
        <is>
          <t>KRONOBERGS LÄN</t>
        </is>
      </c>
      <c r="E5762" t="inlineStr">
        <is>
          <t>LJUNGBY</t>
        </is>
      </c>
      <c r="G5762" t="n">
        <v>1.6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19278-2023</t>
        </is>
      </c>
      <c r="B5763" s="1" t="n">
        <v>45049.41876157407</v>
      </c>
      <c r="C5763" s="1" t="n">
        <v>45957</v>
      </c>
      <c r="D5763" t="inlineStr">
        <is>
          <t>KRONOBERGS LÄN</t>
        </is>
      </c>
      <c r="E5763" t="inlineStr">
        <is>
          <t>VÄXJÖ</t>
        </is>
      </c>
      <c r="G5763" t="n">
        <v>0.5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39505-2024</t>
        </is>
      </c>
      <c r="B5764" s="1" t="n">
        <v>45551</v>
      </c>
      <c r="C5764" s="1" t="n">
        <v>45957</v>
      </c>
      <c r="D5764" t="inlineStr">
        <is>
          <t>KRONOBERGS LÄN</t>
        </is>
      </c>
      <c r="E5764" t="inlineStr">
        <is>
          <t>LJUNGBY</t>
        </is>
      </c>
      <c r="F5764" t="inlineStr">
        <is>
          <t>Sveaskog</t>
        </is>
      </c>
      <c r="G5764" t="n">
        <v>1.4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57367-2022</t>
        </is>
      </c>
      <c r="B5765" s="1" t="n">
        <v>44896</v>
      </c>
      <c r="C5765" s="1" t="n">
        <v>45957</v>
      </c>
      <c r="D5765" t="inlineStr">
        <is>
          <t>KRONOBERGS LÄN</t>
        </is>
      </c>
      <c r="E5765" t="inlineStr">
        <is>
          <t>VÄXJÖ</t>
        </is>
      </c>
      <c r="G5765" t="n">
        <v>3.2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2253-2023</t>
        </is>
      </c>
      <c r="B5766" s="1" t="n">
        <v>44942</v>
      </c>
      <c r="C5766" s="1" t="n">
        <v>45957</v>
      </c>
      <c r="D5766" t="inlineStr">
        <is>
          <t>KRONOBERGS LÄN</t>
        </is>
      </c>
      <c r="E5766" t="inlineStr">
        <is>
          <t>ÄLMHULT</t>
        </is>
      </c>
      <c r="G5766" t="n">
        <v>0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39057-2024</t>
        </is>
      </c>
      <c r="B5767" s="1" t="n">
        <v>45547</v>
      </c>
      <c r="C5767" s="1" t="n">
        <v>45957</v>
      </c>
      <c r="D5767" t="inlineStr">
        <is>
          <t>KRONOBERGS LÄN</t>
        </is>
      </c>
      <c r="E5767" t="inlineStr">
        <is>
          <t>MARKARYD</t>
        </is>
      </c>
      <c r="F5767" t="inlineStr">
        <is>
          <t>Kyrkan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45930-2025</t>
        </is>
      </c>
      <c r="B5768" s="1" t="n">
        <v>45923.87383101852</v>
      </c>
      <c r="C5768" s="1" t="n">
        <v>45957</v>
      </c>
      <c r="D5768" t="inlineStr">
        <is>
          <t>KRONOBERGS LÄN</t>
        </is>
      </c>
      <c r="E5768" t="inlineStr">
        <is>
          <t>LJUNGBY</t>
        </is>
      </c>
      <c r="G5768" t="n">
        <v>3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45689-2025</t>
        </is>
      </c>
      <c r="B5769" s="1" t="n">
        <v>45923.38232638889</v>
      </c>
      <c r="C5769" s="1" t="n">
        <v>45957</v>
      </c>
      <c r="D5769" t="inlineStr">
        <is>
          <t>KRONOBERGS LÄN</t>
        </is>
      </c>
      <c r="E5769" t="inlineStr">
        <is>
          <t>VÄXJÖ</t>
        </is>
      </c>
      <c r="G5769" t="n">
        <v>4.6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46172-2025</t>
        </is>
      </c>
      <c r="B5770" s="1" t="n">
        <v>45924.64648148148</v>
      </c>
      <c r="C5770" s="1" t="n">
        <v>45957</v>
      </c>
      <c r="D5770" t="inlineStr">
        <is>
          <t>KRONOBERGS LÄN</t>
        </is>
      </c>
      <c r="E5770" t="inlineStr">
        <is>
          <t>VÄXJÖ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5024-2022</t>
        </is>
      </c>
      <c r="B5771" s="1" t="n">
        <v>44593.63554398148</v>
      </c>
      <c r="C5771" s="1" t="n">
        <v>45957</v>
      </c>
      <c r="D5771" t="inlineStr">
        <is>
          <t>KRONOBERGS LÄN</t>
        </is>
      </c>
      <c r="E5771" t="inlineStr">
        <is>
          <t>UPPVIDINGE</t>
        </is>
      </c>
      <c r="G5771" t="n">
        <v>4.5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54682-2022</t>
        </is>
      </c>
      <c r="B5772" s="1" t="n">
        <v>44883</v>
      </c>
      <c r="C5772" s="1" t="n">
        <v>45957</v>
      </c>
      <c r="D5772" t="inlineStr">
        <is>
          <t>KRONOBERGS LÄN</t>
        </is>
      </c>
      <c r="E5772" t="inlineStr">
        <is>
          <t>LJUNGBY</t>
        </is>
      </c>
      <c r="G5772" t="n">
        <v>1.1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40088-2022</t>
        </is>
      </c>
      <c r="B5773" s="1" t="n">
        <v>44820.47260416667</v>
      </c>
      <c r="C5773" s="1" t="n">
        <v>45957</v>
      </c>
      <c r="D5773" t="inlineStr">
        <is>
          <t>KRONOBERGS LÄN</t>
        </is>
      </c>
      <c r="E5773" t="inlineStr">
        <is>
          <t>LJUNGBY</t>
        </is>
      </c>
      <c r="G5773" t="n">
        <v>1.1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859-2025</t>
        </is>
      </c>
      <c r="B5774" s="1" t="n">
        <v>45665.61208333333</v>
      </c>
      <c r="C5774" s="1" t="n">
        <v>45957</v>
      </c>
      <c r="D5774" t="inlineStr">
        <is>
          <t>KRONOBERGS LÄN</t>
        </is>
      </c>
      <c r="E5774" t="inlineStr">
        <is>
          <t>LESSEBO</t>
        </is>
      </c>
      <c r="F5774" t="inlineStr">
        <is>
          <t>Sveaskog</t>
        </is>
      </c>
      <c r="G5774" t="n">
        <v>2.5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890-2025</t>
        </is>
      </c>
      <c r="B5775" s="1" t="n">
        <v>45665.6562962963</v>
      </c>
      <c r="C5775" s="1" t="n">
        <v>45957</v>
      </c>
      <c r="D5775" t="inlineStr">
        <is>
          <t>KRONOBERGS LÄN</t>
        </is>
      </c>
      <c r="E5775" t="inlineStr">
        <is>
          <t>VÄXJÖ</t>
        </is>
      </c>
      <c r="G5775" t="n">
        <v>12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49081-2024</t>
        </is>
      </c>
      <c r="B5776" s="1" t="n">
        <v>45594.62881944444</v>
      </c>
      <c r="C5776" s="1" t="n">
        <v>45957</v>
      </c>
      <c r="D5776" t="inlineStr">
        <is>
          <t>KRONOBERGS LÄN</t>
        </is>
      </c>
      <c r="E5776" t="inlineStr">
        <is>
          <t>LJUNGBY</t>
        </is>
      </c>
      <c r="G5776" t="n">
        <v>1.9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45665-2025</t>
        </is>
      </c>
      <c r="B5777" s="1" t="n">
        <v>45923.34780092593</v>
      </c>
      <c r="C5777" s="1" t="n">
        <v>45957</v>
      </c>
      <c r="D5777" t="inlineStr">
        <is>
          <t>KRONOBERGS LÄN</t>
        </is>
      </c>
      <c r="E5777" t="inlineStr">
        <is>
          <t>LJUNGBY</t>
        </is>
      </c>
      <c r="G5777" t="n">
        <v>3.4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45680-2025</t>
        </is>
      </c>
      <c r="B5778" s="1" t="n">
        <v>45923.37464120371</v>
      </c>
      <c r="C5778" s="1" t="n">
        <v>45957</v>
      </c>
      <c r="D5778" t="inlineStr">
        <is>
          <t>KRONOBERGS LÄN</t>
        </is>
      </c>
      <c r="E5778" t="inlineStr">
        <is>
          <t>UPPVIDINGE</t>
        </is>
      </c>
      <c r="G5778" t="n">
        <v>3.1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45798-2025</t>
        </is>
      </c>
      <c r="B5779" s="1" t="n">
        <v>45923.57438657407</v>
      </c>
      <c r="C5779" s="1" t="n">
        <v>45957</v>
      </c>
      <c r="D5779" t="inlineStr">
        <is>
          <t>KRONOBERGS LÄN</t>
        </is>
      </c>
      <c r="E5779" t="inlineStr">
        <is>
          <t>UPPVIDINGE</t>
        </is>
      </c>
      <c r="G5779" t="n">
        <v>4.4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45802-2025</t>
        </is>
      </c>
      <c r="B5780" s="1" t="n">
        <v>45923.58040509259</v>
      </c>
      <c r="C5780" s="1" t="n">
        <v>45957</v>
      </c>
      <c r="D5780" t="inlineStr">
        <is>
          <t>KRONOBERGS LÄN</t>
        </is>
      </c>
      <c r="E5780" t="inlineStr">
        <is>
          <t>UPPVIDINGE</t>
        </is>
      </c>
      <c r="G5780" t="n">
        <v>2.1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38180-2025</t>
        </is>
      </c>
      <c r="B5781" s="1" t="n">
        <v>45882.64614583334</v>
      </c>
      <c r="C5781" s="1" t="n">
        <v>45957</v>
      </c>
      <c r="D5781" t="inlineStr">
        <is>
          <t>KRONOBERGS LÄN</t>
        </is>
      </c>
      <c r="E5781" t="inlineStr">
        <is>
          <t>ÄLMHULT</t>
        </is>
      </c>
      <c r="G5781" t="n">
        <v>2.7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18718-2025</t>
        </is>
      </c>
      <c r="B5782" s="1" t="n">
        <v>45763</v>
      </c>
      <c r="C5782" s="1" t="n">
        <v>45957</v>
      </c>
      <c r="D5782" t="inlineStr">
        <is>
          <t>KRONOBERGS LÄN</t>
        </is>
      </c>
      <c r="E5782" t="inlineStr">
        <is>
          <t>VÄXJÖ</t>
        </is>
      </c>
      <c r="F5782" t="inlineStr">
        <is>
          <t>Övriga statliga verk och myndigheter</t>
        </is>
      </c>
      <c r="G5782" t="n">
        <v>9.5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18381-2025</t>
        </is>
      </c>
      <c r="B5783" s="1" t="n">
        <v>45762.57912037037</v>
      </c>
      <c r="C5783" s="1" t="n">
        <v>45957</v>
      </c>
      <c r="D5783" t="inlineStr">
        <is>
          <t>KRONOBERGS LÄN</t>
        </is>
      </c>
      <c r="E5783" t="inlineStr">
        <is>
          <t>VÄXJÖ</t>
        </is>
      </c>
      <c r="F5783" t="inlineStr">
        <is>
          <t>Sveaskog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29160-2023</t>
        </is>
      </c>
      <c r="B5784" s="1" t="n">
        <v>45105.48627314815</v>
      </c>
      <c r="C5784" s="1" t="n">
        <v>45957</v>
      </c>
      <c r="D5784" t="inlineStr">
        <is>
          <t>KRONOBERGS LÄN</t>
        </is>
      </c>
      <c r="E5784" t="inlineStr">
        <is>
          <t>UPPVIDINGE</t>
        </is>
      </c>
      <c r="G5784" t="n">
        <v>0.7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52031-2023</t>
        </is>
      </c>
      <c r="B5785" s="1" t="n">
        <v>45223.62657407407</v>
      </c>
      <c r="C5785" s="1" t="n">
        <v>45957</v>
      </c>
      <c r="D5785" t="inlineStr">
        <is>
          <t>KRONOBERGS LÄN</t>
        </is>
      </c>
      <c r="E5785" t="inlineStr">
        <is>
          <t>LESSEBO</t>
        </is>
      </c>
      <c r="G5785" t="n">
        <v>0.6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53415-2024</t>
        </is>
      </c>
      <c r="B5786" s="1" t="n">
        <v>45614.50907407407</v>
      </c>
      <c r="C5786" s="1" t="n">
        <v>45957</v>
      </c>
      <c r="D5786" t="inlineStr">
        <is>
          <t>KRONOBERGS LÄN</t>
        </is>
      </c>
      <c r="E5786" t="inlineStr">
        <is>
          <t>LJUNGBY</t>
        </is>
      </c>
      <c r="F5786" t="inlineStr">
        <is>
          <t>Sveaskog</t>
        </is>
      </c>
      <c r="G5786" t="n">
        <v>2.3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63116-2023</t>
        </is>
      </c>
      <c r="B5787" s="1" t="n">
        <v>45273</v>
      </c>
      <c r="C5787" s="1" t="n">
        <v>45957</v>
      </c>
      <c r="D5787" t="inlineStr">
        <is>
          <t>KRONOBERGS LÄN</t>
        </is>
      </c>
      <c r="E5787" t="inlineStr">
        <is>
          <t>ÄLMHULT</t>
        </is>
      </c>
      <c r="G5787" t="n">
        <v>1.1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63118-2023</t>
        </is>
      </c>
      <c r="B5788" s="1" t="n">
        <v>45273.43924768519</v>
      </c>
      <c r="C5788" s="1" t="n">
        <v>45957</v>
      </c>
      <c r="D5788" t="inlineStr">
        <is>
          <t>KRONOBERGS LÄN</t>
        </is>
      </c>
      <c r="E5788" t="inlineStr">
        <is>
          <t>ÄLMHULT</t>
        </is>
      </c>
      <c r="G5788" t="n">
        <v>0.5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13186-2023</t>
        </is>
      </c>
      <c r="B5789" s="1" t="n">
        <v>45002</v>
      </c>
      <c r="C5789" s="1" t="n">
        <v>45957</v>
      </c>
      <c r="D5789" t="inlineStr">
        <is>
          <t>KRONOBERGS LÄN</t>
        </is>
      </c>
      <c r="E5789" t="inlineStr">
        <is>
          <t>TINGSRYD</t>
        </is>
      </c>
      <c r="G5789" t="n">
        <v>0.6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9773-2025</t>
        </is>
      </c>
      <c r="B5790" s="1" t="n">
        <v>45716.49100694444</v>
      </c>
      <c r="C5790" s="1" t="n">
        <v>45957</v>
      </c>
      <c r="D5790" t="inlineStr">
        <is>
          <t>KRONOBERGS LÄN</t>
        </is>
      </c>
      <c r="E5790" t="inlineStr">
        <is>
          <t>ÄLMHULT</t>
        </is>
      </c>
      <c r="G5790" t="n">
        <v>0.9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36522-2023</t>
        </is>
      </c>
      <c r="B5791" s="1" t="n">
        <v>45153.31517361111</v>
      </c>
      <c r="C5791" s="1" t="n">
        <v>45957</v>
      </c>
      <c r="D5791" t="inlineStr">
        <is>
          <t>KRONOBERGS LÄN</t>
        </is>
      </c>
      <c r="E5791" t="inlineStr">
        <is>
          <t>VÄXJÖ</t>
        </is>
      </c>
      <c r="G5791" t="n">
        <v>5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3280-2025</t>
        </is>
      </c>
      <c r="B5792" s="1" t="n">
        <v>45679.60483796296</v>
      </c>
      <c r="C5792" s="1" t="n">
        <v>45957</v>
      </c>
      <c r="D5792" t="inlineStr">
        <is>
          <t>KRONOBERGS LÄN</t>
        </is>
      </c>
      <c r="E5792" t="inlineStr">
        <is>
          <t>VÄXJÖ</t>
        </is>
      </c>
      <c r="G5792" t="n">
        <v>0.2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21863-2023</t>
        </is>
      </c>
      <c r="B5793" s="1" t="n">
        <v>45068.45921296296</v>
      </c>
      <c r="C5793" s="1" t="n">
        <v>45957</v>
      </c>
      <c r="D5793" t="inlineStr">
        <is>
          <t>KRONOBERGS LÄN</t>
        </is>
      </c>
      <c r="E5793" t="inlineStr">
        <is>
          <t>LJUNGBY</t>
        </is>
      </c>
      <c r="G5793" t="n">
        <v>0.8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22397-2021</t>
        </is>
      </c>
      <c r="B5794" s="1" t="n">
        <v>44326.60452546296</v>
      </c>
      <c r="C5794" s="1" t="n">
        <v>45957</v>
      </c>
      <c r="D5794" t="inlineStr">
        <is>
          <t>KRONOBERGS LÄN</t>
        </is>
      </c>
      <c r="E5794" t="inlineStr">
        <is>
          <t>VÄXJÖ</t>
        </is>
      </c>
      <c r="G5794" t="n">
        <v>0.4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375-2024</t>
        </is>
      </c>
      <c r="B5795" s="1" t="n">
        <v>45296.33238425926</v>
      </c>
      <c r="C5795" s="1" t="n">
        <v>45957</v>
      </c>
      <c r="D5795" t="inlineStr">
        <is>
          <t>KRONOBERGS LÄN</t>
        </is>
      </c>
      <c r="E5795" t="inlineStr">
        <is>
          <t>VÄXJÖ</t>
        </is>
      </c>
      <c r="G5795" t="n">
        <v>1.6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39094-2023</t>
        </is>
      </c>
      <c r="B5796" s="1" t="n">
        <v>45164</v>
      </c>
      <c r="C5796" s="1" t="n">
        <v>45957</v>
      </c>
      <c r="D5796" t="inlineStr">
        <is>
          <t>KRONOBERGS LÄN</t>
        </is>
      </c>
      <c r="E5796" t="inlineStr">
        <is>
          <t>UPPVIDINGE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42304-2021</t>
        </is>
      </c>
      <c r="B5797" s="1" t="n">
        <v>44426</v>
      </c>
      <c r="C5797" s="1" t="n">
        <v>45957</v>
      </c>
      <c r="D5797" t="inlineStr">
        <is>
          <t>KRONOBERGS LÄN</t>
        </is>
      </c>
      <c r="E5797" t="inlineStr">
        <is>
          <t>TINGSRYD</t>
        </is>
      </c>
      <c r="G5797" t="n">
        <v>0.7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49940-2023</t>
        </is>
      </c>
      <c r="B5798" s="1" t="n">
        <v>45215.35358796296</v>
      </c>
      <c r="C5798" s="1" t="n">
        <v>45957</v>
      </c>
      <c r="D5798" t="inlineStr">
        <is>
          <t>KRONOBERGS LÄN</t>
        </is>
      </c>
      <c r="E5798" t="inlineStr">
        <is>
          <t>TINGSRYD</t>
        </is>
      </c>
      <c r="G5798" t="n">
        <v>1.4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3230-2025</t>
        </is>
      </c>
      <c r="B5799" s="1" t="n">
        <v>45679.48483796296</v>
      </c>
      <c r="C5799" s="1" t="n">
        <v>45957</v>
      </c>
      <c r="D5799" t="inlineStr">
        <is>
          <t>KRONOBERGS LÄN</t>
        </is>
      </c>
      <c r="E5799" t="inlineStr">
        <is>
          <t>LJUNGBY</t>
        </is>
      </c>
      <c r="G5799" t="n">
        <v>7.3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14387-2024</t>
        </is>
      </c>
      <c r="B5800" s="1" t="n">
        <v>45394.32820601852</v>
      </c>
      <c r="C5800" s="1" t="n">
        <v>45957</v>
      </c>
      <c r="D5800" t="inlineStr">
        <is>
          <t>KRONOBERGS LÄN</t>
        </is>
      </c>
      <c r="E5800" t="inlineStr">
        <is>
          <t>TINGSRYD</t>
        </is>
      </c>
      <c r="G5800" t="n">
        <v>0.5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17346-2023</t>
        </is>
      </c>
      <c r="B5801" s="1" t="n">
        <v>45035.58140046296</v>
      </c>
      <c r="C5801" s="1" t="n">
        <v>45957</v>
      </c>
      <c r="D5801" t="inlineStr">
        <is>
          <t>KRONOBERGS LÄN</t>
        </is>
      </c>
      <c r="E5801" t="inlineStr">
        <is>
          <t>TINGSRYD</t>
        </is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15412-2024</t>
        </is>
      </c>
      <c r="B5802" s="1" t="n">
        <v>45401.35483796296</v>
      </c>
      <c r="C5802" s="1" t="n">
        <v>45957</v>
      </c>
      <c r="D5802" t="inlineStr">
        <is>
          <t>KRONOBERGS LÄN</t>
        </is>
      </c>
      <c r="E5802" t="inlineStr">
        <is>
          <t>TINGSRYD</t>
        </is>
      </c>
      <c r="G5802" t="n">
        <v>0.5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15580-2024</t>
        </is>
      </c>
      <c r="B5803" s="1" t="n">
        <v>45401.69138888889</v>
      </c>
      <c r="C5803" s="1" t="n">
        <v>45957</v>
      </c>
      <c r="D5803" t="inlineStr">
        <is>
          <t>KRONOBERGS LÄN</t>
        </is>
      </c>
      <c r="E5803" t="inlineStr">
        <is>
          <t>LJUNGBY</t>
        </is>
      </c>
      <c r="G5803" t="n">
        <v>2.1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54616-2024</t>
        </is>
      </c>
      <c r="B5804" s="1" t="n">
        <v>45617.72848379629</v>
      </c>
      <c r="C5804" s="1" t="n">
        <v>45957</v>
      </c>
      <c r="D5804" t="inlineStr">
        <is>
          <t>KRONOBERGS LÄN</t>
        </is>
      </c>
      <c r="E5804" t="inlineStr">
        <is>
          <t>VÄXJÖ</t>
        </is>
      </c>
      <c r="G5804" t="n">
        <v>1.8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16860-2024</t>
        </is>
      </c>
      <c r="B5805" s="1" t="n">
        <v>45410</v>
      </c>
      <c r="C5805" s="1" t="n">
        <v>45957</v>
      </c>
      <c r="D5805" t="inlineStr">
        <is>
          <t>KRONOBERGS LÄN</t>
        </is>
      </c>
      <c r="E5805" t="inlineStr">
        <is>
          <t>LJUNGBY</t>
        </is>
      </c>
      <c r="G5805" t="n">
        <v>6.7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28676-2023</t>
        </is>
      </c>
      <c r="B5806" s="1" t="n">
        <v>45103.67451388889</v>
      </c>
      <c r="C5806" s="1" t="n">
        <v>45957</v>
      </c>
      <c r="D5806" t="inlineStr">
        <is>
          <t>KRONOBERGS LÄN</t>
        </is>
      </c>
      <c r="E5806" t="inlineStr">
        <is>
          <t>LJUNGBY</t>
        </is>
      </c>
      <c r="G5806" t="n">
        <v>0.6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20421-2021</t>
        </is>
      </c>
      <c r="B5807" s="1" t="n">
        <v>44315</v>
      </c>
      <c r="C5807" s="1" t="n">
        <v>45957</v>
      </c>
      <c r="D5807" t="inlineStr">
        <is>
          <t>KRONOBERGS LÄN</t>
        </is>
      </c>
      <c r="E5807" t="inlineStr">
        <is>
          <t>ÄLMHULT</t>
        </is>
      </c>
      <c r="G5807" t="n">
        <v>0.5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20425-2021</t>
        </is>
      </c>
      <c r="B5808" s="1" t="n">
        <v>44315</v>
      </c>
      <c r="C5808" s="1" t="n">
        <v>45957</v>
      </c>
      <c r="D5808" t="inlineStr">
        <is>
          <t>KRONOBERGS LÄN</t>
        </is>
      </c>
      <c r="E5808" t="inlineStr">
        <is>
          <t>ÄLMHULT</t>
        </is>
      </c>
      <c r="G5808" t="n">
        <v>1.4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58717-2024</t>
        </is>
      </c>
      <c r="B5809" s="1" t="n">
        <v>45635.65861111111</v>
      </c>
      <c r="C5809" s="1" t="n">
        <v>45957</v>
      </c>
      <c r="D5809" t="inlineStr">
        <is>
          <t>KRONOBERGS LÄN</t>
        </is>
      </c>
      <c r="E5809" t="inlineStr">
        <is>
          <t>ÄLMHULT</t>
        </is>
      </c>
      <c r="G5809" t="n">
        <v>0.8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19152-2025</t>
        </is>
      </c>
      <c r="B5810" s="1" t="n">
        <v>45769.35501157407</v>
      </c>
      <c r="C5810" s="1" t="n">
        <v>45957</v>
      </c>
      <c r="D5810" t="inlineStr">
        <is>
          <t>KRONOBERGS LÄN</t>
        </is>
      </c>
      <c r="E5810" t="inlineStr">
        <is>
          <t>VÄXJÖ</t>
        </is>
      </c>
      <c r="G5810" t="n">
        <v>2.9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38427-2023</t>
        </is>
      </c>
      <c r="B5811" s="1" t="n">
        <v>45162</v>
      </c>
      <c r="C5811" s="1" t="n">
        <v>45957</v>
      </c>
      <c r="D5811" t="inlineStr">
        <is>
          <t>KRONOBERGS LÄN</t>
        </is>
      </c>
      <c r="E5811" t="inlineStr">
        <is>
          <t>LJUNGBY</t>
        </is>
      </c>
      <c r="G5811" t="n">
        <v>3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40366-2023</t>
        </is>
      </c>
      <c r="B5812" s="1" t="n">
        <v>45169</v>
      </c>
      <c r="C5812" s="1" t="n">
        <v>45957</v>
      </c>
      <c r="D5812" t="inlineStr">
        <is>
          <t>KRONOBERGS LÄN</t>
        </is>
      </c>
      <c r="E5812" t="inlineStr">
        <is>
          <t>ALVESTA</t>
        </is>
      </c>
      <c r="G5812" t="n">
        <v>1.4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6648-2025</t>
        </is>
      </c>
      <c r="B5813" s="1" t="n">
        <v>45700.4034837963</v>
      </c>
      <c r="C5813" s="1" t="n">
        <v>45957</v>
      </c>
      <c r="D5813" t="inlineStr">
        <is>
          <t>KRONOBERGS LÄN</t>
        </is>
      </c>
      <c r="E5813" t="inlineStr">
        <is>
          <t>ÄLMHULT</t>
        </is>
      </c>
      <c r="G5813" t="n">
        <v>3.3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61971-2024</t>
        </is>
      </c>
      <c r="B5814" s="1" t="n">
        <v>45653.59679398148</v>
      </c>
      <c r="C5814" s="1" t="n">
        <v>45957</v>
      </c>
      <c r="D5814" t="inlineStr">
        <is>
          <t>KRONOBERGS LÄN</t>
        </is>
      </c>
      <c r="E5814" t="inlineStr">
        <is>
          <t>ÄLMHULT</t>
        </is>
      </c>
      <c r="G5814" t="n">
        <v>0.7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45695-2025</t>
        </is>
      </c>
      <c r="B5815" s="1" t="n">
        <v>45923.39356481482</v>
      </c>
      <c r="C5815" s="1" t="n">
        <v>45957</v>
      </c>
      <c r="D5815" t="inlineStr">
        <is>
          <t>KRONOBERGS LÄN</t>
        </is>
      </c>
      <c r="E5815" t="inlineStr">
        <is>
          <t>UPPVIDINGE</t>
        </is>
      </c>
      <c r="G5815" t="n">
        <v>2.2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54068-2024</t>
        </is>
      </c>
      <c r="B5816" s="1" t="n">
        <v>45615</v>
      </c>
      <c r="C5816" s="1" t="n">
        <v>45957</v>
      </c>
      <c r="D5816" t="inlineStr">
        <is>
          <t>KRONOBERGS LÄN</t>
        </is>
      </c>
      <c r="E5816" t="inlineStr">
        <is>
          <t>UPPVIDINGE</t>
        </is>
      </c>
      <c r="G5816" t="n">
        <v>1.8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63506-2020</t>
        </is>
      </c>
      <c r="B5817" s="1" t="n">
        <v>44165</v>
      </c>
      <c r="C5817" s="1" t="n">
        <v>45957</v>
      </c>
      <c r="D5817" t="inlineStr">
        <is>
          <t>KRONOBERGS LÄN</t>
        </is>
      </c>
      <c r="E5817" t="inlineStr">
        <is>
          <t>UPPVIDINGE</t>
        </is>
      </c>
      <c r="G5817" t="n">
        <v>2.2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45896-2025</t>
        </is>
      </c>
      <c r="B5818" s="1" t="n">
        <v>45923.67896990741</v>
      </c>
      <c r="C5818" s="1" t="n">
        <v>45957</v>
      </c>
      <c r="D5818" t="inlineStr">
        <is>
          <t>KRONOBERGS LÄN</t>
        </is>
      </c>
      <c r="E5818" t="inlineStr">
        <is>
          <t>TINGSRYD</t>
        </is>
      </c>
      <c r="G5818" t="n">
        <v>0.6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12298-2023</t>
        </is>
      </c>
      <c r="B5819" s="1" t="n">
        <v>44998.80769675926</v>
      </c>
      <c r="C5819" s="1" t="n">
        <v>45957</v>
      </c>
      <c r="D5819" t="inlineStr">
        <is>
          <t>KRONOBERGS LÄN</t>
        </is>
      </c>
      <c r="E5819" t="inlineStr">
        <is>
          <t>ALVESTA</t>
        </is>
      </c>
      <c r="G5819" t="n">
        <v>1.5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9822-2023</t>
        </is>
      </c>
      <c r="B5820" s="1" t="n">
        <v>44984</v>
      </c>
      <c r="C5820" s="1" t="n">
        <v>45957</v>
      </c>
      <c r="D5820" t="inlineStr">
        <is>
          <t>KRONOBERGS LÄN</t>
        </is>
      </c>
      <c r="E5820" t="inlineStr">
        <is>
          <t>TINGSRYD</t>
        </is>
      </c>
      <c r="G5820" t="n">
        <v>8.9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40675-2023</t>
        </is>
      </c>
      <c r="B5821" s="1" t="n">
        <v>45170</v>
      </c>
      <c r="C5821" s="1" t="n">
        <v>45957</v>
      </c>
      <c r="D5821" t="inlineStr">
        <is>
          <t>KRONOBERGS LÄN</t>
        </is>
      </c>
      <c r="E5821" t="inlineStr">
        <is>
          <t>LJUNGBY</t>
        </is>
      </c>
      <c r="G5821" t="n">
        <v>1.1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4730-2025</t>
        </is>
      </c>
      <c r="B5822" s="1" t="n">
        <v>45688</v>
      </c>
      <c r="C5822" s="1" t="n">
        <v>45957</v>
      </c>
      <c r="D5822" t="inlineStr">
        <is>
          <t>KRONOBERGS LÄN</t>
        </is>
      </c>
      <c r="E5822" t="inlineStr">
        <is>
          <t>TINGSRYD</t>
        </is>
      </c>
      <c r="G5822" t="n">
        <v>0.8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29154-2023</t>
        </is>
      </c>
      <c r="B5823" s="1" t="n">
        <v>45105.47802083333</v>
      </c>
      <c r="C5823" s="1" t="n">
        <v>45957</v>
      </c>
      <c r="D5823" t="inlineStr">
        <is>
          <t>KRONOBERGS LÄN</t>
        </is>
      </c>
      <c r="E5823" t="inlineStr">
        <is>
          <t>UPPVIDINGE</t>
        </is>
      </c>
      <c r="G5823" t="n">
        <v>1.5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18694-2022</t>
        </is>
      </c>
      <c r="B5824" s="1" t="n">
        <v>44687.60125</v>
      </c>
      <c r="C5824" s="1" t="n">
        <v>45957</v>
      </c>
      <c r="D5824" t="inlineStr">
        <is>
          <t>KRONOBERGS LÄN</t>
        </is>
      </c>
      <c r="E5824" t="inlineStr">
        <is>
          <t>VÄXJÖ</t>
        </is>
      </c>
      <c r="G5824" t="n">
        <v>1.4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57000-2023</t>
        </is>
      </c>
      <c r="B5825" s="1" t="n">
        <v>45244.67376157407</v>
      </c>
      <c r="C5825" s="1" t="n">
        <v>45957</v>
      </c>
      <c r="D5825" t="inlineStr">
        <is>
          <t>KRONOBERGS LÄN</t>
        </is>
      </c>
      <c r="E5825" t="inlineStr">
        <is>
          <t>UPPVIDINGE</t>
        </is>
      </c>
      <c r="G5825" t="n">
        <v>0.6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45854-2023</t>
        </is>
      </c>
      <c r="B5826" s="1" t="n">
        <v>45195.59732638889</v>
      </c>
      <c r="C5826" s="1" t="n">
        <v>45957</v>
      </c>
      <c r="D5826" t="inlineStr">
        <is>
          <t>KRONOBERGS LÄN</t>
        </is>
      </c>
      <c r="E5826" t="inlineStr">
        <is>
          <t>MARKARYD</t>
        </is>
      </c>
      <c r="G5826" t="n">
        <v>0.7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46219-2025</t>
        </is>
      </c>
      <c r="B5827" s="1" t="n">
        <v>45924.8566087963</v>
      </c>
      <c r="C5827" s="1" t="n">
        <v>45957</v>
      </c>
      <c r="D5827" t="inlineStr">
        <is>
          <t>KRONOBERGS LÄN</t>
        </is>
      </c>
      <c r="E5827" t="inlineStr">
        <is>
          <t>ÄLMHULT</t>
        </is>
      </c>
      <c r="G5827" t="n">
        <v>0.7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46184-2025</t>
        </is>
      </c>
      <c r="B5828" s="1" t="n">
        <v>45924.65884259259</v>
      </c>
      <c r="C5828" s="1" t="n">
        <v>45957</v>
      </c>
      <c r="D5828" t="inlineStr">
        <is>
          <t>KRONOBERGS LÄN</t>
        </is>
      </c>
      <c r="E5828" t="inlineStr">
        <is>
          <t>VÄXJÖ</t>
        </is>
      </c>
      <c r="G5828" t="n">
        <v>1.1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1348-2024</t>
        </is>
      </c>
      <c r="B5829" s="1" t="n">
        <v>45303.45996527778</v>
      </c>
      <c r="C5829" s="1" t="n">
        <v>45957</v>
      </c>
      <c r="D5829" t="inlineStr">
        <is>
          <t>KRONOBERGS LÄN</t>
        </is>
      </c>
      <c r="E5829" t="inlineStr">
        <is>
          <t>ÄLMHULT</t>
        </is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64069-2023</t>
        </is>
      </c>
      <c r="B5830" s="1" t="n">
        <v>45279.36726851852</v>
      </c>
      <c r="C5830" s="1" t="n">
        <v>45957</v>
      </c>
      <c r="D5830" t="inlineStr">
        <is>
          <t>KRONOBERGS LÄN</t>
        </is>
      </c>
      <c r="E5830" t="inlineStr">
        <is>
          <t>TINGSRYD</t>
        </is>
      </c>
      <c r="G5830" t="n">
        <v>2.1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49619-2023</t>
        </is>
      </c>
      <c r="B5831" s="1" t="n">
        <v>45211.82909722222</v>
      </c>
      <c r="C5831" s="1" t="n">
        <v>45957</v>
      </c>
      <c r="D5831" t="inlineStr">
        <is>
          <t>KRONOBERGS LÄN</t>
        </is>
      </c>
      <c r="E5831" t="inlineStr">
        <is>
          <t>VÄXJÖ</t>
        </is>
      </c>
      <c r="G5831" t="n">
        <v>3.7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58155-2024</t>
        </is>
      </c>
      <c r="B5832" s="1" t="n">
        <v>45632.4446875</v>
      </c>
      <c r="C5832" s="1" t="n">
        <v>45957</v>
      </c>
      <c r="D5832" t="inlineStr">
        <is>
          <t>KRONOBERGS LÄN</t>
        </is>
      </c>
      <c r="E5832" t="inlineStr">
        <is>
          <t>VÄXJÖ</t>
        </is>
      </c>
      <c r="G5832" t="n">
        <v>4.9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16259-2025</t>
        </is>
      </c>
      <c r="B5833" s="1" t="n">
        <v>45749</v>
      </c>
      <c r="C5833" s="1" t="n">
        <v>45957</v>
      </c>
      <c r="D5833" t="inlineStr">
        <is>
          <t>KRONOBERGS LÄN</t>
        </is>
      </c>
      <c r="E5833" t="inlineStr">
        <is>
          <t>UPPVIDINGE</t>
        </is>
      </c>
      <c r="F5833" t="inlineStr">
        <is>
          <t>Kyrkan</t>
        </is>
      </c>
      <c r="G5833" t="n">
        <v>2.3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62245-2022</t>
        </is>
      </c>
      <c r="B5834" s="1" t="n">
        <v>44922.87642361111</v>
      </c>
      <c r="C5834" s="1" t="n">
        <v>45957</v>
      </c>
      <c r="D5834" t="inlineStr">
        <is>
          <t>KRONOBERGS LÄN</t>
        </is>
      </c>
      <c r="E5834" t="inlineStr">
        <is>
          <t>VÄXJÖ</t>
        </is>
      </c>
      <c r="G5834" t="n">
        <v>0.7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49562-2023</t>
        </is>
      </c>
      <c r="B5835" s="1" t="n">
        <v>45211.64829861111</v>
      </c>
      <c r="C5835" s="1" t="n">
        <v>45957</v>
      </c>
      <c r="D5835" t="inlineStr">
        <is>
          <t>KRONOBERGS LÄN</t>
        </is>
      </c>
      <c r="E5835" t="inlineStr">
        <is>
          <t>ÄLMHULT</t>
        </is>
      </c>
      <c r="G5835" t="n">
        <v>4.1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14280-2023</t>
        </is>
      </c>
      <c r="B5836" s="1" t="n">
        <v>45010.41703703703</v>
      </c>
      <c r="C5836" s="1" t="n">
        <v>45957</v>
      </c>
      <c r="D5836" t="inlineStr">
        <is>
          <t>KRONOBERGS LÄN</t>
        </is>
      </c>
      <c r="E5836" t="inlineStr">
        <is>
          <t>ÄLMHULT</t>
        </is>
      </c>
      <c r="G5836" t="n">
        <v>2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5295-2024</t>
        </is>
      </c>
      <c r="B5837" s="1" t="n">
        <v>45331.36413194444</v>
      </c>
      <c r="C5837" s="1" t="n">
        <v>45957</v>
      </c>
      <c r="D5837" t="inlineStr">
        <is>
          <t>KRONOBERGS LÄN</t>
        </is>
      </c>
      <c r="E5837" t="inlineStr">
        <is>
          <t>TINGSRYD</t>
        </is>
      </c>
      <c r="G5837" t="n">
        <v>2.2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886-2024</t>
        </is>
      </c>
      <c r="B5838" s="1" t="n">
        <v>45301</v>
      </c>
      <c r="C5838" s="1" t="n">
        <v>45957</v>
      </c>
      <c r="D5838" t="inlineStr">
        <is>
          <t>KRONOBERGS LÄN</t>
        </is>
      </c>
      <c r="E5838" t="inlineStr">
        <is>
          <t>LJUNGBY</t>
        </is>
      </c>
      <c r="G5838" t="n">
        <v>2.2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37994-2025</t>
        </is>
      </c>
      <c r="B5839" s="1" t="n">
        <v>45881.75081018519</v>
      </c>
      <c r="C5839" s="1" t="n">
        <v>45957</v>
      </c>
      <c r="D5839" t="inlineStr">
        <is>
          <t>KRONOBERGS LÄN</t>
        </is>
      </c>
      <c r="E5839" t="inlineStr">
        <is>
          <t>VÄXJÖ</t>
        </is>
      </c>
      <c r="G5839" t="n">
        <v>3.6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19824-2025</t>
        </is>
      </c>
      <c r="B5840" s="1" t="n">
        <v>45771</v>
      </c>
      <c r="C5840" s="1" t="n">
        <v>45957</v>
      </c>
      <c r="D5840" t="inlineStr">
        <is>
          <t>KRONOBERGS LÄN</t>
        </is>
      </c>
      <c r="E5840" t="inlineStr">
        <is>
          <t>TINGSRYD</t>
        </is>
      </c>
      <c r="G5840" t="n">
        <v>1.1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19056-2025</t>
        </is>
      </c>
      <c r="B5841" s="1" t="n">
        <v>45764</v>
      </c>
      <c r="C5841" s="1" t="n">
        <v>45957</v>
      </c>
      <c r="D5841" t="inlineStr">
        <is>
          <t>KRONOBERGS LÄN</t>
        </is>
      </c>
      <c r="E5841" t="inlineStr">
        <is>
          <t>UPPVIDINGE</t>
        </is>
      </c>
      <c r="F5841" t="inlineStr">
        <is>
          <t>Sveaskog</t>
        </is>
      </c>
      <c r="G5841" t="n">
        <v>0.8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46589-2024</t>
        </is>
      </c>
      <c r="B5842" s="1" t="n">
        <v>45582.78583333334</v>
      </c>
      <c r="C5842" s="1" t="n">
        <v>45957</v>
      </c>
      <c r="D5842" t="inlineStr">
        <is>
          <t>KRONOBERGS LÄN</t>
        </is>
      </c>
      <c r="E5842" t="inlineStr">
        <is>
          <t>VÄXJÖ</t>
        </is>
      </c>
      <c r="G5842" t="n">
        <v>2.4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7968-2025</t>
        </is>
      </c>
      <c r="B5843" s="1" t="n">
        <v>45707.45516203704</v>
      </c>
      <c r="C5843" s="1" t="n">
        <v>45957</v>
      </c>
      <c r="D5843" t="inlineStr">
        <is>
          <t>KRONOBERGS LÄN</t>
        </is>
      </c>
      <c r="E5843" t="inlineStr">
        <is>
          <t>ÄLMHULT</t>
        </is>
      </c>
      <c r="G5843" t="n">
        <v>1.6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49442-2024</t>
        </is>
      </c>
      <c r="B5844" s="1" t="n">
        <v>45595.89636574074</v>
      </c>
      <c r="C5844" s="1" t="n">
        <v>45957</v>
      </c>
      <c r="D5844" t="inlineStr">
        <is>
          <t>KRONOBERGS LÄN</t>
        </is>
      </c>
      <c r="E5844" t="inlineStr">
        <is>
          <t>ÄLMHULT</t>
        </is>
      </c>
      <c r="G5844" t="n">
        <v>0.5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54256-2023</t>
        </is>
      </c>
      <c r="B5845" s="1" t="n">
        <v>45232.63908564814</v>
      </c>
      <c r="C5845" s="1" t="n">
        <v>45957</v>
      </c>
      <c r="D5845" t="inlineStr">
        <is>
          <t>KRONOBERGS LÄN</t>
        </is>
      </c>
      <c r="E5845" t="inlineStr">
        <is>
          <t>VÄXJÖ</t>
        </is>
      </c>
      <c r="G5845" t="n">
        <v>1.8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6812-2025</t>
        </is>
      </c>
      <c r="B5846" s="1" t="n">
        <v>45700.69467592592</v>
      </c>
      <c r="C5846" s="1" t="n">
        <v>45957</v>
      </c>
      <c r="D5846" t="inlineStr">
        <is>
          <t>KRONOBERGS LÄN</t>
        </is>
      </c>
      <c r="E5846" t="inlineStr">
        <is>
          <t>LJUNGBY</t>
        </is>
      </c>
      <c r="G5846" t="n">
        <v>2.7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32389-2025</t>
        </is>
      </c>
      <c r="B5847" s="1" t="n">
        <v>45837.90292824074</v>
      </c>
      <c r="C5847" s="1" t="n">
        <v>45957</v>
      </c>
      <c r="D5847" t="inlineStr">
        <is>
          <t>KRONOBERGS LÄN</t>
        </is>
      </c>
      <c r="E5847" t="inlineStr">
        <is>
          <t>LJUNGBY</t>
        </is>
      </c>
      <c r="G5847" t="n">
        <v>4.1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21756-2023</t>
        </is>
      </c>
      <c r="B5848" s="1" t="n">
        <v>45065</v>
      </c>
      <c r="C5848" s="1" t="n">
        <v>45957</v>
      </c>
      <c r="D5848" t="inlineStr">
        <is>
          <t>KRONOBERGS LÄN</t>
        </is>
      </c>
      <c r="E5848" t="inlineStr">
        <is>
          <t>LJUNGBY</t>
        </is>
      </c>
      <c r="G5848" t="n">
        <v>6.7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24491-2024</t>
        </is>
      </c>
      <c r="B5849" s="1" t="n">
        <v>45459.71949074074</v>
      </c>
      <c r="C5849" s="1" t="n">
        <v>45957</v>
      </c>
      <c r="D5849" t="inlineStr">
        <is>
          <t>KRONOBERGS LÄN</t>
        </is>
      </c>
      <c r="E5849" t="inlineStr">
        <is>
          <t>UPPVIDINGE</t>
        </is>
      </c>
      <c r="G5849" t="n">
        <v>4.5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5443-2025</t>
        </is>
      </c>
      <c r="B5850" s="1" t="n">
        <v>45692.82443287037</v>
      </c>
      <c r="C5850" s="1" t="n">
        <v>45957</v>
      </c>
      <c r="D5850" t="inlineStr">
        <is>
          <t>KRONOBERGS LÄN</t>
        </is>
      </c>
      <c r="E5850" t="inlineStr">
        <is>
          <t>VÄXJÖ</t>
        </is>
      </c>
      <c r="G5850" t="n">
        <v>0.7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25598-2023</t>
        </is>
      </c>
      <c r="B5851" s="1" t="n">
        <v>45089.63818287037</v>
      </c>
      <c r="C5851" s="1" t="n">
        <v>45957</v>
      </c>
      <c r="D5851" t="inlineStr">
        <is>
          <t>KRONOBERGS LÄN</t>
        </is>
      </c>
      <c r="E5851" t="inlineStr">
        <is>
          <t>ALVESTA</t>
        </is>
      </c>
      <c r="G5851" t="n">
        <v>1.4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1715-2025</t>
        </is>
      </c>
      <c r="B5852" s="1" t="n">
        <v>45671</v>
      </c>
      <c r="C5852" s="1" t="n">
        <v>45957</v>
      </c>
      <c r="D5852" t="inlineStr">
        <is>
          <t>KRONOBERGS LÄN</t>
        </is>
      </c>
      <c r="E5852" t="inlineStr">
        <is>
          <t>MARKARYD</t>
        </is>
      </c>
      <c r="G5852" t="n">
        <v>10.9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24624-2024</t>
        </is>
      </c>
      <c r="B5853" s="1" t="n">
        <v>45460.49929398148</v>
      </c>
      <c r="C5853" s="1" t="n">
        <v>45957</v>
      </c>
      <c r="D5853" t="inlineStr">
        <is>
          <t>KRONOBERGS LÄN</t>
        </is>
      </c>
      <c r="E5853" t="inlineStr">
        <is>
          <t>ALVESTA</t>
        </is>
      </c>
      <c r="G5853" t="n">
        <v>1.8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30966-2023</t>
        </is>
      </c>
      <c r="B5854" s="1" t="n">
        <v>45113.48390046296</v>
      </c>
      <c r="C5854" s="1" t="n">
        <v>45957</v>
      </c>
      <c r="D5854" t="inlineStr">
        <is>
          <t>KRONOBERGS LÄN</t>
        </is>
      </c>
      <c r="E5854" t="inlineStr">
        <is>
          <t>LESSEBO</t>
        </is>
      </c>
      <c r="G5854" t="n">
        <v>7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62812-2023</t>
        </is>
      </c>
      <c r="B5855" s="1" t="n">
        <v>45271.89012731481</v>
      </c>
      <c r="C5855" s="1" t="n">
        <v>45957</v>
      </c>
      <c r="D5855" t="inlineStr">
        <is>
          <t>KRONOBERGS LÄN</t>
        </is>
      </c>
      <c r="E5855" t="inlineStr">
        <is>
          <t>ÄLMHULT</t>
        </is>
      </c>
      <c r="G5855" t="n">
        <v>8.4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34456-2023</t>
        </is>
      </c>
      <c r="B5856" s="1" t="n">
        <v>45139.69394675926</v>
      </c>
      <c r="C5856" s="1" t="n">
        <v>45957</v>
      </c>
      <c r="D5856" t="inlineStr">
        <is>
          <t>KRONOBERGS LÄN</t>
        </is>
      </c>
      <c r="E5856" t="inlineStr">
        <is>
          <t>VÄXJÖ</t>
        </is>
      </c>
      <c r="G5856" t="n">
        <v>2.4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16593-2025</t>
        </is>
      </c>
      <c r="B5857" s="1" t="n">
        <v>45753.32285879629</v>
      </c>
      <c r="C5857" s="1" t="n">
        <v>45957</v>
      </c>
      <c r="D5857" t="inlineStr">
        <is>
          <t>KRONOBERGS LÄN</t>
        </is>
      </c>
      <c r="E5857" t="inlineStr">
        <is>
          <t>VÄXJÖ</t>
        </is>
      </c>
      <c r="G5857" t="n">
        <v>0.3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32685-2023</t>
        </is>
      </c>
      <c r="B5858" s="1" t="n">
        <v>45121.70020833334</v>
      </c>
      <c r="C5858" s="1" t="n">
        <v>45957</v>
      </c>
      <c r="D5858" t="inlineStr">
        <is>
          <t>KRONOBERGS LÄN</t>
        </is>
      </c>
      <c r="E5858" t="inlineStr">
        <is>
          <t>LJUNGBY</t>
        </is>
      </c>
      <c r="G5858" t="n">
        <v>1.6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608-2023</t>
        </is>
      </c>
      <c r="B5859" s="1" t="n">
        <v>44930.59520833333</v>
      </c>
      <c r="C5859" s="1" t="n">
        <v>45957</v>
      </c>
      <c r="D5859" t="inlineStr">
        <is>
          <t>KRONOBERGS LÄN</t>
        </is>
      </c>
      <c r="E5859" t="inlineStr">
        <is>
          <t>TINGSRYD</t>
        </is>
      </c>
      <c r="G5859" t="n">
        <v>0.9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36750-2022</t>
        </is>
      </c>
      <c r="B5860" s="1" t="n">
        <v>44805.43658564815</v>
      </c>
      <c r="C5860" s="1" t="n">
        <v>45957</v>
      </c>
      <c r="D5860" t="inlineStr">
        <is>
          <t>KRONOBERGS LÄN</t>
        </is>
      </c>
      <c r="E5860" t="inlineStr">
        <is>
          <t>ALVESTA</t>
        </is>
      </c>
      <c r="G5860" t="n">
        <v>1.5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46479-2023</t>
        </is>
      </c>
      <c r="B5861" s="1" t="n">
        <v>45197.63912037037</v>
      </c>
      <c r="C5861" s="1" t="n">
        <v>45957</v>
      </c>
      <c r="D5861" t="inlineStr">
        <is>
          <t>KRONOBERGS LÄN</t>
        </is>
      </c>
      <c r="E5861" t="inlineStr">
        <is>
          <t>TINGSRYD</t>
        </is>
      </c>
      <c r="G5861" t="n">
        <v>1.9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47775-2023</t>
        </is>
      </c>
      <c r="B5862" s="1" t="n">
        <v>45203</v>
      </c>
      <c r="C5862" s="1" t="n">
        <v>45957</v>
      </c>
      <c r="D5862" t="inlineStr">
        <is>
          <t>KRONOBERGS LÄN</t>
        </is>
      </c>
      <c r="E5862" t="inlineStr">
        <is>
          <t>MARKARYD</t>
        </is>
      </c>
      <c r="G5862" t="n">
        <v>0.5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68507-2021</t>
        </is>
      </c>
      <c r="B5863" s="1" t="n">
        <v>44529.46170138889</v>
      </c>
      <c r="C5863" s="1" t="n">
        <v>45957</v>
      </c>
      <c r="D5863" t="inlineStr">
        <is>
          <t>KRONOBERGS LÄN</t>
        </is>
      </c>
      <c r="E5863" t="inlineStr">
        <is>
          <t>LESSEBO</t>
        </is>
      </c>
      <c r="G5863" t="n">
        <v>0.8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53792-2024</t>
        </is>
      </c>
      <c r="B5864" s="1" t="n">
        <v>45615.57574074074</v>
      </c>
      <c r="C5864" s="1" t="n">
        <v>45957</v>
      </c>
      <c r="D5864" t="inlineStr">
        <is>
          <t>KRONOBERGS LÄN</t>
        </is>
      </c>
      <c r="E5864" t="inlineStr">
        <is>
          <t>LJUNGBY</t>
        </is>
      </c>
      <c r="G5864" t="n">
        <v>1.1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13409-2023</t>
        </is>
      </c>
      <c r="B5865" s="1" t="n">
        <v>45005</v>
      </c>
      <c r="C5865" s="1" t="n">
        <v>45957</v>
      </c>
      <c r="D5865" t="inlineStr">
        <is>
          <t>KRONOBERGS LÄN</t>
        </is>
      </c>
      <c r="E5865" t="inlineStr">
        <is>
          <t>UPPVIDINGE</t>
        </is>
      </c>
      <c r="G5865" t="n">
        <v>1.4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23148-2023</t>
        </is>
      </c>
      <c r="B5866" s="1" t="n">
        <v>45075.49745370371</v>
      </c>
      <c r="C5866" s="1" t="n">
        <v>45957</v>
      </c>
      <c r="D5866" t="inlineStr">
        <is>
          <t>KRONOBERGS LÄN</t>
        </is>
      </c>
      <c r="E5866" t="inlineStr">
        <is>
          <t>MARKARYD</t>
        </is>
      </c>
      <c r="F5866" t="inlineStr">
        <is>
          <t>Övriga Aktiebolag</t>
        </is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38812-2024</t>
        </is>
      </c>
      <c r="B5867" s="1" t="n">
        <v>45547.54277777778</v>
      </c>
      <c r="C5867" s="1" t="n">
        <v>45957</v>
      </c>
      <c r="D5867" t="inlineStr">
        <is>
          <t>KRONOBERGS LÄN</t>
        </is>
      </c>
      <c r="E5867" t="inlineStr">
        <is>
          <t>ÄLMHULT</t>
        </is>
      </c>
      <c r="G5867" t="n">
        <v>1.3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8293-2025</t>
        </is>
      </c>
      <c r="B5868" s="1" t="n">
        <v>45708.57878472222</v>
      </c>
      <c r="C5868" s="1" t="n">
        <v>45957</v>
      </c>
      <c r="D5868" t="inlineStr">
        <is>
          <t>KRONOBERGS LÄN</t>
        </is>
      </c>
      <c r="E5868" t="inlineStr">
        <is>
          <t>ALVESTA</t>
        </is>
      </c>
      <c r="G5868" t="n">
        <v>0.5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55982-2023</t>
        </is>
      </c>
      <c r="B5869" s="1" t="n">
        <v>45240.37677083333</v>
      </c>
      <c r="C5869" s="1" t="n">
        <v>45957</v>
      </c>
      <c r="D5869" t="inlineStr">
        <is>
          <t>KRONOBERGS LÄN</t>
        </is>
      </c>
      <c r="E5869" t="inlineStr">
        <is>
          <t>TINGSRYD</t>
        </is>
      </c>
      <c r="G5869" t="n">
        <v>6.9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11643-2024</t>
        </is>
      </c>
      <c r="B5870" s="1" t="n">
        <v>45373.49592592593</v>
      </c>
      <c r="C5870" s="1" t="n">
        <v>45957</v>
      </c>
      <c r="D5870" t="inlineStr">
        <is>
          <t>KRONOBERGS LÄN</t>
        </is>
      </c>
      <c r="E5870" t="inlineStr">
        <is>
          <t>VÄXJÖ</t>
        </is>
      </c>
      <c r="G5870" t="n">
        <v>0.9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37192-2023</t>
        </is>
      </c>
      <c r="B5871" s="1" t="n">
        <v>45155</v>
      </c>
      <c r="C5871" s="1" t="n">
        <v>45957</v>
      </c>
      <c r="D5871" t="inlineStr">
        <is>
          <t>KRONOBERGS LÄN</t>
        </is>
      </c>
      <c r="E5871" t="inlineStr">
        <is>
          <t>MARKARYD</t>
        </is>
      </c>
      <c r="G5871" t="n">
        <v>2.9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27843-2023</t>
        </is>
      </c>
      <c r="B5872" s="1" t="n">
        <v>45098</v>
      </c>
      <c r="C5872" s="1" t="n">
        <v>45957</v>
      </c>
      <c r="D5872" t="inlineStr">
        <is>
          <t>KRONOBERGS LÄN</t>
        </is>
      </c>
      <c r="E5872" t="inlineStr">
        <is>
          <t>UPPVIDINGE</t>
        </is>
      </c>
      <c r="G5872" t="n">
        <v>2.2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35488-2023</t>
        </is>
      </c>
      <c r="B5873" s="1" t="n">
        <v>45146.71684027778</v>
      </c>
      <c r="C5873" s="1" t="n">
        <v>45957</v>
      </c>
      <c r="D5873" t="inlineStr">
        <is>
          <t>KRONOBERGS LÄN</t>
        </is>
      </c>
      <c r="E5873" t="inlineStr">
        <is>
          <t>LJUNGBY</t>
        </is>
      </c>
      <c r="G5873" t="n">
        <v>0.6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22736-2024</t>
        </is>
      </c>
      <c r="B5874" s="1" t="n">
        <v>45448.38922453704</v>
      </c>
      <c r="C5874" s="1" t="n">
        <v>45957</v>
      </c>
      <c r="D5874" t="inlineStr">
        <is>
          <t>KRONOBERGS LÄN</t>
        </is>
      </c>
      <c r="E5874" t="inlineStr">
        <is>
          <t>VÄXJÖ</t>
        </is>
      </c>
      <c r="G5874" t="n">
        <v>0.9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58227-2024</t>
        </is>
      </c>
      <c r="B5875" s="1" t="n">
        <v>45632.51193287037</v>
      </c>
      <c r="C5875" s="1" t="n">
        <v>45957</v>
      </c>
      <c r="D5875" t="inlineStr">
        <is>
          <t>KRONOBERGS LÄN</t>
        </is>
      </c>
      <c r="E5875" t="inlineStr">
        <is>
          <t>LJUNGBY</t>
        </is>
      </c>
      <c r="G5875" t="n">
        <v>2.2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3338-2023</t>
        </is>
      </c>
      <c r="B5876" s="1" t="n">
        <v>44949.4493287037</v>
      </c>
      <c r="C5876" s="1" t="n">
        <v>45957</v>
      </c>
      <c r="D5876" t="inlineStr">
        <is>
          <t>KRONOBERGS LÄN</t>
        </is>
      </c>
      <c r="E5876" t="inlineStr">
        <is>
          <t>TINGSRYD</t>
        </is>
      </c>
      <c r="G5876" t="n">
        <v>0.7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53629-2024</t>
        </is>
      </c>
      <c r="B5877" s="1" t="n">
        <v>45614.80997685185</v>
      </c>
      <c r="C5877" s="1" t="n">
        <v>45957</v>
      </c>
      <c r="D5877" t="inlineStr">
        <is>
          <t>KRONOBERGS LÄN</t>
        </is>
      </c>
      <c r="E5877" t="inlineStr">
        <is>
          <t>MARKARYD</t>
        </is>
      </c>
      <c r="G5877" t="n">
        <v>10.5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7408-2023</t>
        </is>
      </c>
      <c r="B5878" s="1" t="n">
        <v>44971</v>
      </c>
      <c r="C5878" s="1" t="n">
        <v>45957</v>
      </c>
      <c r="D5878" t="inlineStr">
        <is>
          <t>KRONOBERGS LÄN</t>
        </is>
      </c>
      <c r="E5878" t="inlineStr">
        <is>
          <t>TINGSRYD</t>
        </is>
      </c>
      <c r="G5878" t="n">
        <v>2.2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56853-2023</t>
        </is>
      </c>
      <c r="B5879" s="1" t="n">
        <v>45244.49783564815</v>
      </c>
      <c r="C5879" s="1" t="n">
        <v>45957</v>
      </c>
      <c r="D5879" t="inlineStr">
        <is>
          <t>KRONOBERGS LÄN</t>
        </is>
      </c>
      <c r="E5879" t="inlineStr">
        <is>
          <t>ÄLMHULT</t>
        </is>
      </c>
      <c r="G5879" t="n">
        <v>0.5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15935-2023</t>
        </is>
      </c>
      <c r="B5880" s="1" t="n">
        <v>45022.55644675926</v>
      </c>
      <c r="C5880" s="1" t="n">
        <v>45957</v>
      </c>
      <c r="D5880" t="inlineStr">
        <is>
          <t>KRONOBERGS LÄN</t>
        </is>
      </c>
      <c r="E5880" t="inlineStr">
        <is>
          <t>VÄXJÖ</t>
        </is>
      </c>
      <c r="G5880" t="n">
        <v>12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53113-2023</t>
        </is>
      </c>
      <c r="B5881" s="1" t="n">
        <v>45228.75835648148</v>
      </c>
      <c r="C5881" s="1" t="n">
        <v>45957</v>
      </c>
      <c r="D5881" t="inlineStr">
        <is>
          <t>KRONOBERGS LÄN</t>
        </is>
      </c>
      <c r="E5881" t="inlineStr">
        <is>
          <t>ÄLMHULT</t>
        </is>
      </c>
      <c r="G5881" t="n">
        <v>0.4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49302-2023</t>
        </is>
      </c>
      <c r="B5882" s="1" t="n">
        <v>45210</v>
      </c>
      <c r="C5882" s="1" t="n">
        <v>45957</v>
      </c>
      <c r="D5882" t="inlineStr">
        <is>
          <t>KRONOBERGS LÄN</t>
        </is>
      </c>
      <c r="E5882" t="inlineStr">
        <is>
          <t>LJUNGBY</t>
        </is>
      </c>
      <c r="G5882" t="n">
        <v>2.5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58831-2023</t>
        </is>
      </c>
      <c r="B5883" s="1" t="n">
        <v>45252.40496527778</v>
      </c>
      <c r="C5883" s="1" t="n">
        <v>45957</v>
      </c>
      <c r="D5883" t="inlineStr">
        <is>
          <t>KRONOBERGS LÄN</t>
        </is>
      </c>
      <c r="E5883" t="inlineStr">
        <is>
          <t>ÄLMHULT</t>
        </is>
      </c>
      <c r="G5883" t="n">
        <v>0.5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62172-2022</t>
        </is>
      </c>
      <c r="B5884" s="1" t="n">
        <v>44922</v>
      </c>
      <c r="C5884" s="1" t="n">
        <v>45957</v>
      </c>
      <c r="D5884" t="inlineStr">
        <is>
          <t>KRONOBERGS LÄN</t>
        </is>
      </c>
      <c r="E5884" t="inlineStr">
        <is>
          <t>ÄLMHULT</t>
        </is>
      </c>
      <c r="G5884" t="n">
        <v>1.1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4459-2025</t>
        </is>
      </c>
      <c r="B5885" s="1" t="n">
        <v>45686.5972800926</v>
      </c>
      <c r="C5885" s="1" t="n">
        <v>45957</v>
      </c>
      <c r="D5885" t="inlineStr">
        <is>
          <t>KRONOBERGS LÄN</t>
        </is>
      </c>
      <c r="E5885" t="inlineStr">
        <is>
          <t>VÄXJÖ</t>
        </is>
      </c>
      <c r="G5885" t="n">
        <v>3.8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4463-2025</t>
        </is>
      </c>
      <c r="B5886" s="1" t="n">
        <v>45686.60481481482</v>
      </c>
      <c r="C5886" s="1" t="n">
        <v>45957</v>
      </c>
      <c r="D5886" t="inlineStr">
        <is>
          <t>KRONOBERGS LÄN</t>
        </is>
      </c>
      <c r="E5886" t="inlineStr">
        <is>
          <t>VÄXJÖ</t>
        </is>
      </c>
      <c r="G5886" t="n">
        <v>2.8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55537-2024</t>
        </is>
      </c>
      <c r="B5887" s="1" t="n">
        <v>45622.49302083333</v>
      </c>
      <c r="C5887" s="1" t="n">
        <v>45957</v>
      </c>
      <c r="D5887" t="inlineStr">
        <is>
          <t>KRONOBERGS LÄN</t>
        </is>
      </c>
      <c r="E5887" t="inlineStr">
        <is>
          <t>VÄXJÖ</t>
        </is>
      </c>
      <c r="G5887" t="n">
        <v>0.9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37689-2022</t>
        </is>
      </c>
      <c r="B5888" s="1" t="n">
        <v>44810.49734953704</v>
      </c>
      <c r="C5888" s="1" t="n">
        <v>45957</v>
      </c>
      <c r="D5888" t="inlineStr">
        <is>
          <t>KRONOBERGS LÄN</t>
        </is>
      </c>
      <c r="E5888" t="inlineStr">
        <is>
          <t>LJUNGBY</t>
        </is>
      </c>
      <c r="G5888" t="n">
        <v>1.5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46631-2025</t>
        </is>
      </c>
      <c r="B5889" s="1" t="n">
        <v>45926.45581018519</v>
      </c>
      <c r="C5889" s="1" t="n">
        <v>45957</v>
      </c>
      <c r="D5889" t="inlineStr">
        <is>
          <t>KRONOBERGS LÄN</t>
        </is>
      </c>
      <c r="E5889" t="inlineStr">
        <is>
          <t>LESSEBO</t>
        </is>
      </c>
      <c r="G5889" t="n">
        <v>1.8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46501-2025</t>
        </is>
      </c>
      <c r="B5890" s="1" t="n">
        <v>45925.86418981481</v>
      </c>
      <c r="C5890" s="1" t="n">
        <v>45957</v>
      </c>
      <c r="D5890" t="inlineStr">
        <is>
          <t>KRONOBERGS LÄN</t>
        </is>
      </c>
      <c r="E5890" t="inlineStr">
        <is>
          <t>LJUNGBY</t>
        </is>
      </c>
      <c r="G5890" t="n">
        <v>1.1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4727-2025</t>
        </is>
      </c>
      <c r="B5891" s="1" t="n">
        <v>45688.43215277778</v>
      </c>
      <c r="C5891" s="1" t="n">
        <v>45957</v>
      </c>
      <c r="D5891" t="inlineStr">
        <is>
          <t>KRONOBERGS LÄN</t>
        </is>
      </c>
      <c r="E5891" t="inlineStr">
        <is>
          <t>UPPVIDINGE</t>
        </is>
      </c>
      <c r="G5891" t="n">
        <v>0.9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40580-2021</t>
        </is>
      </c>
      <c r="B5892" s="1" t="n">
        <v>44420</v>
      </c>
      <c r="C5892" s="1" t="n">
        <v>45957</v>
      </c>
      <c r="D5892" t="inlineStr">
        <is>
          <t>KRONOBERGS LÄN</t>
        </is>
      </c>
      <c r="E5892" t="inlineStr">
        <is>
          <t>ALVESTA</t>
        </is>
      </c>
      <c r="G5892" t="n">
        <v>1.1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50183-2022</t>
        </is>
      </c>
      <c r="B5893" s="1" t="n">
        <v>44865</v>
      </c>
      <c r="C5893" s="1" t="n">
        <v>45957</v>
      </c>
      <c r="D5893" t="inlineStr">
        <is>
          <t>KRONOBERGS LÄN</t>
        </is>
      </c>
      <c r="E5893" t="inlineStr">
        <is>
          <t>ÄLMHULT</t>
        </is>
      </c>
      <c r="G5893" t="n">
        <v>1.5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73827-2021</t>
        </is>
      </c>
      <c r="B5894" s="1" t="n">
        <v>44552.83320601852</v>
      </c>
      <c r="C5894" s="1" t="n">
        <v>45957</v>
      </c>
      <c r="D5894" t="inlineStr">
        <is>
          <t>KRONOBERGS LÄN</t>
        </is>
      </c>
      <c r="E5894" t="inlineStr">
        <is>
          <t>VÄXJÖ</t>
        </is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48438-2024</t>
        </is>
      </c>
      <c r="B5895" s="1" t="n">
        <v>45590</v>
      </c>
      <c r="C5895" s="1" t="n">
        <v>45957</v>
      </c>
      <c r="D5895" t="inlineStr">
        <is>
          <t>KRONOBERGS LÄN</t>
        </is>
      </c>
      <c r="E5895" t="inlineStr">
        <is>
          <t>UPPVIDINGE</t>
        </is>
      </c>
      <c r="G5895" t="n">
        <v>3.5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38712-2022</t>
        </is>
      </c>
      <c r="B5896" s="1" t="n">
        <v>44814.81546296296</v>
      </c>
      <c r="C5896" s="1" t="n">
        <v>45957</v>
      </c>
      <c r="D5896" t="inlineStr">
        <is>
          <t>KRONOBERGS LÄN</t>
        </is>
      </c>
      <c r="E5896" t="inlineStr">
        <is>
          <t>LESSEBO</t>
        </is>
      </c>
      <c r="G5896" t="n">
        <v>0.4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5486-2025</t>
        </is>
      </c>
      <c r="B5897" s="1" t="n">
        <v>45693.34945601852</v>
      </c>
      <c r="C5897" s="1" t="n">
        <v>45957</v>
      </c>
      <c r="D5897" t="inlineStr">
        <is>
          <t>KRONOBERGS LÄN</t>
        </is>
      </c>
      <c r="E5897" t="inlineStr">
        <is>
          <t>VÄXJÖ</t>
        </is>
      </c>
      <c r="G5897" t="n">
        <v>2.6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47706-2021</t>
        </is>
      </c>
      <c r="B5898" s="1" t="n">
        <v>44448</v>
      </c>
      <c r="C5898" s="1" t="n">
        <v>45957</v>
      </c>
      <c r="D5898" t="inlineStr">
        <is>
          <t>KRONOBERGS LÄN</t>
        </is>
      </c>
      <c r="E5898" t="inlineStr">
        <is>
          <t>LJUNGBY</t>
        </is>
      </c>
      <c r="F5898" t="inlineStr">
        <is>
          <t>Kyrkan</t>
        </is>
      </c>
      <c r="G5898" t="n">
        <v>0.8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32758-2021</t>
        </is>
      </c>
      <c r="B5899" s="1" t="n">
        <v>44375</v>
      </c>
      <c r="C5899" s="1" t="n">
        <v>45957</v>
      </c>
      <c r="D5899" t="inlineStr">
        <is>
          <t>KRONOBERGS LÄN</t>
        </is>
      </c>
      <c r="E5899" t="inlineStr">
        <is>
          <t>UPPVIDINGE</t>
        </is>
      </c>
      <c r="G5899" t="n">
        <v>4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58181-2023</t>
        </is>
      </c>
      <c r="B5900" s="1" t="n">
        <v>45250.41039351852</v>
      </c>
      <c r="C5900" s="1" t="n">
        <v>45957</v>
      </c>
      <c r="D5900" t="inlineStr">
        <is>
          <t>KRONOBERGS LÄN</t>
        </is>
      </c>
      <c r="E5900" t="inlineStr">
        <is>
          <t>VÄXJÖ</t>
        </is>
      </c>
      <c r="G5900" t="n">
        <v>0.5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28735-2024</t>
        </is>
      </c>
      <c r="B5901" s="1" t="n">
        <v>45478.5672337963</v>
      </c>
      <c r="C5901" s="1" t="n">
        <v>45957</v>
      </c>
      <c r="D5901" t="inlineStr">
        <is>
          <t>KRONOBERGS LÄN</t>
        </is>
      </c>
      <c r="E5901" t="inlineStr">
        <is>
          <t>ALVESTA</t>
        </is>
      </c>
      <c r="G5901" t="n">
        <v>5.4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50817-2024</t>
        </is>
      </c>
      <c r="B5902" s="1" t="n">
        <v>45601</v>
      </c>
      <c r="C5902" s="1" t="n">
        <v>45957</v>
      </c>
      <c r="D5902" t="inlineStr">
        <is>
          <t>KRONOBERGS LÄN</t>
        </is>
      </c>
      <c r="E5902" t="inlineStr">
        <is>
          <t>TINGSRYD</t>
        </is>
      </c>
      <c r="G5902" t="n">
        <v>1.2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40525-2024</t>
        </is>
      </c>
      <c r="B5903" s="1" t="n">
        <v>45555.60236111111</v>
      </c>
      <c r="C5903" s="1" t="n">
        <v>45957</v>
      </c>
      <c r="D5903" t="inlineStr">
        <is>
          <t>KRONOBERGS LÄN</t>
        </is>
      </c>
      <c r="E5903" t="inlineStr">
        <is>
          <t>VÄXJÖ</t>
        </is>
      </c>
      <c r="G5903" t="n">
        <v>1.3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3377-2025</t>
        </is>
      </c>
      <c r="B5904" s="1" t="n">
        <v>45680.33516203704</v>
      </c>
      <c r="C5904" s="1" t="n">
        <v>45957</v>
      </c>
      <c r="D5904" t="inlineStr">
        <is>
          <t>KRONOBERGS LÄN</t>
        </is>
      </c>
      <c r="E5904" t="inlineStr">
        <is>
          <t>ÄLMHULT</t>
        </is>
      </c>
      <c r="G5904" t="n">
        <v>1.4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59621-2023</t>
        </is>
      </c>
      <c r="B5905" s="1" t="n">
        <v>45254.66193287037</v>
      </c>
      <c r="C5905" s="1" t="n">
        <v>45957</v>
      </c>
      <c r="D5905" t="inlineStr">
        <is>
          <t>KRONOBERGS LÄN</t>
        </is>
      </c>
      <c r="E5905" t="inlineStr">
        <is>
          <t>ALVESTA</t>
        </is>
      </c>
      <c r="G5905" t="n">
        <v>1.4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20435-2025</t>
        </is>
      </c>
      <c r="B5906" s="1" t="n">
        <v>45775.48229166667</v>
      </c>
      <c r="C5906" s="1" t="n">
        <v>45957</v>
      </c>
      <c r="D5906" t="inlineStr">
        <is>
          <t>KRONOBERGS LÄN</t>
        </is>
      </c>
      <c r="E5906" t="inlineStr">
        <is>
          <t>LESSEBO</t>
        </is>
      </c>
      <c r="F5906" t="inlineStr">
        <is>
          <t>Sveaskog</t>
        </is>
      </c>
      <c r="G5906" t="n">
        <v>3.5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20441-2025</t>
        </is>
      </c>
      <c r="B5907" s="1" t="n">
        <v>45775.48774305556</v>
      </c>
      <c r="C5907" s="1" t="n">
        <v>45957</v>
      </c>
      <c r="D5907" t="inlineStr">
        <is>
          <t>KRONOBERGS LÄN</t>
        </is>
      </c>
      <c r="E5907" t="inlineStr">
        <is>
          <t>LESSEBO</t>
        </is>
      </c>
      <c r="F5907" t="inlineStr">
        <is>
          <t>Sveaskog</t>
        </is>
      </c>
      <c r="G5907" t="n">
        <v>2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20443-2025</t>
        </is>
      </c>
      <c r="B5908" s="1" t="n">
        <v>45775.4891087963</v>
      </c>
      <c r="C5908" s="1" t="n">
        <v>45957</v>
      </c>
      <c r="D5908" t="inlineStr">
        <is>
          <t>KRONOBERGS LÄN</t>
        </is>
      </c>
      <c r="E5908" t="inlineStr">
        <is>
          <t>LESSEBO</t>
        </is>
      </c>
      <c r="F5908" t="inlineStr">
        <is>
          <t>Sveaskog</t>
        </is>
      </c>
      <c r="G5908" t="n">
        <v>1.3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5982-2024</t>
        </is>
      </c>
      <c r="B5909" s="1" t="n">
        <v>45336.56375</v>
      </c>
      <c r="C5909" s="1" t="n">
        <v>45957</v>
      </c>
      <c r="D5909" t="inlineStr">
        <is>
          <t>KRONOBERGS LÄN</t>
        </is>
      </c>
      <c r="E5909" t="inlineStr">
        <is>
          <t>ALVESTA</t>
        </is>
      </c>
      <c r="G5909" t="n">
        <v>0.8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9424-2025</t>
        </is>
      </c>
      <c r="B5910" s="1" t="n">
        <v>45715.40141203703</v>
      </c>
      <c r="C5910" s="1" t="n">
        <v>45957</v>
      </c>
      <c r="D5910" t="inlineStr">
        <is>
          <t>KRONOBERGS LÄN</t>
        </is>
      </c>
      <c r="E5910" t="inlineStr">
        <is>
          <t>VÄXJÖ</t>
        </is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4722-2024</t>
        </is>
      </c>
      <c r="B5911" s="1" t="n">
        <v>45328</v>
      </c>
      <c r="C5911" s="1" t="n">
        <v>45957</v>
      </c>
      <c r="D5911" t="inlineStr">
        <is>
          <t>KRONOBERGS LÄN</t>
        </is>
      </c>
      <c r="E5911" t="inlineStr">
        <is>
          <t>ALVESTA</t>
        </is>
      </c>
      <c r="G5911" t="n">
        <v>1.7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2107-2024</t>
        </is>
      </c>
      <c r="B5912" s="1" t="n">
        <v>45309.47016203704</v>
      </c>
      <c r="C5912" s="1" t="n">
        <v>45957</v>
      </c>
      <c r="D5912" t="inlineStr">
        <is>
          <t>KRONOBERGS LÄN</t>
        </is>
      </c>
      <c r="E5912" t="inlineStr">
        <is>
          <t>VÄXJÖ</t>
        </is>
      </c>
      <c r="G5912" t="n">
        <v>1.4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2115-2024</t>
        </is>
      </c>
      <c r="B5913" s="1" t="n">
        <v>45309.48903935185</v>
      </c>
      <c r="C5913" s="1" t="n">
        <v>45957</v>
      </c>
      <c r="D5913" t="inlineStr">
        <is>
          <t>KRONOBERGS LÄN</t>
        </is>
      </c>
      <c r="E5913" t="inlineStr">
        <is>
          <t>VÄXJÖ</t>
        </is>
      </c>
      <c r="G5913" t="n">
        <v>1.6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54094-2022</t>
        </is>
      </c>
      <c r="B5914" s="1" t="n">
        <v>44881.54231481482</v>
      </c>
      <c r="C5914" s="1" t="n">
        <v>45957</v>
      </c>
      <c r="D5914" t="inlineStr">
        <is>
          <t>KRONOBERGS LÄN</t>
        </is>
      </c>
      <c r="E5914" t="inlineStr">
        <is>
          <t>UPPVIDINGE</t>
        </is>
      </c>
      <c r="G5914" t="n">
        <v>1.5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17552-2023</t>
        </is>
      </c>
      <c r="B5915" s="1" t="n">
        <v>45036.50671296296</v>
      </c>
      <c r="C5915" s="1" t="n">
        <v>45957</v>
      </c>
      <c r="D5915" t="inlineStr">
        <is>
          <t>KRONOBERGS LÄN</t>
        </is>
      </c>
      <c r="E5915" t="inlineStr">
        <is>
          <t>LESSEBO</t>
        </is>
      </c>
      <c r="G5915" t="n">
        <v>1.3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34744-2023</t>
        </is>
      </c>
      <c r="B5916" s="1" t="n">
        <v>45141</v>
      </c>
      <c r="C5916" s="1" t="n">
        <v>45957</v>
      </c>
      <c r="D5916" t="inlineStr">
        <is>
          <t>KRONOBERGS LÄN</t>
        </is>
      </c>
      <c r="E5916" t="inlineStr">
        <is>
          <t>VÄXJÖ</t>
        </is>
      </c>
      <c r="G5916" t="n">
        <v>2.7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10763-2022</t>
        </is>
      </c>
      <c r="B5917" s="1" t="n">
        <v>44627.42074074074</v>
      </c>
      <c r="C5917" s="1" t="n">
        <v>45957</v>
      </c>
      <c r="D5917" t="inlineStr">
        <is>
          <t>KRONOBERGS LÄN</t>
        </is>
      </c>
      <c r="E5917" t="inlineStr">
        <is>
          <t>TINGSRYD</t>
        </is>
      </c>
      <c r="G5917" t="n">
        <v>3.6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36816-2023</t>
        </is>
      </c>
      <c r="B5918" s="1" t="n">
        <v>45154.441875</v>
      </c>
      <c r="C5918" s="1" t="n">
        <v>45957</v>
      </c>
      <c r="D5918" t="inlineStr">
        <is>
          <t>KRONOBERGS LÄN</t>
        </is>
      </c>
      <c r="E5918" t="inlineStr">
        <is>
          <t>ÄLMHULT</t>
        </is>
      </c>
      <c r="G5918" t="n">
        <v>3.3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21168-2021</t>
        </is>
      </c>
      <c r="B5919" s="1" t="n">
        <v>44320.42920138889</v>
      </c>
      <c r="C5919" s="1" t="n">
        <v>45957</v>
      </c>
      <c r="D5919" t="inlineStr">
        <is>
          <t>KRONOBERGS LÄN</t>
        </is>
      </c>
      <c r="E5919" t="inlineStr">
        <is>
          <t>ÄLMHULT</t>
        </is>
      </c>
      <c r="F5919" t="inlineStr">
        <is>
          <t>Sveaskog</t>
        </is>
      </c>
      <c r="G5919" t="n">
        <v>0.7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11781-2023</t>
        </is>
      </c>
      <c r="B5920" s="1" t="n">
        <v>44994</v>
      </c>
      <c r="C5920" s="1" t="n">
        <v>45957</v>
      </c>
      <c r="D5920" t="inlineStr">
        <is>
          <t>KRONOBERGS LÄN</t>
        </is>
      </c>
      <c r="E5920" t="inlineStr">
        <is>
          <t>MARKARYD</t>
        </is>
      </c>
      <c r="G5920" t="n">
        <v>4.7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19790-2025</t>
        </is>
      </c>
      <c r="B5921" s="1" t="n">
        <v>45771.445</v>
      </c>
      <c r="C5921" s="1" t="n">
        <v>45957</v>
      </c>
      <c r="D5921" t="inlineStr">
        <is>
          <t>KRONOBERGS LÄN</t>
        </is>
      </c>
      <c r="E5921" t="inlineStr">
        <is>
          <t>ALVESTA</t>
        </is>
      </c>
      <c r="G5921" t="n">
        <v>3.4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53522-2024</t>
        </is>
      </c>
      <c r="B5922" s="1" t="n">
        <v>45614.61105324074</v>
      </c>
      <c r="C5922" s="1" t="n">
        <v>45957</v>
      </c>
      <c r="D5922" t="inlineStr">
        <is>
          <t>KRONOBERGS LÄN</t>
        </is>
      </c>
      <c r="E5922" t="inlineStr">
        <is>
          <t>VÄXJÖ</t>
        </is>
      </c>
      <c r="G5922" t="n">
        <v>0.8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9344-2025</t>
        </is>
      </c>
      <c r="B5923" s="1" t="n">
        <v>45714.84204861111</v>
      </c>
      <c r="C5923" s="1" t="n">
        <v>45957</v>
      </c>
      <c r="D5923" t="inlineStr">
        <is>
          <t>KRONOBERGS LÄN</t>
        </is>
      </c>
      <c r="E5923" t="inlineStr">
        <is>
          <t>LJUNGBY</t>
        </is>
      </c>
      <c r="G5923" t="n">
        <v>0.5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10070-2025</t>
        </is>
      </c>
      <c r="B5924" s="1" t="n">
        <v>45719.54616898148</v>
      </c>
      <c r="C5924" s="1" t="n">
        <v>45957</v>
      </c>
      <c r="D5924" t="inlineStr">
        <is>
          <t>KRONOBERGS LÄN</t>
        </is>
      </c>
      <c r="E5924" t="inlineStr">
        <is>
          <t>VÄXJÖ</t>
        </is>
      </c>
      <c r="G5924" t="n">
        <v>1.2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10075-2025</t>
        </is>
      </c>
      <c r="B5925" s="1" t="n">
        <v>45719</v>
      </c>
      <c r="C5925" s="1" t="n">
        <v>45957</v>
      </c>
      <c r="D5925" t="inlineStr">
        <is>
          <t>KRONOBERGS LÄN</t>
        </is>
      </c>
      <c r="E5925" t="inlineStr">
        <is>
          <t>VÄXJÖ</t>
        </is>
      </c>
      <c r="G5925" t="n">
        <v>2.5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63719-2023</t>
        </is>
      </c>
      <c r="B5926" s="1" t="n">
        <v>45275</v>
      </c>
      <c r="C5926" s="1" t="n">
        <v>45957</v>
      </c>
      <c r="D5926" t="inlineStr">
        <is>
          <t>KRONOBERGS LÄN</t>
        </is>
      </c>
      <c r="E5926" t="inlineStr">
        <is>
          <t>LJUNGBY</t>
        </is>
      </c>
      <c r="F5926" t="inlineStr">
        <is>
          <t>Kyrkan</t>
        </is>
      </c>
      <c r="G5926" t="n">
        <v>1.6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63846-2023</t>
        </is>
      </c>
      <c r="B5927" s="1" t="n">
        <v>45278.47853009259</v>
      </c>
      <c r="C5927" s="1" t="n">
        <v>45957</v>
      </c>
      <c r="D5927" t="inlineStr">
        <is>
          <t>KRONOBERGS LÄN</t>
        </is>
      </c>
      <c r="E5927" t="inlineStr">
        <is>
          <t>VÄXJÖ</t>
        </is>
      </c>
      <c r="G5927" t="n">
        <v>5.6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35896-2024</t>
        </is>
      </c>
      <c r="B5928" s="1" t="n">
        <v>45533.38872685185</v>
      </c>
      <c r="C5928" s="1" t="n">
        <v>45957</v>
      </c>
      <c r="D5928" t="inlineStr">
        <is>
          <t>KRONOBERGS LÄN</t>
        </is>
      </c>
      <c r="E5928" t="inlineStr">
        <is>
          <t>VÄXJÖ</t>
        </is>
      </c>
      <c r="G5928" t="n">
        <v>1.9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68473-2021</t>
        </is>
      </c>
      <c r="B5929" s="1" t="n">
        <v>44529</v>
      </c>
      <c r="C5929" s="1" t="n">
        <v>45957</v>
      </c>
      <c r="D5929" t="inlineStr">
        <is>
          <t>KRONOBERGS LÄN</t>
        </is>
      </c>
      <c r="E5929" t="inlineStr">
        <is>
          <t>VÄXJÖ</t>
        </is>
      </c>
      <c r="G5929" t="n">
        <v>1.2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61447-2023</t>
        </is>
      </c>
      <c r="B5930" s="1" t="n">
        <v>45264.80734953703</v>
      </c>
      <c r="C5930" s="1" t="n">
        <v>45957</v>
      </c>
      <c r="D5930" t="inlineStr">
        <is>
          <t>KRONOBERGS LÄN</t>
        </is>
      </c>
      <c r="E5930" t="inlineStr">
        <is>
          <t>TINGSRYD</t>
        </is>
      </c>
      <c r="G5930" t="n">
        <v>1.7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17694-2025</t>
        </is>
      </c>
      <c r="B5931" s="1" t="n">
        <v>45758.41136574074</v>
      </c>
      <c r="C5931" s="1" t="n">
        <v>45957</v>
      </c>
      <c r="D5931" t="inlineStr">
        <is>
          <t>KRONOBERGS LÄN</t>
        </is>
      </c>
      <c r="E5931" t="inlineStr">
        <is>
          <t>TINGSRYD</t>
        </is>
      </c>
      <c r="F5931" t="inlineStr">
        <is>
          <t>Övriga Aktiebolag</t>
        </is>
      </c>
      <c r="G5931" t="n">
        <v>1.9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51515-2024</t>
        </is>
      </c>
      <c r="B5932" s="1" t="n">
        <v>45604.56427083333</v>
      </c>
      <c r="C5932" s="1" t="n">
        <v>45957</v>
      </c>
      <c r="D5932" t="inlineStr">
        <is>
          <t>KRONOBERGS LÄN</t>
        </is>
      </c>
      <c r="E5932" t="inlineStr">
        <is>
          <t>UPPVIDINGE</t>
        </is>
      </c>
      <c r="F5932" t="inlineStr">
        <is>
          <t>Sveaskog</t>
        </is>
      </c>
      <c r="G5932" t="n">
        <v>0.7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51516-2024</t>
        </is>
      </c>
      <c r="B5933" s="1" t="n">
        <v>45604.56517361111</v>
      </c>
      <c r="C5933" s="1" t="n">
        <v>45957</v>
      </c>
      <c r="D5933" t="inlineStr">
        <is>
          <t>KRONOBERGS LÄN</t>
        </is>
      </c>
      <c r="E5933" t="inlineStr">
        <is>
          <t>UPPVIDINGE</t>
        </is>
      </c>
      <c r="F5933" t="inlineStr">
        <is>
          <t>Sveaskog</t>
        </is>
      </c>
      <c r="G5933" t="n">
        <v>0.6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18236-2025</t>
        </is>
      </c>
      <c r="B5934" s="1" t="n">
        <v>45761.93880787037</v>
      </c>
      <c r="C5934" s="1" t="n">
        <v>45957</v>
      </c>
      <c r="D5934" t="inlineStr">
        <is>
          <t>KRONOBERGS LÄN</t>
        </is>
      </c>
      <c r="E5934" t="inlineStr">
        <is>
          <t>UPPVIDINGE</t>
        </is>
      </c>
      <c r="F5934" t="inlineStr">
        <is>
          <t>Sveaskog</t>
        </is>
      </c>
      <c r="G5934" t="n">
        <v>1.1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51518-2024</t>
        </is>
      </c>
      <c r="B5935" s="1" t="n">
        <v>45604.56623842593</v>
      </c>
      <c r="C5935" s="1" t="n">
        <v>45957</v>
      </c>
      <c r="D5935" t="inlineStr">
        <is>
          <t>KRONOBERGS LÄN</t>
        </is>
      </c>
      <c r="E5935" t="inlineStr">
        <is>
          <t>UPPVIDINGE</t>
        </is>
      </c>
      <c r="F5935" t="inlineStr">
        <is>
          <t>Sveaskog</t>
        </is>
      </c>
      <c r="G5935" t="n">
        <v>1.4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51537-2024</t>
        </is>
      </c>
      <c r="B5936" s="1" t="n">
        <v>45603</v>
      </c>
      <c r="C5936" s="1" t="n">
        <v>45957</v>
      </c>
      <c r="D5936" t="inlineStr">
        <is>
          <t>KRONOBERGS LÄN</t>
        </is>
      </c>
      <c r="E5936" t="inlineStr">
        <is>
          <t>LJUNGBY</t>
        </is>
      </c>
      <c r="F5936" t="inlineStr">
        <is>
          <t>Kyrkan</t>
        </is>
      </c>
      <c r="G5936" t="n">
        <v>13.5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44839-2024</t>
        </is>
      </c>
      <c r="B5937" s="1" t="n">
        <v>45574.71269675926</v>
      </c>
      <c r="C5937" s="1" t="n">
        <v>45957</v>
      </c>
      <c r="D5937" t="inlineStr">
        <is>
          <t>KRONOBERGS LÄN</t>
        </is>
      </c>
      <c r="E5937" t="inlineStr">
        <is>
          <t>TINGSRYD</t>
        </is>
      </c>
      <c r="G5937" t="n">
        <v>1.3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8053-2025</t>
        </is>
      </c>
      <c r="B5938" s="1" t="n">
        <v>45707.6121412037</v>
      </c>
      <c r="C5938" s="1" t="n">
        <v>45957</v>
      </c>
      <c r="D5938" t="inlineStr">
        <is>
          <t>KRONOBERGS LÄN</t>
        </is>
      </c>
      <c r="E5938" t="inlineStr">
        <is>
          <t>MARKARYD</t>
        </is>
      </c>
      <c r="G5938" t="n">
        <v>0.7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15847-2025</t>
        </is>
      </c>
      <c r="B5939" s="1" t="n">
        <v>45748.90723379629</v>
      </c>
      <c r="C5939" s="1" t="n">
        <v>45957</v>
      </c>
      <c r="D5939" t="inlineStr">
        <is>
          <t>KRONOBERGS LÄN</t>
        </is>
      </c>
      <c r="E5939" t="inlineStr">
        <is>
          <t>LJUNGBY</t>
        </is>
      </c>
      <c r="G5939" t="n">
        <v>0.8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44797-2023</t>
        </is>
      </c>
      <c r="B5940" s="1" t="n">
        <v>45190.47119212963</v>
      </c>
      <c r="C5940" s="1" t="n">
        <v>45957</v>
      </c>
      <c r="D5940" t="inlineStr">
        <is>
          <t>KRONOBERGS LÄN</t>
        </is>
      </c>
      <c r="E5940" t="inlineStr">
        <is>
          <t>UPPVIDINGE</t>
        </is>
      </c>
      <c r="G5940" t="n">
        <v>1.8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48265-2023</t>
        </is>
      </c>
      <c r="B5941" s="1" t="n">
        <v>45205.54072916666</v>
      </c>
      <c r="C5941" s="1" t="n">
        <v>45957</v>
      </c>
      <c r="D5941" t="inlineStr">
        <is>
          <t>KRONOBERGS LÄN</t>
        </is>
      </c>
      <c r="E5941" t="inlineStr">
        <is>
          <t>ÄLMHULT</t>
        </is>
      </c>
      <c r="G5941" t="n">
        <v>4.6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8163-2025</t>
        </is>
      </c>
      <c r="B5942" s="1" t="n">
        <v>45708.35037037037</v>
      </c>
      <c r="C5942" s="1" t="n">
        <v>45957</v>
      </c>
      <c r="D5942" t="inlineStr">
        <is>
          <t>KRONOBERGS LÄN</t>
        </is>
      </c>
      <c r="E5942" t="inlineStr">
        <is>
          <t>UPPVIDINGE</t>
        </is>
      </c>
      <c r="G5942" t="n">
        <v>3.3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42669-2023</t>
        </is>
      </c>
      <c r="B5943" s="1" t="n">
        <v>45181.56171296296</v>
      </c>
      <c r="C5943" s="1" t="n">
        <v>45957</v>
      </c>
      <c r="D5943" t="inlineStr">
        <is>
          <t>KRONOBERGS LÄN</t>
        </is>
      </c>
      <c r="E5943" t="inlineStr">
        <is>
          <t>LJUNGBY</t>
        </is>
      </c>
      <c r="G5943" t="n">
        <v>3.3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50073-2023</t>
        </is>
      </c>
      <c r="B5944" s="1" t="n">
        <v>45215.55851851852</v>
      </c>
      <c r="C5944" s="1" t="n">
        <v>45957</v>
      </c>
      <c r="D5944" t="inlineStr">
        <is>
          <t>KRONOBERGS LÄN</t>
        </is>
      </c>
      <c r="E5944" t="inlineStr">
        <is>
          <t>ÄLMHULT</t>
        </is>
      </c>
      <c r="G5944" t="n">
        <v>0.9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10672-2021</t>
        </is>
      </c>
      <c r="B5945" s="1" t="n">
        <v>44258</v>
      </c>
      <c r="C5945" s="1" t="n">
        <v>45957</v>
      </c>
      <c r="D5945" t="inlineStr">
        <is>
          <t>KRONOBERGS LÄN</t>
        </is>
      </c>
      <c r="E5945" t="inlineStr">
        <is>
          <t>TINGSRYD</t>
        </is>
      </c>
      <c r="G5945" t="n">
        <v>2.3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17037-2024</t>
        </is>
      </c>
      <c r="B5946" s="1" t="n">
        <v>45412</v>
      </c>
      <c r="C5946" s="1" t="n">
        <v>45957</v>
      </c>
      <c r="D5946" t="inlineStr">
        <is>
          <t>KRONOBERGS LÄN</t>
        </is>
      </c>
      <c r="E5946" t="inlineStr">
        <is>
          <t>LJUNGBY</t>
        </is>
      </c>
      <c r="G5946" t="n">
        <v>2.6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62566-2022</t>
        </is>
      </c>
      <c r="B5947" s="1" t="n">
        <v>44924.79619212963</v>
      </c>
      <c r="C5947" s="1" t="n">
        <v>45957</v>
      </c>
      <c r="D5947" t="inlineStr">
        <is>
          <t>KRONOBERGS LÄN</t>
        </is>
      </c>
      <c r="E5947" t="inlineStr">
        <is>
          <t>UPPVIDINGE</t>
        </is>
      </c>
      <c r="G5947" t="n">
        <v>0.5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14500-2023</t>
        </is>
      </c>
      <c r="B5948" s="1" t="n">
        <v>45012</v>
      </c>
      <c r="C5948" s="1" t="n">
        <v>45957</v>
      </c>
      <c r="D5948" t="inlineStr">
        <is>
          <t>KRONOBERGS LÄN</t>
        </is>
      </c>
      <c r="E5948" t="inlineStr">
        <is>
          <t>UPPVIDINGE</t>
        </is>
      </c>
      <c r="G5948" t="n">
        <v>5.6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12618-2022</t>
        </is>
      </c>
      <c r="B5949" s="1" t="n">
        <v>44641</v>
      </c>
      <c r="C5949" s="1" t="n">
        <v>45957</v>
      </c>
      <c r="D5949" t="inlineStr">
        <is>
          <t>KRONOBERGS LÄN</t>
        </is>
      </c>
      <c r="E5949" t="inlineStr">
        <is>
          <t>VÄXJÖ</t>
        </is>
      </c>
      <c r="G5949" t="n">
        <v>0.5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22615-2023</t>
        </is>
      </c>
      <c r="B5950" s="1" t="n">
        <v>45071.55216435185</v>
      </c>
      <c r="C5950" s="1" t="n">
        <v>45957</v>
      </c>
      <c r="D5950" t="inlineStr">
        <is>
          <t>KRONOBERGS LÄN</t>
        </is>
      </c>
      <c r="E5950" t="inlineStr">
        <is>
          <t>LJUNGBY</t>
        </is>
      </c>
      <c r="G5950" t="n">
        <v>2.3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20180-2023</t>
        </is>
      </c>
      <c r="B5951" s="1" t="n">
        <v>45055.56175925926</v>
      </c>
      <c r="C5951" s="1" t="n">
        <v>45957</v>
      </c>
      <c r="D5951" t="inlineStr">
        <is>
          <t>KRONOBERGS LÄN</t>
        </is>
      </c>
      <c r="E5951" t="inlineStr">
        <is>
          <t>ALVESTA</t>
        </is>
      </c>
      <c r="G5951" t="n">
        <v>0.6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5274-2025</t>
        </is>
      </c>
      <c r="B5952" s="1" t="n">
        <v>45692.42515046296</v>
      </c>
      <c r="C5952" s="1" t="n">
        <v>45957</v>
      </c>
      <c r="D5952" t="inlineStr">
        <is>
          <t>KRONOBERGS LÄN</t>
        </is>
      </c>
      <c r="E5952" t="inlineStr">
        <is>
          <t>UPPVIDINGE</t>
        </is>
      </c>
      <c r="G5952" t="n">
        <v>0.8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43206-2024</t>
        </is>
      </c>
      <c r="B5953" s="1" t="n">
        <v>45567.70056712963</v>
      </c>
      <c r="C5953" s="1" t="n">
        <v>45957</v>
      </c>
      <c r="D5953" t="inlineStr">
        <is>
          <t>KRONOBERGS LÄN</t>
        </is>
      </c>
      <c r="E5953" t="inlineStr">
        <is>
          <t>LESSEBO</t>
        </is>
      </c>
      <c r="G5953" t="n">
        <v>4.3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8777-2024</t>
        </is>
      </c>
      <c r="B5954" s="1" t="n">
        <v>45356.56041666667</v>
      </c>
      <c r="C5954" s="1" t="n">
        <v>45957</v>
      </c>
      <c r="D5954" t="inlineStr">
        <is>
          <t>KRONOBERGS LÄN</t>
        </is>
      </c>
      <c r="E5954" t="inlineStr">
        <is>
          <t>TINGSRYD</t>
        </is>
      </c>
      <c r="F5954" t="inlineStr">
        <is>
          <t>Övriga Aktiebolag</t>
        </is>
      </c>
      <c r="G5954" t="n">
        <v>7.3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22619-2023</t>
        </is>
      </c>
      <c r="B5955" s="1" t="n">
        <v>45071.55913194444</v>
      </c>
      <c r="C5955" s="1" t="n">
        <v>45957</v>
      </c>
      <c r="D5955" t="inlineStr">
        <is>
          <t>KRONOBERGS LÄN</t>
        </is>
      </c>
      <c r="E5955" t="inlineStr">
        <is>
          <t>LJUNGBY</t>
        </is>
      </c>
      <c r="G5955" t="n">
        <v>3.8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22637-2023</t>
        </is>
      </c>
      <c r="B5956" s="1" t="n">
        <v>45071</v>
      </c>
      <c r="C5956" s="1" t="n">
        <v>45957</v>
      </c>
      <c r="D5956" t="inlineStr">
        <is>
          <t>KRONOBERGS LÄN</t>
        </is>
      </c>
      <c r="E5956" t="inlineStr">
        <is>
          <t>TINGSRYD</t>
        </is>
      </c>
      <c r="G5956" t="n">
        <v>0.7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22648-2023</t>
        </is>
      </c>
      <c r="B5957" s="1" t="n">
        <v>45071</v>
      </c>
      <c r="C5957" s="1" t="n">
        <v>45957</v>
      </c>
      <c r="D5957" t="inlineStr">
        <is>
          <t>KRONOBERGS LÄN</t>
        </is>
      </c>
      <c r="E5957" t="inlineStr">
        <is>
          <t>TINGSRYD</t>
        </is>
      </c>
      <c r="G5957" t="n">
        <v>0.7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22656-2023</t>
        </is>
      </c>
      <c r="B5958" s="1" t="n">
        <v>45071.61512731481</v>
      </c>
      <c r="C5958" s="1" t="n">
        <v>45957</v>
      </c>
      <c r="D5958" t="inlineStr">
        <is>
          <t>KRONOBERGS LÄN</t>
        </is>
      </c>
      <c r="E5958" t="inlineStr">
        <is>
          <t>TINGSRYD</t>
        </is>
      </c>
      <c r="G5958" t="n">
        <v>0.5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1365-2024</t>
        </is>
      </c>
      <c r="B5959" s="1" t="n">
        <v>45303.5246412037</v>
      </c>
      <c r="C5959" s="1" t="n">
        <v>45957</v>
      </c>
      <c r="D5959" t="inlineStr">
        <is>
          <t>KRONOBERGS LÄN</t>
        </is>
      </c>
      <c r="E5959" t="inlineStr">
        <is>
          <t>ÄLMHULT</t>
        </is>
      </c>
      <c r="G5959" t="n">
        <v>1.3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62081-2023</t>
        </is>
      </c>
      <c r="B5960" s="1" t="n">
        <v>45266</v>
      </c>
      <c r="C5960" s="1" t="n">
        <v>45957</v>
      </c>
      <c r="D5960" t="inlineStr">
        <is>
          <t>KRONOBERGS LÄN</t>
        </is>
      </c>
      <c r="E5960" t="inlineStr">
        <is>
          <t>MARKARYD</t>
        </is>
      </c>
      <c r="G5960" t="n">
        <v>9.699999999999999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29097-2023</t>
        </is>
      </c>
      <c r="B5961" s="1" t="n">
        <v>45105.3630787037</v>
      </c>
      <c r="C5961" s="1" t="n">
        <v>45957</v>
      </c>
      <c r="D5961" t="inlineStr">
        <is>
          <t>KRONOBERGS LÄN</t>
        </is>
      </c>
      <c r="E5961" t="inlineStr">
        <is>
          <t>ALVESTA</t>
        </is>
      </c>
      <c r="G5961" t="n">
        <v>1.5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29984-2023</t>
        </is>
      </c>
      <c r="B5962" s="1" t="n">
        <v>45108</v>
      </c>
      <c r="C5962" s="1" t="n">
        <v>45957</v>
      </c>
      <c r="D5962" t="inlineStr">
        <is>
          <t>KRONOBERGS LÄN</t>
        </is>
      </c>
      <c r="E5962" t="inlineStr">
        <is>
          <t>VÄXJÖ</t>
        </is>
      </c>
      <c r="G5962" t="n">
        <v>2.5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42021-2024</t>
        </is>
      </c>
      <c r="B5963" s="1" t="n">
        <v>45561.7159837963</v>
      </c>
      <c r="C5963" s="1" t="n">
        <v>45957</v>
      </c>
      <c r="D5963" t="inlineStr">
        <is>
          <t>KRONOBERGS LÄN</t>
        </is>
      </c>
      <c r="E5963" t="inlineStr">
        <is>
          <t>LJUNGBY</t>
        </is>
      </c>
      <c r="G5963" t="n">
        <v>2.3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45081-2021</t>
        </is>
      </c>
      <c r="B5964" s="1" t="n">
        <v>44438</v>
      </c>
      <c r="C5964" s="1" t="n">
        <v>45957</v>
      </c>
      <c r="D5964" t="inlineStr">
        <is>
          <t>KRONOBERGS LÄN</t>
        </is>
      </c>
      <c r="E5964" t="inlineStr">
        <is>
          <t>UPPVIDINGE</t>
        </is>
      </c>
      <c r="G5964" t="n">
        <v>2.8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45760-2021</t>
        </is>
      </c>
      <c r="B5965" s="1" t="n">
        <v>44441</v>
      </c>
      <c r="C5965" s="1" t="n">
        <v>45957</v>
      </c>
      <c r="D5965" t="inlineStr">
        <is>
          <t>KRONOBERGS LÄN</t>
        </is>
      </c>
      <c r="E5965" t="inlineStr">
        <is>
          <t>LJUNGBY</t>
        </is>
      </c>
      <c r="G5965" t="n">
        <v>5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15203-2023</t>
        </is>
      </c>
      <c r="B5966" s="1" t="n">
        <v>45017</v>
      </c>
      <c r="C5966" s="1" t="n">
        <v>45957</v>
      </c>
      <c r="D5966" t="inlineStr">
        <is>
          <t>KRONOBERGS LÄN</t>
        </is>
      </c>
      <c r="E5966" t="inlineStr">
        <is>
          <t>LESSEBO</t>
        </is>
      </c>
      <c r="F5966" t="inlineStr">
        <is>
          <t>Sveaskog</t>
        </is>
      </c>
      <c r="G5966" t="n">
        <v>0.2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15204-2023</t>
        </is>
      </c>
      <c r="B5967" s="1" t="n">
        <v>45017</v>
      </c>
      <c r="C5967" s="1" t="n">
        <v>45957</v>
      </c>
      <c r="D5967" t="inlineStr">
        <is>
          <t>KRONOBERGS LÄN</t>
        </is>
      </c>
      <c r="E5967" t="inlineStr">
        <is>
          <t>LESSEBO</t>
        </is>
      </c>
      <c r="F5967" t="inlineStr">
        <is>
          <t>Sveaskog</t>
        </is>
      </c>
      <c r="G5967" t="n">
        <v>0.3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16898-2025</t>
        </is>
      </c>
      <c r="B5968" s="1" t="n">
        <v>45755</v>
      </c>
      <c r="C5968" s="1" t="n">
        <v>45957</v>
      </c>
      <c r="D5968" t="inlineStr">
        <is>
          <t>KRONOBERGS LÄN</t>
        </is>
      </c>
      <c r="E5968" t="inlineStr">
        <is>
          <t>TINGSRYD</t>
        </is>
      </c>
      <c r="G5968" t="n">
        <v>0.6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16983-2025</t>
        </is>
      </c>
      <c r="B5969" s="1" t="n">
        <v>45755.48740740741</v>
      </c>
      <c r="C5969" s="1" t="n">
        <v>45957</v>
      </c>
      <c r="D5969" t="inlineStr">
        <is>
          <t>KRONOBERGS LÄN</t>
        </is>
      </c>
      <c r="E5969" t="inlineStr">
        <is>
          <t>LJUNGBY</t>
        </is>
      </c>
      <c r="G5969" t="n">
        <v>0.6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16985-2025</t>
        </is>
      </c>
      <c r="B5970" s="1" t="n">
        <v>45755.48774305556</v>
      </c>
      <c r="C5970" s="1" t="n">
        <v>45957</v>
      </c>
      <c r="D5970" t="inlineStr">
        <is>
          <t>KRONOBERGS LÄN</t>
        </is>
      </c>
      <c r="E5970" t="inlineStr">
        <is>
          <t>TINGSRYD</t>
        </is>
      </c>
      <c r="G5970" t="n">
        <v>2.4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48024-2023</t>
        </is>
      </c>
      <c r="B5971" s="1" t="n">
        <v>45204</v>
      </c>
      <c r="C5971" s="1" t="n">
        <v>45957</v>
      </c>
      <c r="D5971" t="inlineStr">
        <is>
          <t>KRONOBERGS LÄN</t>
        </is>
      </c>
      <c r="E5971" t="inlineStr">
        <is>
          <t>UPPVIDINGE</t>
        </is>
      </c>
      <c r="G5971" t="n">
        <v>3.7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12650-2025</t>
        </is>
      </c>
      <c r="B5972" s="1" t="n">
        <v>45733.40694444445</v>
      </c>
      <c r="C5972" s="1" t="n">
        <v>45957</v>
      </c>
      <c r="D5972" t="inlineStr">
        <is>
          <t>KRONOBERGS LÄN</t>
        </is>
      </c>
      <c r="E5972" t="inlineStr">
        <is>
          <t>ÄLMHULT</t>
        </is>
      </c>
      <c r="G5972" t="n">
        <v>1.5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11600-2025</t>
        </is>
      </c>
      <c r="B5973" s="1" t="n">
        <v>45727.42905092592</v>
      </c>
      <c r="C5973" s="1" t="n">
        <v>45957</v>
      </c>
      <c r="D5973" t="inlineStr">
        <is>
          <t>KRONOBERGS LÄN</t>
        </is>
      </c>
      <c r="E5973" t="inlineStr">
        <is>
          <t>TINGSRYD</t>
        </is>
      </c>
      <c r="G5973" t="n">
        <v>0.5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58641-2024</t>
        </is>
      </c>
      <c r="B5974" s="1" t="n">
        <v>45635.58824074074</v>
      </c>
      <c r="C5974" s="1" t="n">
        <v>45957</v>
      </c>
      <c r="D5974" t="inlineStr">
        <is>
          <t>KRONOBERGS LÄN</t>
        </is>
      </c>
      <c r="E5974" t="inlineStr">
        <is>
          <t>ALVESTA</t>
        </is>
      </c>
      <c r="G5974" t="n">
        <v>1.5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34220-2024</t>
        </is>
      </c>
      <c r="B5975" s="1" t="n">
        <v>45524</v>
      </c>
      <c r="C5975" s="1" t="n">
        <v>45957</v>
      </c>
      <c r="D5975" t="inlineStr">
        <is>
          <t>KRONOBERGS LÄN</t>
        </is>
      </c>
      <c r="E5975" t="inlineStr">
        <is>
          <t>ALVESTA</t>
        </is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3111-2025</t>
        </is>
      </c>
      <c r="B5976" s="1" t="n">
        <v>45678</v>
      </c>
      <c r="C5976" s="1" t="n">
        <v>45957</v>
      </c>
      <c r="D5976" t="inlineStr">
        <is>
          <t>KRONOBERGS LÄN</t>
        </is>
      </c>
      <c r="E5976" t="inlineStr">
        <is>
          <t>VÄXJÖ</t>
        </is>
      </c>
      <c r="G5976" t="n">
        <v>2.8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22765-2021</t>
        </is>
      </c>
      <c r="B5977" s="1" t="n">
        <v>44327</v>
      </c>
      <c r="C5977" s="1" t="n">
        <v>45957</v>
      </c>
      <c r="D5977" t="inlineStr">
        <is>
          <t>KRONOBERGS LÄN</t>
        </is>
      </c>
      <c r="E5977" t="inlineStr">
        <is>
          <t>UPPVIDINGE</t>
        </is>
      </c>
      <c r="G5977" t="n">
        <v>0.9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18197-2025</t>
        </is>
      </c>
      <c r="B5978" s="1" t="n">
        <v>45761.67996527778</v>
      </c>
      <c r="C5978" s="1" t="n">
        <v>45957</v>
      </c>
      <c r="D5978" t="inlineStr">
        <is>
          <t>KRONOBERGS LÄN</t>
        </is>
      </c>
      <c r="E5978" t="inlineStr">
        <is>
          <t>LESSEBO</t>
        </is>
      </c>
      <c r="F5978" t="inlineStr">
        <is>
          <t>Sveaskog</t>
        </is>
      </c>
      <c r="G5978" t="n">
        <v>14.7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40210-2023</t>
        </is>
      </c>
      <c r="B5979" s="1" t="n">
        <v>45169</v>
      </c>
      <c r="C5979" s="1" t="n">
        <v>45957</v>
      </c>
      <c r="D5979" t="inlineStr">
        <is>
          <t>KRONOBERGS LÄN</t>
        </is>
      </c>
      <c r="E5979" t="inlineStr">
        <is>
          <t>VÄXJÖ</t>
        </is>
      </c>
      <c r="G5979" t="n">
        <v>0.7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11524-2023</t>
        </is>
      </c>
      <c r="B5980" s="1" t="n">
        <v>44993</v>
      </c>
      <c r="C5980" s="1" t="n">
        <v>45957</v>
      </c>
      <c r="D5980" t="inlineStr">
        <is>
          <t>KRONOBERGS LÄN</t>
        </is>
      </c>
      <c r="E5980" t="inlineStr">
        <is>
          <t>LJUNGBY</t>
        </is>
      </c>
      <c r="G5980" t="n">
        <v>1.7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53260-2023</t>
        </is>
      </c>
      <c r="B5981" s="1" t="n">
        <v>45229.53780092593</v>
      </c>
      <c r="C5981" s="1" t="n">
        <v>45957</v>
      </c>
      <c r="D5981" t="inlineStr">
        <is>
          <t>KRONOBERGS LÄN</t>
        </is>
      </c>
      <c r="E5981" t="inlineStr">
        <is>
          <t>UPPVIDINGE</t>
        </is>
      </c>
      <c r="G5981" t="n">
        <v>2.2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26204-2023</t>
        </is>
      </c>
      <c r="B5982" s="1" t="n">
        <v>45091</v>
      </c>
      <c r="C5982" s="1" t="n">
        <v>45957</v>
      </c>
      <c r="D5982" t="inlineStr">
        <is>
          <t>KRONOBERGS LÄN</t>
        </is>
      </c>
      <c r="E5982" t="inlineStr">
        <is>
          <t>UPPVIDINGE</t>
        </is>
      </c>
      <c r="F5982" t="inlineStr">
        <is>
          <t>Sveaskog</t>
        </is>
      </c>
      <c r="G5982" t="n">
        <v>6.8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27540-2023</t>
        </is>
      </c>
      <c r="B5983" s="1" t="n">
        <v>45097</v>
      </c>
      <c r="C5983" s="1" t="n">
        <v>45957</v>
      </c>
      <c r="D5983" t="inlineStr">
        <is>
          <t>KRONOBERGS LÄN</t>
        </is>
      </c>
      <c r="E5983" t="inlineStr">
        <is>
          <t>LJUNGBY</t>
        </is>
      </c>
      <c r="G5983" t="n">
        <v>2.5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16781-2023</t>
        </is>
      </c>
      <c r="B5984" s="1" t="n">
        <v>45032.88966435185</v>
      </c>
      <c r="C5984" s="1" t="n">
        <v>45957</v>
      </c>
      <c r="D5984" t="inlineStr">
        <is>
          <t>KRONOBERGS LÄN</t>
        </is>
      </c>
      <c r="E5984" t="inlineStr">
        <is>
          <t>ALVESTA</t>
        </is>
      </c>
      <c r="G5984" t="n">
        <v>1.7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24858-2023</t>
        </is>
      </c>
      <c r="B5985" s="1" t="n">
        <v>45085</v>
      </c>
      <c r="C5985" s="1" t="n">
        <v>45957</v>
      </c>
      <c r="D5985" t="inlineStr">
        <is>
          <t>KRONOBERGS LÄN</t>
        </is>
      </c>
      <c r="E5985" t="inlineStr">
        <is>
          <t>UPPVIDINGE</t>
        </is>
      </c>
      <c r="G5985" t="n">
        <v>0.5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45636-2024</t>
        </is>
      </c>
      <c r="B5986" s="1" t="n">
        <v>45579.4727662037</v>
      </c>
      <c r="C5986" s="1" t="n">
        <v>45957</v>
      </c>
      <c r="D5986" t="inlineStr">
        <is>
          <t>KRONOBERGS LÄN</t>
        </is>
      </c>
      <c r="E5986" t="inlineStr">
        <is>
          <t>TINGSRYD</t>
        </is>
      </c>
      <c r="G5986" t="n">
        <v>1.7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52106-2024</t>
        </is>
      </c>
      <c r="B5987" s="1" t="n">
        <v>45608.43087962963</v>
      </c>
      <c r="C5987" s="1" t="n">
        <v>45957</v>
      </c>
      <c r="D5987" t="inlineStr">
        <is>
          <t>KRONOBERGS LÄN</t>
        </is>
      </c>
      <c r="E5987" t="inlineStr">
        <is>
          <t>VÄXJÖ</t>
        </is>
      </c>
      <c r="G5987" t="n">
        <v>0.6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48228-2023</t>
        </is>
      </c>
      <c r="B5988" s="1" t="n">
        <v>45205</v>
      </c>
      <c r="C5988" s="1" t="n">
        <v>45957</v>
      </c>
      <c r="D5988" t="inlineStr">
        <is>
          <t>KRONOBERGS LÄN</t>
        </is>
      </c>
      <c r="E5988" t="inlineStr">
        <is>
          <t>VÄXJÖ</t>
        </is>
      </c>
      <c r="G5988" t="n">
        <v>1.1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22241-2023</t>
        </is>
      </c>
      <c r="B5989" s="1" t="n">
        <v>45070.29650462963</v>
      </c>
      <c r="C5989" s="1" t="n">
        <v>45957</v>
      </c>
      <c r="D5989" t="inlineStr">
        <is>
          <t>KRONOBERGS LÄN</t>
        </is>
      </c>
      <c r="E5989" t="inlineStr">
        <is>
          <t>VÄXJÖ</t>
        </is>
      </c>
      <c r="G5989" t="n">
        <v>1.4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3513-2025</t>
        </is>
      </c>
      <c r="B5990" s="1" t="n">
        <v>45680.59315972222</v>
      </c>
      <c r="C5990" s="1" t="n">
        <v>45957</v>
      </c>
      <c r="D5990" t="inlineStr">
        <is>
          <t>KRONOBERGS LÄN</t>
        </is>
      </c>
      <c r="E5990" t="inlineStr">
        <is>
          <t>ÄLMHULT</t>
        </is>
      </c>
      <c r="F5990" t="inlineStr">
        <is>
          <t>Sveaskog</t>
        </is>
      </c>
      <c r="G5990" t="n">
        <v>0.6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3514-2025</t>
        </is>
      </c>
      <c r="B5991" s="1" t="n">
        <v>45680.59511574074</v>
      </c>
      <c r="C5991" s="1" t="n">
        <v>45957</v>
      </c>
      <c r="D5991" t="inlineStr">
        <is>
          <t>KRONOBERGS LÄN</t>
        </is>
      </c>
      <c r="E5991" t="inlineStr">
        <is>
          <t>ÄLMHULT</t>
        </is>
      </c>
      <c r="F5991" t="inlineStr">
        <is>
          <t>Sveaskog</t>
        </is>
      </c>
      <c r="G5991" t="n">
        <v>2.3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64296-2023</t>
        </is>
      </c>
      <c r="B5992" s="1" t="n">
        <v>45280</v>
      </c>
      <c r="C5992" s="1" t="n">
        <v>45957</v>
      </c>
      <c r="D5992" t="inlineStr">
        <is>
          <t>KRONOBERGS LÄN</t>
        </is>
      </c>
      <c r="E5992" t="inlineStr">
        <is>
          <t>ÄLMHULT</t>
        </is>
      </c>
      <c r="G5992" t="n">
        <v>1.4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8572-2025</t>
        </is>
      </c>
      <c r="B5993" s="1" t="n">
        <v>45709.64976851852</v>
      </c>
      <c r="C5993" s="1" t="n">
        <v>45957</v>
      </c>
      <c r="D5993" t="inlineStr">
        <is>
          <t>KRONOBERGS LÄN</t>
        </is>
      </c>
      <c r="E5993" t="inlineStr">
        <is>
          <t>LJUNGBY</t>
        </is>
      </c>
      <c r="G5993" t="n">
        <v>6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57932-2022</t>
        </is>
      </c>
      <c r="B5994" s="1" t="n">
        <v>44900.38261574074</v>
      </c>
      <c r="C5994" s="1" t="n">
        <v>45957</v>
      </c>
      <c r="D5994" t="inlineStr">
        <is>
          <t>KRONOBERGS LÄN</t>
        </is>
      </c>
      <c r="E5994" t="inlineStr">
        <is>
          <t>VÄXJÖ</t>
        </is>
      </c>
      <c r="G5994" t="n">
        <v>0.8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58020-2022</t>
        </is>
      </c>
      <c r="B5995" s="1" t="n">
        <v>44900.54149305556</v>
      </c>
      <c r="C5995" s="1" t="n">
        <v>45957</v>
      </c>
      <c r="D5995" t="inlineStr">
        <is>
          <t>KRONOBERGS LÄN</t>
        </is>
      </c>
      <c r="E5995" t="inlineStr">
        <is>
          <t>VÄXJÖ</t>
        </is>
      </c>
      <c r="G5995" t="n">
        <v>0.5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51867-2023</t>
        </is>
      </c>
      <c r="B5996" s="1" t="n">
        <v>45223</v>
      </c>
      <c r="C5996" s="1" t="n">
        <v>45957</v>
      </c>
      <c r="D5996" t="inlineStr">
        <is>
          <t>KRONOBERGS LÄN</t>
        </is>
      </c>
      <c r="E5996" t="inlineStr">
        <is>
          <t>LJUNGBY</t>
        </is>
      </c>
      <c r="G5996" t="n">
        <v>0.3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49274-2023</t>
        </is>
      </c>
      <c r="B5997" s="1" t="n">
        <v>45210.69048611111</v>
      </c>
      <c r="C5997" s="1" t="n">
        <v>45957</v>
      </c>
      <c r="D5997" t="inlineStr">
        <is>
          <t>KRONOBERGS LÄN</t>
        </is>
      </c>
      <c r="E5997" t="inlineStr">
        <is>
          <t>MARKARYD</t>
        </is>
      </c>
      <c r="G5997" t="n">
        <v>1.9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13751-2025</t>
        </is>
      </c>
      <c r="B5998" s="1" t="n">
        <v>45737.41412037037</v>
      </c>
      <c r="C5998" s="1" t="n">
        <v>45957</v>
      </c>
      <c r="D5998" t="inlineStr">
        <is>
          <t>KRONOBERGS LÄN</t>
        </is>
      </c>
      <c r="E5998" t="inlineStr">
        <is>
          <t>LESSEBO</t>
        </is>
      </c>
      <c r="G5998" t="n">
        <v>0.7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60744-2023</t>
        </is>
      </c>
      <c r="B5999" s="1" t="n">
        <v>45260.57837962963</v>
      </c>
      <c r="C5999" s="1" t="n">
        <v>45957</v>
      </c>
      <c r="D5999" t="inlineStr">
        <is>
          <t>KRONOBERGS LÄN</t>
        </is>
      </c>
      <c r="E5999" t="inlineStr">
        <is>
          <t>TINGSRYD</t>
        </is>
      </c>
      <c r="G5999" t="n">
        <v>1.5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12510-2025</t>
        </is>
      </c>
      <c r="B6000" s="1" t="n">
        <v>45730.63616898148</v>
      </c>
      <c r="C6000" s="1" t="n">
        <v>45957</v>
      </c>
      <c r="D6000" t="inlineStr">
        <is>
          <t>KRONOBERGS LÄN</t>
        </is>
      </c>
      <c r="E6000" t="inlineStr">
        <is>
          <t>LJUNGBY</t>
        </is>
      </c>
      <c r="G6000" t="n">
        <v>0.6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9683-2025</t>
        </is>
      </c>
      <c r="B6001" s="1" t="n">
        <v>45716.34958333334</v>
      </c>
      <c r="C6001" s="1" t="n">
        <v>45957</v>
      </c>
      <c r="D6001" t="inlineStr">
        <is>
          <t>KRONOBERGS LÄN</t>
        </is>
      </c>
      <c r="E6001" t="inlineStr">
        <is>
          <t>UPPVIDINGE</t>
        </is>
      </c>
      <c r="F6001" t="inlineStr">
        <is>
          <t>Sveaskog</t>
        </is>
      </c>
      <c r="G6001" t="n">
        <v>2.9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43656-2023</t>
        </is>
      </c>
      <c r="B6002" s="1" t="n">
        <v>45187</v>
      </c>
      <c r="C6002" s="1" t="n">
        <v>45957</v>
      </c>
      <c r="D6002" t="inlineStr">
        <is>
          <t>KRONOBERGS LÄN</t>
        </is>
      </c>
      <c r="E6002" t="inlineStr">
        <is>
          <t>ALVESTA</t>
        </is>
      </c>
      <c r="G6002" t="n">
        <v>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10047-2024</t>
        </is>
      </c>
      <c r="B6003" s="1" t="n">
        <v>45364</v>
      </c>
      <c r="C6003" s="1" t="n">
        <v>45957</v>
      </c>
      <c r="D6003" t="inlineStr">
        <is>
          <t>KRONOBERGS LÄN</t>
        </is>
      </c>
      <c r="E6003" t="inlineStr">
        <is>
          <t>LESSEBO</t>
        </is>
      </c>
      <c r="F6003" t="inlineStr">
        <is>
          <t>Övriga Aktiebolag</t>
        </is>
      </c>
      <c r="G6003" t="n">
        <v>1.5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9035-2025</t>
        </is>
      </c>
      <c r="B6004" s="1" t="n">
        <v>45713</v>
      </c>
      <c r="C6004" s="1" t="n">
        <v>45957</v>
      </c>
      <c r="D6004" t="inlineStr">
        <is>
          <t>KRONOBERGS LÄN</t>
        </is>
      </c>
      <c r="E6004" t="inlineStr">
        <is>
          <t>LJUNGBY</t>
        </is>
      </c>
      <c r="F6004" t="inlineStr">
        <is>
          <t>Sveaskog</t>
        </is>
      </c>
      <c r="G6004" t="n">
        <v>0.7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9036-2025</t>
        </is>
      </c>
      <c r="B6005" s="1" t="n">
        <v>45713.62074074074</v>
      </c>
      <c r="C6005" s="1" t="n">
        <v>45957</v>
      </c>
      <c r="D6005" t="inlineStr">
        <is>
          <t>KRONOBERGS LÄN</t>
        </is>
      </c>
      <c r="E6005" t="inlineStr">
        <is>
          <t>LJUNGBY</t>
        </is>
      </c>
      <c r="F6005" t="inlineStr">
        <is>
          <t>Sveaskog</t>
        </is>
      </c>
      <c r="G6005" t="n">
        <v>3.1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35732-2024</t>
        </is>
      </c>
      <c r="B6006" s="1" t="n">
        <v>45532</v>
      </c>
      <c r="C6006" s="1" t="n">
        <v>45957</v>
      </c>
      <c r="D6006" t="inlineStr">
        <is>
          <t>KRONOBERGS LÄN</t>
        </is>
      </c>
      <c r="E6006" t="inlineStr">
        <is>
          <t>ALVESTA</t>
        </is>
      </c>
      <c r="G6006" t="n">
        <v>0.5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60248-2022</t>
        </is>
      </c>
      <c r="B6007" s="1" t="n">
        <v>44903</v>
      </c>
      <c r="C6007" s="1" t="n">
        <v>45957</v>
      </c>
      <c r="D6007" t="inlineStr">
        <is>
          <t>KRONOBERGS LÄN</t>
        </is>
      </c>
      <c r="E6007" t="inlineStr">
        <is>
          <t>LJUNGBY</t>
        </is>
      </c>
      <c r="G6007" t="n">
        <v>2.9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58214-2023</t>
        </is>
      </c>
      <c r="B6008" s="1" t="n">
        <v>45250.44863425926</v>
      </c>
      <c r="C6008" s="1" t="n">
        <v>45957</v>
      </c>
      <c r="D6008" t="inlineStr">
        <is>
          <t>KRONOBERGS LÄN</t>
        </is>
      </c>
      <c r="E6008" t="inlineStr">
        <is>
          <t>LJUNGBY</t>
        </is>
      </c>
      <c r="G6008" t="n">
        <v>2.1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49575-2023</t>
        </is>
      </c>
      <c r="B6009" s="1" t="n">
        <v>45211.65987268519</v>
      </c>
      <c r="C6009" s="1" t="n">
        <v>45957</v>
      </c>
      <c r="D6009" t="inlineStr">
        <is>
          <t>KRONOBERGS LÄN</t>
        </is>
      </c>
      <c r="E6009" t="inlineStr">
        <is>
          <t>ÄLMHULT</t>
        </is>
      </c>
      <c r="G6009" t="n">
        <v>1.1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1001-2023</t>
        </is>
      </c>
      <c r="B6010" s="1" t="n">
        <v>44935</v>
      </c>
      <c r="C6010" s="1" t="n">
        <v>45957</v>
      </c>
      <c r="D6010" t="inlineStr">
        <is>
          <t>KRONOBERGS LÄN</t>
        </is>
      </c>
      <c r="E6010" t="inlineStr">
        <is>
          <t>TINGSRYD</t>
        </is>
      </c>
      <c r="G6010" t="n">
        <v>1.4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58858-2022</t>
        </is>
      </c>
      <c r="B6011" s="1" t="n">
        <v>44903.53118055555</v>
      </c>
      <c r="C6011" s="1" t="n">
        <v>45957</v>
      </c>
      <c r="D6011" t="inlineStr">
        <is>
          <t>KRONOBERGS LÄN</t>
        </is>
      </c>
      <c r="E6011" t="inlineStr">
        <is>
          <t>LJUNGBY</t>
        </is>
      </c>
      <c r="G6011" t="n">
        <v>0.5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17065-2023</t>
        </is>
      </c>
      <c r="B6012" s="1" t="n">
        <v>45034</v>
      </c>
      <c r="C6012" s="1" t="n">
        <v>45957</v>
      </c>
      <c r="D6012" t="inlineStr">
        <is>
          <t>KRONOBERGS LÄN</t>
        </is>
      </c>
      <c r="E6012" t="inlineStr">
        <is>
          <t>TINGSRYD</t>
        </is>
      </c>
      <c r="G6012" t="n">
        <v>2.4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48156-2024</t>
        </is>
      </c>
      <c r="B6013" s="1" t="n">
        <v>45589.68910879629</v>
      </c>
      <c r="C6013" s="1" t="n">
        <v>45957</v>
      </c>
      <c r="D6013" t="inlineStr">
        <is>
          <t>KRONOBERGS LÄN</t>
        </is>
      </c>
      <c r="E6013" t="inlineStr">
        <is>
          <t>ÄLMHULT</t>
        </is>
      </c>
      <c r="G6013" t="n">
        <v>4.4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69748-2021</t>
        </is>
      </c>
      <c r="B6014" s="1" t="n">
        <v>44532</v>
      </c>
      <c r="C6014" s="1" t="n">
        <v>45957</v>
      </c>
      <c r="D6014" t="inlineStr">
        <is>
          <t>KRONOBERGS LÄN</t>
        </is>
      </c>
      <c r="E6014" t="inlineStr">
        <is>
          <t>VÄXJÖ</t>
        </is>
      </c>
      <c r="G6014" t="n">
        <v>2.9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29590-2023</t>
        </is>
      </c>
      <c r="B6015" s="1" t="n">
        <v>45106.89616898148</v>
      </c>
      <c r="C6015" s="1" t="n">
        <v>45957</v>
      </c>
      <c r="D6015" t="inlineStr">
        <is>
          <t>KRONOBERGS LÄN</t>
        </is>
      </c>
      <c r="E6015" t="inlineStr">
        <is>
          <t>LJUNGBY</t>
        </is>
      </c>
      <c r="G6015" t="n">
        <v>2.8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49600-2024</t>
        </is>
      </c>
      <c r="B6016" s="1" t="n">
        <v>45596</v>
      </c>
      <c r="C6016" s="1" t="n">
        <v>45957</v>
      </c>
      <c r="D6016" t="inlineStr">
        <is>
          <t>KRONOBERGS LÄN</t>
        </is>
      </c>
      <c r="E6016" t="inlineStr">
        <is>
          <t>ALVESTA</t>
        </is>
      </c>
      <c r="G6016" t="n">
        <v>1.4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58781-2021</t>
        </is>
      </c>
      <c r="B6017" s="1" t="n">
        <v>44489</v>
      </c>
      <c r="C6017" s="1" t="n">
        <v>45957</v>
      </c>
      <c r="D6017" t="inlineStr">
        <is>
          <t>KRONOBERGS LÄN</t>
        </is>
      </c>
      <c r="E6017" t="inlineStr">
        <is>
          <t>TINGSRYD</t>
        </is>
      </c>
      <c r="G6017" t="n">
        <v>3.4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4230-2025</t>
        </is>
      </c>
      <c r="B6018" s="1" t="n">
        <v>45685.55012731482</v>
      </c>
      <c r="C6018" s="1" t="n">
        <v>45957</v>
      </c>
      <c r="D6018" t="inlineStr">
        <is>
          <t>KRONOBERGS LÄN</t>
        </is>
      </c>
      <c r="E6018" t="inlineStr">
        <is>
          <t>UPPVIDINGE</t>
        </is>
      </c>
      <c r="G6018" t="n">
        <v>1.5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46499-2025</t>
        </is>
      </c>
      <c r="B6019" s="1" t="n">
        <v>45925.85697916667</v>
      </c>
      <c r="C6019" s="1" t="n">
        <v>45957</v>
      </c>
      <c r="D6019" t="inlineStr">
        <is>
          <t>KRONOBERGS LÄN</t>
        </is>
      </c>
      <c r="E6019" t="inlineStr">
        <is>
          <t>LJUNGBY</t>
        </is>
      </c>
      <c r="G6019" t="n">
        <v>3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31855-2023</t>
        </is>
      </c>
      <c r="B6020" s="1" t="n">
        <v>45106</v>
      </c>
      <c r="C6020" s="1" t="n">
        <v>45957</v>
      </c>
      <c r="D6020" t="inlineStr">
        <is>
          <t>KRONOBERGS LÄN</t>
        </is>
      </c>
      <c r="E6020" t="inlineStr">
        <is>
          <t>ALVESTA</t>
        </is>
      </c>
      <c r="G6020" t="n">
        <v>1.9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46555-2025</t>
        </is>
      </c>
      <c r="B6021" s="1" t="n">
        <v>45926.31744212963</v>
      </c>
      <c r="C6021" s="1" t="n">
        <v>45957</v>
      </c>
      <c r="D6021" t="inlineStr">
        <is>
          <t>KRONOBERGS LÄN</t>
        </is>
      </c>
      <c r="E6021" t="inlineStr">
        <is>
          <t>ALVESTA</t>
        </is>
      </c>
      <c r="G6021" t="n">
        <v>0.6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44679-2024</t>
        </is>
      </c>
      <c r="B6022" s="1" t="n">
        <v>45574</v>
      </c>
      <c r="C6022" s="1" t="n">
        <v>45957</v>
      </c>
      <c r="D6022" t="inlineStr">
        <is>
          <t>KRONOBERGS LÄN</t>
        </is>
      </c>
      <c r="E6022" t="inlineStr">
        <is>
          <t>TINGSRYD</t>
        </is>
      </c>
      <c r="G6022" t="n">
        <v>2.3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9134-2023</t>
        </is>
      </c>
      <c r="B6023" s="1" t="n">
        <v>44980.34850694444</v>
      </c>
      <c r="C6023" s="1" t="n">
        <v>45957</v>
      </c>
      <c r="D6023" t="inlineStr">
        <is>
          <t>KRONOBERGS LÄN</t>
        </is>
      </c>
      <c r="E6023" t="inlineStr">
        <is>
          <t>MARKARYD</t>
        </is>
      </c>
      <c r="G6023" t="n">
        <v>4.6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57938-2023</t>
        </is>
      </c>
      <c r="B6024" s="1" t="n">
        <v>45247.55608796296</v>
      </c>
      <c r="C6024" s="1" t="n">
        <v>45957</v>
      </c>
      <c r="D6024" t="inlineStr">
        <is>
          <t>KRONOBERGS LÄN</t>
        </is>
      </c>
      <c r="E6024" t="inlineStr">
        <is>
          <t>ALVESTA</t>
        </is>
      </c>
      <c r="G6024" t="n">
        <v>0.9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11644-2023</t>
        </is>
      </c>
      <c r="B6025" s="1" t="n">
        <v>44994.45271990741</v>
      </c>
      <c r="C6025" s="1" t="n">
        <v>45957</v>
      </c>
      <c r="D6025" t="inlineStr">
        <is>
          <t>KRONOBERGS LÄN</t>
        </is>
      </c>
      <c r="E6025" t="inlineStr">
        <is>
          <t>UPPVIDINGE</t>
        </is>
      </c>
      <c r="G6025" t="n">
        <v>2.6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13193-2023</t>
        </is>
      </c>
      <c r="B6026" s="1" t="n">
        <v>45002</v>
      </c>
      <c r="C6026" s="1" t="n">
        <v>45957</v>
      </c>
      <c r="D6026" t="inlineStr">
        <is>
          <t>KRONOBERGS LÄN</t>
        </is>
      </c>
      <c r="E6026" t="inlineStr">
        <is>
          <t>TINGSRYD</t>
        </is>
      </c>
      <c r="G6026" t="n">
        <v>1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608-2025</t>
        </is>
      </c>
      <c r="B6027" s="1" t="n">
        <v>45660</v>
      </c>
      <c r="C6027" s="1" t="n">
        <v>45957</v>
      </c>
      <c r="D6027" t="inlineStr">
        <is>
          <t>KRONOBERGS LÄN</t>
        </is>
      </c>
      <c r="E6027" t="inlineStr">
        <is>
          <t>UPPVIDINGE</t>
        </is>
      </c>
      <c r="G6027" t="n">
        <v>2.3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11559-2022</t>
        </is>
      </c>
      <c r="B6028" s="1" t="n">
        <v>44631.46039351852</v>
      </c>
      <c r="C6028" s="1" t="n">
        <v>45957</v>
      </c>
      <c r="D6028" t="inlineStr">
        <is>
          <t>KRONOBERGS LÄN</t>
        </is>
      </c>
      <c r="E6028" t="inlineStr">
        <is>
          <t>TINGSRYD</t>
        </is>
      </c>
      <c r="G6028" t="n">
        <v>2.6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58213-2024</t>
        </is>
      </c>
      <c r="B6029" s="1" t="n">
        <v>45632.49377314815</v>
      </c>
      <c r="C6029" s="1" t="n">
        <v>45957</v>
      </c>
      <c r="D6029" t="inlineStr">
        <is>
          <t>KRONOBERGS LÄN</t>
        </is>
      </c>
      <c r="E6029" t="inlineStr">
        <is>
          <t>ÄLMHULT</t>
        </is>
      </c>
      <c r="G6029" t="n">
        <v>2.2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38656-2024</t>
        </is>
      </c>
      <c r="B6030" s="1" t="n">
        <v>45546</v>
      </c>
      <c r="C6030" s="1" t="n">
        <v>45957</v>
      </c>
      <c r="D6030" t="inlineStr">
        <is>
          <t>KRONOBERGS LÄN</t>
        </is>
      </c>
      <c r="E6030" t="inlineStr">
        <is>
          <t>LJUNGBY</t>
        </is>
      </c>
      <c r="G6030" t="n">
        <v>0.9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42758-2023</t>
        </is>
      </c>
      <c r="B6031" s="1" t="n">
        <v>45181</v>
      </c>
      <c r="C6031" s="1" t="n">
        <v>45957</v>
      </c>
      <c r="D6031" t="inlineStr">
        <is>
          <t>KRONOBERGS LÄN</t>
        </is>
      </c>
      <c r="E6031" t="inlineStr">
        <is>
          <t>VÄXJÖ</t>
        </is>
      </c>
      <c r="G6031" t="n">
        <v>2.2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8354-2022</t>
        </is>
      </c>
      <c r="B6032" s="1" t="n">
        <v>44610</v>
      </c>
      <c r="C6032" s="1" t="n">
        <v>45957</v>
      </c>
      <c r="D6032" t="inlineStr">
        <is>
          <t>KRONOBERGS LÄN</t>
        </is>
      </c>
      <c r="E6032" t="inlineStr">
        <is>
          <t>UPPVIDINGE</t>
        </is>
      </c>
      <c r="G6032" t="n">
        <v>0.5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8503-2024</t>
        </is>
      </c>
      <c r="B6033" s="1" t="n">
        <v>45355.4612037037</v>
      </c>
      <c r="C6033" s="1" t="n">
        <v>45957</v>
      </c>
      <c r="D6033" t="inlineStr">
        <is>
          <t>KRONOBERGS LÄN</t>
        </is>
      </c>
      <c r="E6033" t="inlineStr">
        <is>
          <t>LJUNGBY</t>
        </is>
      </c>
      <c r="G6033" t="n">
        <v>0.8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32810-2023</t>
        </is>
      </c>
      <c r="B6034" s="1" t="n">
        <v>45124.51753472222</v>
      </c>
      <c r="C6034" s="1" t="n">
        <v>45957</v>
      </c>
      <c r="D6034" t="inlineStr">
        <is>
          <t>KRONOBERGS LÄN</t>
        </is>
      </c>
      <c r="E6034" t="inlineStr">
        <is>
          <t>TINGSRYD</t>
        </is>
      </c>
      <c r="G6034" t="n">
        <v>0.9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46348-2021</t>
        </is>
      </c>
      <c r="B6035" s="1" t="n">
        <v>44442.71274305556</v>
      </c>
      <c r="C6035" s="1" t="n">
        <v>45957</v>
      </c>
      <c r="D6035" t="inlineStr">
        <is>
          <t>KRONOBERGS LÄN</t>
        </is>
      </c>
      <c r="E6035" t="inlineStr">
        <is>
          <t>ALVESTA</t>
        </is>
      </c>
      <c r="G6035" t="n">
        <v>3.9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2961-2024</t>
        </is>
      </c>
      <c r="B6036" s="1" t="n">
        <v>45315.65375</v>
      </c>
      <c r="C6036" s="1" t="n">
        <v>45957</v>
      </c>
      <c r="D6036" t="inlineStr">
        <is>
          <t>KRONOBERGS LÄN</t>
        </is>
      </c>
      <c r="E6036" t="inlineStr">
        <is>
          <t>LJUNGBY</t>
        </is>
      </c>
      <c r="G6036" t="n">
        <v>1.6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9822-2022</t>
        </is>
      </c>
      <c r="B6037" s="1" t="n">
        <v>44620.44520833333</v>
      </c>
      <c r="C6037" s="1" t="n">
        <v>45957</v>
      </c>
      <c r="D6037" t="inlineStr">
        <is>
          <t>KRONOBERGS LÄN</t>
        </is>
      </c>
      <c r="E6037" t="inlineStr">
        <is>
          <t>ALVESTA</t>
        </is>
      </c>
      <c r="G6037" t="n">
        <v>2.3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36193-2023</t>
        </is>
      </c>
      <c r="B6038" s="1" t="n">
        <v>45149</v>
      </c>
      <c r="C6038" s="1" t="n">
        <v>45957</v>
      </c>
      <c r="D6038" t="inlineStr">
        <is>
          <t>KRONOBERGS LÄN</t>
        </is>
      </c>
      <c r="E6038" t="inlineStr">
        <is>
          <t>UPPVIDINGE</t>
        </is>
      </c>
      <c r="G6038" t="n">
        <v>2.1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24029-2023</t>
        </is>
      </c>
      <c r="B6039" s="1" t="n">
        <v>45078</v>
      </c>
      <c r="C6039" s="1" t="n">
        <v>45957</v>
      </c>
      <c r="D6039" t="inlineStr">
        <is>
          <t>KRONOBERGS LÄN</t>
        </is>
      </c>
      <c r="E6039" t="inlineStr">
        <is>
          <t>ÄLMHULT</t>
        </is>
      </c>
      <c r="G6039" t="n">
        <v>1.1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9674-2025</t>
        </is>
      </c>
      <c r="B6040" s="1" t="n">
        <v>45716.33921296296</v>
      </c>
      <c r="C6040" s="1" t="n">
        <v>45957</v>
      </c>
      <c r="D6040" t="inlineStr">
        <is>
          <t>KRONOBERGS LÄN</t>
        </is>
      </c>
      <c r="E6040" t="inlineStr">
        <is>
          <t>UPPVIDINGE</t>
        </is>
      </c>
      <c r="F6040" t="inlineStr">
        <is>
          <t>Sveaskog</t>
        </is>
      </c>
      <c r="G6040" t="n">
        <v>1.2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30678-2023</t>
        </is>
      </c>
      <c r="B6041" s="1" t="n">
        <v>45112.54576388889</v>
      </c>
      <c r="C6041" s="1" t="n">
        <v>45957</v>
      </c>
      <c r="D6041" t="inlineStr">
        <is>
          <t>KRONOBERGS LÄN</t>
        </is>
      </c>
      <c r="E6041" t="inlineStr">
        <is>
          <t>TINGSRYD</t>
        </is>
      </c>
      <c r="G6041" t="n">
        <v>4.5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30699-2023</t>
        </is>
      </c>
      <c r="B6042" s="1" t="n">
        <v>45103</v>
      </c>
      <c r="C6042" s="1" t="n">
        <v>45957</v>
      </c>
      <c r="D6042" t="inlineStr">
        <is>
          <t>KRONOBERGS LÄN</t>
        </is>
      </c>
      <c r="E6042" t="inlineStr">
        <is>
          <t>ALVESTA</t>
        </is>
      </c>
      <c r="G6042" t="n">
        <v>2.3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23319-2023</t>
        </is>
      </c>
      <c r="B6043" s="1" t="n">
        <v>45076.30560185185</v>
      </c>
      <c r="C6043" s="1" t="n">
        <v>45957</v>
      </c>
      <c r="D6043" t="inlineStr">
        <is>
          <t>KRONOBERGS LÄN</t>
        </is>
      </c>
      <c r="E6043" t="inlineStr">
        <is>
          <t>LJUNGBY</t>
        </is>
      </c>
      <c r="G6043" t="n">
        <v>1.9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23600-2023</t>
        </is>
      </c>
      <c r="B6044" s="1" t="n">
        <v>45077</v>
      </c>
      <c r="C6044" s="1" t="n">
        <v>45957</v>
      </c>
      <c r="D6044" t="inlineStr">
        <is>
          <t>KRONOBERGS LÄN</t>
        </is>
      </c>
      <c r="E6044" t="inlineStr">
        <is>
          <t>LJUNGBY</t>
        </is>
      </c>
      <c r="G6044" t="n">
        <v>1.7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4795-2024</t>
        </is>
      </c>
      <c r="B6045" s="1" t="n">
        <v>45328</v>
      </c>
      <c r="C6045" s="1" t="n">
        <v>45957</v>
      </c>
      <c r="D6045" t="inlineStr">
        <is>
          <t>KRONOBERGS LÄN</t>
        </is>
      </c>
      <c r="E6045" t="inlineStr">
        <is>
          <t>TINGSRYD</t>
        </is>
      </c>
      <c r="G6045" t="n">
        <v>0.9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6559-2022</t>
        </is>
      </c>
      <c r="B6046" s="1" t="n">
        <v>44601.58469907408</v>
      </c>
      <c r="C6046" s="1" t="n">
        <v>45957</v>
      </c>
      <c r="D6046" t="inlineStr">
        <is>
          <t>KRONOBERGS LÄN</t>
        </is>
      </c>
      <c r="E6046" t="inlineStr">
        <is>
          <t>MARKARYD</t>
        </is>
      </c>
      <c r="F6046" t="inlineStr">
        <is>
          <t>Kommuner</t>
        </is>
      </c>
      <c r="G6046" t="n">
        <v>0.8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13400-2025</t>
        </is>
      </c>
      <c r="B6047" s="1" t="n">
        <v>45735.76244212963</v>
      </c>
      <c r="C6047" s="1" t="n">
        <v>45957</v>
      </c>
      <c r="D6047" t="inlineStr">
        <is>
          <t>KRONOBERGS LÄN</t>
        </is>
      </c>
      <c r="E6047" t="inlineStr">
        <is>
          <t>TINGSRYD</t>
        </is>
      </c>
      <c r="G6047" t="n">
        <v>0.2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13401-2025</t>
        </is>
      </c>
      <c r="B6048" s="1" t="n">
        <v>45735.76439814815</v>
      </c>
      <c r="C6048" s="1" t="n">
        <v>45957</v>
      </c>
      <c r="D6048" t="inlineStr">
        <is>
          <t>KRONOBERGS LÄN</t>
        </is>
      </c>
      <c r="E6048" t="inlineStr">
        <is>
          <t>TINGSRYD</t>
        </is>
      </c>
      <c r="G6048" t="n">
        <v>0.1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28693-2023</t>
        </is>
      </c>
      <c r="B6049" s="1" t="n">
        <v>45103.70189814815</v>
      </c>
      <c r="C6049" s="1" t="n">
        <v>45957</v>
      </c>
      <c r="D6049" t="inlineStr">
        <is>
          <t>KRONOBERGS LÄN</t>
        </is>
      </c>
      <c r="E6049" t="inlineStr">
        <is>
          <t>ÄLMHULT</t>
        </is>
      </c>
      <c r="G6049" t="n">
        <v>0.6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9649-2024</t>
        </is>
      </c>
      <c r="B6050" s="1" t="n">
        <v>45362</v>
      </c>
      <c r="C6050" s="1" t="n">
        <v>45957</v>
      </c>
      <c r="D6050" t="inlineStr">
        <is>
          <t>KRONOBERGS LÄN</t>
        </is>
      </c>
      <c r="E6050" t="inlineStr">
        <is>
          <t>ALVESTA</t>
        </is>
      </c>
      <c r="G6050" t="n">
        <v>1.4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5616-2023</t>
        </is>
      </c>
      <c r="B6051" s="1" t="n">
        <v>44960.56908564815</v>
      </c>
      <c r="C6051" s="1" t="n">
        <v>45957</v>
      </c>
      <c r="D6051" t="inlineStr">
        <is>
          <t>KRONOBERGS LÄN</t>
        </is>
      </c>
      <c r="E6051" t="inlineStr">
        <is>
          <t>TINGSRYD</t>
        </is>
      </c>
      <c r="G6051" t="n">
        <v>1.2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60559-2022</t>
        </is>
      </c>
      <c r="B6052" s="1" t="n">
        <v>44911</v>
      </c>
      <c r="C6052" s="1" t="n">
        <v>45957</v>
      </c>
      <c r="D6052" t="inlineStr">
        <is>
          <t>KRONOBERGS LÄN</t>
        </is>
      </c>
      <c r="E6052" t="inlineStr">
        <is>
          <t>ALVESTA</t>
        </is>
      </c>
      <c r="G6052" t="n">
        <v>5.2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8690-2023</t>
        </is>
      </c>
      <c r="B6053" s="1" t="n">
        <v>44978</v>
      </c>
      <c r="C6053" s="1" t="n">
        <v>45957</v>
      </c>
      <c r="D6053" t="inlineStr">
        <is>
          <t>KRONOBERGS LÄN</t>
        </is>
      </c>
      <c r="E6053" t="inlineStr">
        <is>
          <t>LESSEBO</t>
        </is>
      </c>
      <c r="G6053" t="n">
        <v>3.5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31872-2022</t>
        </is>
      </c>
      <c r="B6054" s="1" t="n">
        <v>44777.38348379629</v>
      </c>
      <c r="C6054" s="1" t="n">
        <v>45957</v>
      </c>
      <c r="D6054" t="inlineStr">
        <is>
          <t>KRONOBERGS LÄN</t>
        </is>
      </c>
      <c r="E6054" t="inlineStr">
        <is>
          <t>ÄLMHULT</t>
        </is>
      </c>
      <c r="G6054" t="n">
        <v>2.3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1927-2024</t>
        </is>
      </c>
      <c r="B6055" s="1" t="n">
        <v>45308.45583333333</v>
      </c>
      <c r="C6055" s="1" t="n">
        <v>45957</v>
      </c>
      <c r="D6055" t="inlineStr">
        <is>
          <t>KRONOBERGS LÄN</t>
        </is>
      </c>
      <c r="E6055" t="inlineStr">
        <is>
          <t>ALVESTA</t>
        </is>
      </c>
      <c r="G6055" t="n">
        <v>0.9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2268-2023</t>
        </is>
      </c>
      <c r="B6056" s="1" t="n">
        <v>44942.49850694444</v>
      </c>
      <c r="C6056" s="1" t="n">
        <v>45957</v>
      </c>
      <c r="D6056" t="inlineStr">
        <is>
          <t>KRONOBERGS LÄN</t>
        </is>
      </c>
      <c r="E6056" t="inlineStr">
        <is>
          <t>UPPVIDINGE</t>
        </is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1096-2023</t>
        </is>
      </c>
      <c r="B6057" s="1" t="n">
        <v>44929</v>
      </c>
      <c r="C6057" s="1" t="n">
        <v>45957</v>
      </c>
      <c r="D6057" t="inlineStr">
        <is>
          <t>KRONOBERGS LÄN</t>
        </is>
      </c>
      <c r="E6057" t="inlineStr">
        <is>
          <t>VÄXJÖ</t>
        </is>
      </c>
      <c r="F6057" t="inlineStr">
        <is>
          <t>Kyrkan</t>
        </is>
      </c>
      <c r="G6057" t="n">
        <v>3.6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61995-2022</t>
        </is>
      </c>
      <c r="B6058" s="1" t="n">
        <v>44918.41686342593</v>
      </c>
      <c r="C6058" s="1" t="n">
        <v>45957</v>
      </c>
      <c r="D6058" t="inlineStr">
        <is>
          <t>KRONOBERGS LÄN</t>
        </is>
      </c>
      <c r="E6058" t="inlineStr">
        <is>
          <t>LESSEBO</t>
        </is>
      </c>
      <c r="F6058" t="inlineStr">
        <is>
          <t>Kommuner</t>
        </is>
      </c>
      <c r="G6058" t="n">
        <v>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6493-2024</t>
        </is>
      </c>
      <c r="B6059" s="1" t="n">
        <v>45339</v>
      </c>
      <c r="C6059" s="1" t="n">
        <v>45957</v>
      </c>
      <c r="D6059" t="inlineStr">
        <is>
          <t>KRONOBERGS LÄN</t>
        </is>
      </c>
      <c r="E6059" t="inlineStr">
        <is>
          <t>LJUNGBY</t>
        </is>
      </c>
      <c r="G6059" t="n">
        <v>1.5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39994-2024</t>
        </is>
      </c>
      <c r="B6060" s="1" t="n">
        <v>45553.6357175926</v>
      </c>
      <c r="C6060" s="1" t="n">
        <v>45957</v>
      </c>
      <c r="D6060" t="inlineStr">
        <is>
          <t>KRONOBERGS LÄN</t>
        </is>
      </c>
      <c r="E6060" t="inlineStr">
        <is>
          <t>TINGSRYD</t>
        </is>
      </c>
      <c r="G6060" t="n">
        <v>5.3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37843-2024</t>
        </is>
      </c>
      <c r="B6061" s="1" t="n">
        <v>45544.36585648148</v>
      </c>
      <c r="C6061" s="1" t="n">
        <v>45957</v>
      </c>
      <c r="D6061" t="inlineStr">
        <is>
          <t>KRONOBERGS LÄN</t>
        </is>
      </c>
      <c r="E6061" t="inlineStr">
        <is>
          <t>ALVESTA</t>
        </is>
      </c>
      <c r="G6061" t="n">
        <v>2.1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62159-2024</t>
        </is>
      </c>
      <c r="B6062" s="1" t="n">
        <v>45656.78905092592</v>
      </c>
      <c r="C6062" s="1" t="n">
        <v>45957</v>
      </c>
      <c r="D6062" t="inlineStr">
        <is>
          <t>KRONOBERGS LÄN</t>
        </is>
      </c>
      <c r="E6062" t="inlineStr">
        <is>
          <t>LJUNGBY</t>
        </is>
      </c>
      <c r="G6062" t="n">
        <v>1.5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16355-2024</t>
        </is>
      </c>
      <c r="B6063" s="1" t="n">
        <v>45407.5816087963</v>
      </c>
      <c r="C6063" s="1" t="n">
        <v>45957</v>
      </c>
      <c r="D6063" t="inlineStr">
        <is>
          <t>KRONOBERGS LÄN</t>
        </is>
      </c>
      <c r="E6063" t="inlineStr">
        <is>
          <t>ALVESTA</t>
        </is>
      </c>
      <c r="G6063" t="n">
        <v>1.9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61968-2024</t>
        </is>
      </c>
      <c r="B6064" s="1" t="n">
        <v>45653.58763888889</v>
      </c>
      <c r="C6064" s="1" t="n">
        <v>45957</v>
      </c>
      <c r="D6064" t="inlineStr">
        <is>
          <t>KRONOBERGS LÄN</t>
        </is>
      </c>
      <c r="E6064" t="inlineStr">
        <is>
          <t>ÄLMHULT</t>
        </is>
      </c>
      <c r="G6064" t="n">
        <v>0.6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14883-2022</t>
        </is>
      </c>
      <c r="B6065" s="1" t="n">
        <v>44656</v>
      </c>
      <c r="C6065" s="1" t="n">
        <v>45957</v>
      </c>
      <c r="D6065" t="inlineStr">
        <is>
          <t>KRONOBERGS LÄN</t>
        </is>
      </c>
      <c r="E6065" t="inlineStr">
        <is>
          <t>VÄXJÖ</t>
        </is>
      </c>
      <c r="G6065" t="n">
        <v>0.5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52539-2021</t>
        </is>
      </c>
      <c r="B6066" s="1" t="n">
        <v>44466.48996527777</v>
      </c>
      <c r="C6066" s="1" t="n">
        <v>45957</v>
      </c>
      <c r="D6066" t="inlineStr">
        <is>
          <t>KRONOBERGS LÄN</t>
        </is>
      </c>
      <c r="E6066" t="inlineStr">
        <is>
          <t>LJUNGBY</t>
        </is>
      </c>
      <c r="G6066" t="n">
        <v>1.2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1993-2025</t>
        </is>
      </c>
      <c r="B6067" s="1" t="n">
        <v>45671</v>
      </c>
      <c r="C6067" s="1" t="n">
        <v>45957</v>
      </c>
      <c r="D6067" t="inlineStr">
        <is>
          <t>KRONOBERGS LÄN</t>
        </is>
      </c>
      <c r="E6067" t="inlineStr">
        <is>
          <t>ALVESTA</t>
        </is>
      </c>
      <c r="G6067" t="n">
        <v>0.8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7491-2023</t>
        </is>
      </c>
      <c r="B6068" s="1" t="n">
        <v>44971.69971064815</v>
      </c>
      <c r="C6068" s="1" t="n">
        <v>45957</v>
      </c>
      <c r="D6068" t="inlineStr">
        <is>
          <t>KRONOBERGS LÄN</t>
        </is>
      </c>
      <c r="E6068" t="inlineStr">
        <is>
          <t>LJUNGBY</t>
        </is>
      </c>
      <c r="G6068" t="n">
        <v>0.6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8781-2023</t>
        </is>
      </c>
      <c r="B6069" s="1" t="n">
        <v>44978.57898148148</v>
      </c>
      <c r="C6069" s="1" t="n">
        <v>45957</v>
      </c>
      <c r="D6069" t="inlineStr">
        <is>
          <t>KRONOBERGS LÄN</t>
        </is>
      </c>
      <c r="E6069" t="inlineStr">
        <is>
          <t>ALVESTA</t>
        </is>
      </c>
      <c r="G6069" t="n">
        <v>2.7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11618-2023</t>
        </is>
      </c>
      <c r="B6070" s="1" t="n">
        <v>44994.42039351852</v>
      </c>
      <c r="C6070" s="1" t="n">
        <v>45957</v>
      </c>
      <c r="D6070" t="inlineStr">
        <is>
          <t>KRONOBERGS LÄN</t>
        </is>
      </c>
      <c r="E6070" t="inlineStr">
        <is>
          <t>ALVESTA</t>
        </is>
      </c>
      <c r="G6070" t="n">
        <v>3.9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11350-2025</t>
        </is>
      </c>
      <c r="B6071" s="1" t="n">
        <v>45726.51144675926</v>
      </c>
      <c r="C6071" s="1" t="n">
        <v>45957</v>
      </c>
      <c r="D6071" t="inlineStr">
        <is>
          <t>KRONOBERGS LÄN</t>
        </is>
      </c>
      <c r="E6071" t="inlineStr">
        <is>
          <t>LJUNGBY</t>
        </is>
      </c>
      <c r="G6071" t="n">
        <v>3.8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6771-2022</t>
        </is>
      </c>
      <c r="B6072" s="1" t="n">
        <v>44602.51873842593</v>
      </c>
      <c r="C6072" s="1" t="n">
        <v>45957</v>
      </c>
      <c r="D6072" t="inlineStr">
        <is>
          <t>KRONOBERGS LÄN</t>
        </is>
      </c>
      <c r="E6072" t="inlineStr">
        <is>
          <t>UPPVIDINGE</t>
        </is>
      </c>
      <c r="G6072" t="n">
        <v>1.2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57582-2024</t>
        </is>
      </c>
      <c r="B6073" s="1" t="n">
        <v>45630.47969907407</v>
      </c>
      <c r="C6073" s="1" t="n">
        <v>45957</v>
      </c>
      <c r="D6073" t="inlineStr">
        <is>
          <t>KRONOBERGS LÄN</t>
        </is>
      </c>
      <c r="E6073" t="inlineStr">
        <is>
          <t>ALVESTA</t>
        </is>
      </c>
      <c r="G6073" t="n">
        <v>4.2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21990-2024</t>
        </is>
      </c>
      <c r="B6074" s="1" t="n">
        <v>45443.55731481482</v>
      </c>
      <c r="C6074" s="1" t="n">
        <v>45957</v>
      </c>
      <c r="D6074" t="inlineStr">
        <is>
          <t>KRONOBERGS LÄN</t>
        </is>
      </c>
      <c r="E6074" t="inlineStr">
        <is>
          <t>VÄXJÖ</t>
        </is>
      </c>
      <c r="G6074" t="n">
        <v>0.5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29419-2021</t>
        </is>
      </c>
      <c r="B6075" s="1" t="n">
        <v>44361.5662962963</v>
      </c>
      <c r="C6075" s="1" t="n">
        <v>45957</v>
      </c>
      <c r="D6075" t="inlineStr">
        <is>
          <t>KRONOBERGS LÄN</t>
        </is>
      </c>
      <c r="E6075" t="inlineStr">
        <is>
          <t>LJUNGBY</t>
        </is>
      </c>
      <c r="G6075" t="n">
        <v>1.5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35546-2023</t>
        </is>
      </c>
      <c r="B6076" s="1" t="n">
        <v>45147</v>
      </c>
      <c r="C6076" s="1" t="n">
        <v>45957</v>
      </c>
      <c r="D6076" t="inlineStr">
        <is>
          <t>KRONOBERGS LÄN</t>
        </is>
      </c>
      <c r="E6076" t="inlineStr">
        <is>
          <t>VÄXJÖ</t>
        </is>
      </c>
      <c r="G6076" t="n">
        <v>2.5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11724-2022</t>
        </is>
      </c>
      <c r="B6077" s="1" t="n">
        <v>44634</v>
      </c>
      <c r="C6077" s="1" t="n">
        <v>45957</v>
      </c>
      <c r="D6077" t="inlineStr">
        <is>
          <t>KRONOBERGS LÄN</t>
        </is>
      </c>
      <c r="E6077" t="inlineStr">
        <is>
          <t>TINGSRYD</t>
        </is>
      </c>
      <c r="G6077" t="n">
        <v>4.8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50643-2023</t>
        </is>
      </c>
      <c r="B6078" s="1" t="n">
        <v>45217.47178240741</v>
      </c>
      <c r="C6078" s="1" t="n">
        <v>45957</v>
      </c>
      <c r="D6078" t="inlineStr">
        <is>
          <t>KRONOBERGS LÄN</t>
        </is>
      </c>
      <c r="E6078" t="inlineStr">
        <is>
          <t>VÄXJÖ</t>
        </is>
      </c>
      <c r="G6078" t="n">
        <v>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5568-2021</t>
        </is>
      </c>
      <c r="B6079" s="1" t="n">
        <v>44228</v>
      </c>
      <c r="C6079" s="1" t="n">
        <v>45957</v>
      </c>
      <c r="D6079" t="inlineStr">
        <is>
          <t>KRONOBERGS LÄN</t>
        </is>
      </c>
      <c r="E6079" t="inlineStr">
        <is>
          <t>UPPVIDINGE</t>
        </is>
      </c>
      <c r="G6079" t="n">
        <v>3.1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46515-2025</t>
        </is>
      </c>
      <c r="B6080" s="1" t="n">
        <v>45926.28853009259</v>
      </c>
      <c r="C6080" s="1" t="n">
        <v>45957</v>
      </c>
      <c r="D6080" t="inlineStr">
        <is>
          <t>KRONOBERGS LÄN</t>
        </is>
      </c>
      <c r="E6080" t="inlineStr">
        <is>
          <t>ALVESTA</t>
        </is>
      </c>
      <c r="G6080" t="n">
        <v>1.3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46554-2025</t>
        </is>
      </c>
      <c r="B6081" s="1" t="n">
        <v>45926.34913194444</v>
      </c>
      <c r="C6081" s="1" t="n">
        <v>45957</v>
      </c>
      <c r="D6081" t="inlineStr">
        <is>
          <t>KRONOBERGS LÄN</t>
        </is>
      </c>
      <c r="E6081" t="inlineStr">
        <is>
          <t>UPPVIDINGE</t>
        </is>
      </c>
      <c r="G6081" t="n">
        <v>1.2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46558-2025</t>
        </is>
      </c>
      <c r="B6082" s="1" t="n">
        <v>45926.32541666667</v>
      </c>
      <c r="C6082" s="1" t="n">
        <v>45957</v>
      </c>
      <c r="D6082" t="inlineStr">
        <is>
          <t>KRONOBERGS LÄN</t>
        </is>
      </c>
      <c r="E6082" t="inlineStr">
        <is>
          <t>TINGSRYD</t>
        </is>
      </c>
      <c r="G6082" t="n">
        <v>0.8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52545-2022</t>
        </is>
      </c>
      <c r="B6083" s="1" t="n">
        <v>44874.58840277778</v>
      </c>
      <c r="C6083" s="1" t="n">
        <v>45957</v>
      </c>
      <c r="D6083" t="inlineStr">
        <is>
          <t>KRONOBERGS LÄN</t>
        </is>
      </c>
      <c r="E6083" t="inlineStr">
        <is>
          <t>VÄXJÖ</t>
        </is>
      </c>
      <c r="G6083" t="n">
        <v>0.5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46448-2021</t>
        </is>
      </c>
      <c r="B6084" s="1" t="n">
        <v>44445.35109953704</v>
      </c>
      <c r="C6084" s="1" t="n">
        <v>45957</v>
      </c>
      <c r="D6084" t="inlineStr">
        <is>
          <t>KRONOBERGS LÄN</t>
        </is>
      </c>
      <c r="E6084" t="inlineStr">
        <is>
          <t>ALVESTA</t>
        </is>
      </c>
      <c r="G6084" t="n">
        <v>2.8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9755-2025</t>
        </is>
      </c>
      <c r="B6085" s="1" t="n">
        <v>45715</v>
      </c>
      <c r="C6085" s="1" t="n">
        <v>45957</v>
      </c>
      <c r="D6085" t="inlineStr">
        <is>
          <t>KRONOBERGS LÄN</t>
        </is>
      </c>
      <c r="E6085" t="inlineStr">
        <is>
          <t>VÄXJÖ</t>
        </is>
      </c>
      <c r="F6085" t="inlineStr">
        <is>
          <t>Kyrkan</t>
        </is>
      </c>
      <c r="G6085" t="n">
        <v>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47242-2022</t>
        </is>
      </c>
      <c r="B6086" s="1" t="n">
        <v>44852</v>
      </c>
      <c r="C6086" s="1" t="n">
        <v>45957</v>
      </c>
      <c r="D6086" t="inlineStr">
        <is>
          <t>KRONOBERGS LÄN</t>
        </is>
      </c>
      <c r="E6086" t="inlineStr">
        <is>
          <t>LJUNGBY</t>
        </is>
      </c>
      <c r="G6086" t="n">
        <v>2.1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62235-2023</t>
        </is>
      </c>
      <c r="B6087" s="1" t="n">
        <v>45267.59138888889</v>
      </c>
      <c r="C6087" s="1" t="n">
        <v>45957</v>
      </c>
      <c r="D6087" t="inlineStr">
        <is>
          <t>KRONOBERGS LÄN</t>
        </is>
      </c>
      <c r="E6087" t="inlineStr">
        <is>
          <t>ALVESTA</t>
        </is>
      </c>
      <c r="G6087" t="n">
        <v>0.5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52661-2024</t>
        </is>
      </c>
      <c r="B6088" s="1" t="n">
        <v>45610.36342592593</v>
      </c>
      <c r="C6088" s="1" t="n">
        <v>45957</v>
      </c>
      <c r="D6088" t="inlineStr">
        <is>
          <t>KRONOBERGS LÄN</t>
        </is>
      </c>
      <c r="E6088" t="inlineStr">
        <is>
          <t>LJUNGBY</t>
        </is>
      </c>
      <c r="G6088" t="n">
        <v>2.9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42361-2022</t>
        </is>
      </c>
      <c r="B6089" s="1" t="n">
        <v>44831</v>
      </c>
      <c r="C6089" s="1" t="n">
        <v>45957</v>
      </c>
      <c r="D6089" t="inlineStr">
        <is>
          <t>KRONOBERGS LÄN</t>
        </is>
      </c>
      <c r="E6089" t="inlineStr">
        <is>
          <t>VÄXJÖ</t>
        </is>
      </c>
      <c r="G6089" t="n">
        <v>1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30438-2023</t>
        </is>
      </c>
      <c r="B6090" s="1" t="n">
        <v>45111.55594907407</v>
      </c>
      <c r="C6090" s="1" t="n">
        <v>45957</v>
      </c>
      <c r="D6090" t="inlineStr">
        <is>
          <t>KRONOBERGS LÄN</t>
        </is>
      </c>
      <c r="E6090" t="inlineStr">
        <is>
          <t>VÄXJÖ</t>
        </is>
      </c>
      <c r="G6090" t="n">
        <v>2.5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30963-2023</t>
        </is>
      </c>
      <c r="B6091" s="1" t="n">
        <v>45113.4787037037</v>
      </c>
      <c r="C6091" s="1" t="n">
        <v>45957</v>
      </c>
      <c r="D6091" t="inlineStr">
        <is>
          <t>KRONOBERGS LÄN</t>
        </is>
      </c>
      <c r="E6091" t="inlineStr">
        <is>
          <t>ÄLMHULT</t>
        </is>
      </c>
      <c r="G6091" t="n">
        <v>1.3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7224-2025</t>
        </is>
      </c>
      <c r="B6092" s="1" t="n">
        <v>45702.49078703704</v>
      </c>
      <c r="C6092" s="1" t="n">
        <v>45957</v>
      </c>
      <c r="D6092" t="inlineStr">
        <is>
          <t>KRONOBERGS LÄN</t>
        </is>
      </c>
      <c r="E6092" t="inlineStr">
        <is>
          <t>TINGSRYD</t>
        </is>
      </c>
      <c r="G6092" t="n">
        <v>0.6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6271-2025</t>
        </is>
      </c>
      <c r="B6093" s="1" t="n">
        <v>45698.61065972222</v>
      </c>
      <c r="C6093" s="1" t="n">
        <v>45957</v>
      </c>
      <c r="D6093" t="inlineStr">
        <is>
          <t>KRONOBERGS LÄN</t>
        </is>
      </c>
      <c r="E6093" t="inlineStr">
        <is>
          <t>VÄXJÖ</t>
        </is>
      </c>
      <c r="G6093" t="n">
        <v>1.7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14396-2024</t>
        </is>
      </c>
      <c r="B6094" s="1" t="n">
        <v>45394.33746527778</v>
      </c>
      <c r="C6094" s="1" t="n">
        <v>45957</v>
      </c>
      <c r="D6094" t="inlineStr">
        <is>
          <t>KRONOBERGS LÄN</t>
        </is>
      </c>
      <c r="E6094" t="inlineStr">
        <is>
          <t>TINGSRYD</t>
        </is>
      </c>
      <c r="G6094" t="n">
        <v>0.8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45514-2023</t>
        </is>
      </c>
      <c r="B6095" s="1" t="n">
        <v>45194.49377314815</v>
      </c>
      <c r="C6095" s="1" t="n">
        <v>45957</v>
      </c>
      <c r="D6095" t="inlineStr">
        <is>
          <t>KRONOBERGS LÄN</t>
        </is>
      </c>
      <c r="E6095" t="inlineStr">
        <is>
          <t>VÄXJÖ</t>
        </is>
      </c>
      <c r="G6095" t="n">
        <v>1.8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51190-2023</t>
        </is>
      </c>
      <c r="B6096" s="1" t="n">
        <v>45219.41055555556</v>
      </c>
      <c r="C6096" s="1" t="n">
        <v>45957</v>
      </c>
      <c r="D6096" t="inlineStr">
        <is>
          <t>KRONOBERGS LÄN</t>
        </is>
      </c>
      <c r="E6096" t="inlineStr">
        <is>
          <t>VÄXJÖ</t>
        </is>
      </c>
      <c r="G6096" t="n">
        <v>1.5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64680-2023</t>
        </is>
      </c>
      <c r="B6097" s="1" t="n">
        <v>45281.62631944445</v>
      </c>
      <c r="C6097" s="1" t="n">
        <v>45957</v>
      </c>
      <c r="D6097" t="inlineStr">
        <is>
          <t>KRONOBERGS LÄN</t>
        </is>
      </c>
      <c r="E6097" t="inlineStr">
        <is>
          <t>LJUNGBY</t>
        </is>
      </c>
      <c r="G6097" t="n">
        <v>0.8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33591-2022</t>
        </is>
      </c>
      <c r="B6098" s="1" t="n">
        <v>44789.46129629629</v>
      </c>
      <c r="C6098" s="1" t="n">
        <v>45957</v>
      </c>
      <c r="D6098" t="inlineStr">
        <is>
          <t>KRONOBERGS LÄN</t>
        </is>
      </c>
      <c r="E6098" t="inlineStr">
        <is>
          <t>UPPVIDINGE</t>
        </is>
      </c>
      <c r="G6098" t="n">
        <v>1.5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4453-2024</t>
        </is>
      </c>
      <c r="B6099" s="1" t="n">
        <v>45327.51895833333</v>
      </c>
      <c r="C6099" s="1" t="n">
        <v>45957</v>
      </c>
      <c r="D6099" t="inlineStr">
        <is>
          <t>KRONOBERGS LÄN</t>
        </is>
      </c>
      <c r="E6099" t="inlineStr">
        <is>
          <t>LESSEBO</t>
        </is>
      </c>
      <c r="F6099" t="inlineStr">
        <is>
          <t>Kommuner</t>
        </is>
      </c>
      <c r="G6099" t="n">
        <v>1.6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3850-2022</t>
        </is>
      </c>
      <c r="B6100" s="1" t="n">
        <v>44587.40662037037</v>
      </c>
      <c r="C6100" s="1" t="n">
        <v>45957</v>
      </c>
      <c r="D6100" t="inlineStr">
        <is>
          <t>KRONOBERGS LÄN</t>
        </is>
      </c>
      <c r="E6100" t="inlineStr">
        <is>
          <t>LJUNGBY</t>
        </is>
      </c>
      <c r="G6100" t="n">
        <v>2.3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833-2024</t>
        </is>
      </c>
      <c r="B6101" s="1" t="n">
        <v>45300</v>
      </c>
      <c r="C6101" s="1" t="n">
        <v>45957</v>
      </c>
      <c r="D6101" t="inlineStr">
        <is>
          <t>KRONOBERGS LÄN</t>
        </is>
      </c>
      <c r="E6101" t="inlineStr">
        <is>
          <t>ALVESTA</t>
        </is>
      </c>
      <c r="G6101" t="n">
        <v>2.7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64295-2023</t>
        </is>
      </c>
      <c r="B6102" s="1" t="n">
        <v>45280.34623842593</v>
      </c>
      <c r="C6102" s="1" t="n">
        <v>45957</v>
      </c>
      <c r="D6102" t="inlineStr">
        <is>
          <t>KRONOBERGS LÄN</t>
        </is>
      </c>
      <c r="E6102" t="inlineStr">
        <is>
          <t>VÄXJÖ</t>
        </is>
      </c>
      <c r="G6102" t="n">
        <v>2.2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64338-2023</t>
        </is>
      </c>
      <c r="B6103" s="1" t="n">
        <v>45279</v>
      </c>
      <c r="C6103" s="1" t="n">
        <v>45957</v>
      </c>
      <c r="D6103" t="inlineStr">
        <is>
          <t>KRONOBERGS LÄN</t>
        </is>
      </c>
      <c r="E6103" t="inlineStr">
        <is>
          <t>LJUNGBY</t>
        </is>
      </c>
      <c r="F6103" t="inlineStr">
        <is>
          <t>Kyrkan</t>
        </is>
      </c>
      <c r="G6103" t="n">
        <v>1.8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67310-2020</t>
        </is>
      </c>
      <c r="B6104" s="1" t="n">
        <v>44181</v>
      </c>
      <c r="C6104" s="1" t="n">
        <v>45957</v>
      </c>
      <c r="D6104" t="inlineStr">
        <is>
          <t>KRONOBERGS LÄN</t>
        </is>
      </c>
      <c r="E6104" t="inlineStr">
        <is>
          <t>VÄXJÖ</t>
        </is>
      </c>
      <c r="G6104" t="n">
        <v>4.1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9790-2025</t>
        </is>
      </c>
      <c r="B6105" s="1" t="n">
        <v>45715</v>
      </c>
      <c r="C6105" s="1" t="n">
        <v>45957</v>
      </c>
      <c r="D6105" t="inlineStr">
        <is>
          <t>KRONOBERGS LÄN</t>
        </is>
      </c>
      <c r="E6105" t="inlineStr">
        <is>
          <t>MARKARYD</t>
        </is>
      </c>
      <c r="F6105" t="inlineStr">
        <is>
          <t>Kyrkan</t>
        </is>
      </c>
      <c r="G6105" t="n">
        <v>2.2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51417-2023</t>
        </is>
      </c>
      <c r="B6106" s="1" t="n">
        <v>45219.79758101852</v>
      </c>
      <c r="C6106" s="1" t="n">
        <v>45957</v>
      </c>
      <c r="D6106" t="inlineStr">
        <is>
          <t>KRONOBERGS LÄN</t>
        </is>
      </c>
      <c r="E6106" t="inlineStr">
        <is>
          <t>UPPVIDINGE</t>
        </is>
      </c>
      <c r="G6106" t="n">
        <v>0.6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24935-2023</t>
        </is>
      </c>
      <c r="B6107" s="1" t="n">
        <v>45085.53467592593</v>
      </c>
      <c r="C6107" s="1" t="n">
        <v>45957</v>
      </c>
      <c r="D6107" t="inlineStr">
        <is>
          <t>KRONOBERGS LÄN</t>
        </is>
      </c>
      <c r="E6107" t="inlineStr">
        <is>
          <t>UPPVIDINGE</t>
        </is>
      </c>
      <c r="G6107" t="n">
        <v>0.5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7793-2025</t>
        </is>
      </c>
      <c r="B6108" s="1" t="n">
        <v>45706.59630787037</v>
      </c>
      <c r="C6108" s="1" t="n">
        <v>45957</v>
      </c>
      <c r="D6108" t="inlineStr">
        <is>
          <t>KRONOBERGS LÄN</t>
        </is>
      </c>
      <c r="E6108" t="inlineStr">
        <is>
          <t>ÄLMHULT</t>
        </is>
      </c>
      <c r="G6108" t="n">
        <v>3.6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7720-2025</t>
        </is>
      </c>
      <c r="B6109" s="1" t="n">
        <v>45705</v>
      </c>
      <c r="C6109" s="1" t="n">
        <v>45957</v>
      </c>
      <c r="D6109" t="inlineStr">
        <is>
          <t>KRONOBERGS LÄN</t>
        </is>
      </c>
      <c r="E6109" t="inlineStr">
        <is>
          <t>VÄXJÖ</t>
        </is>
      </c>
      <c r="F6109" t="inlineStr">
        <is>
          <t>Kyrkan</t>
        </is>
      </c>
      <c r="G6109" t="n">
        <v>1.2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8678-2025</t>
        </is>
      </c>
      <c r="B6110" s="1" t="n">
        <v>45711</v>
      </c>
      <c r="C6110" s="1" t="n">
        <v>45957</v>
      </c>
      <c r="D6110" t="inlineStr">
        <is>
          <t>KRONOBERGS LÄN</t>
        </is>
      </c>
      <c r="E6110" t="inlineStr">
        <is>
          <t>TINGSRYD</t>
        </is>
      </c>
      <c r="G6110" t="n">
        <v>1.3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60943-2020</t>
        </is>
      </c>
      <c r="B6111" s="1" t="n">
        <v>44154</v>
      </c>
      <c r="C6111" s="1" t="n">
        <v>45957</v>
      </c>
      <c r="D6111" t="inlineStr">
        <is>
          <t>KRONOBERGS LÄN</t>
        </is>
      </c>
      <c r="E6111" t="inlineStr">
        <is>
          <t>UPPVIDINGE</t>
        </is>
      </c>
      <c r="G6111" t="n">
        <v>2.6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21999-2024</t>
        </is>
      </c>
      <c r="B6112" s="1" t="n">
        <v>45443.56369212963</v>
      </c>
      <c r="C6112" s="1" t="n">
        <v>45957</v>
      </c>
      <c r="D6112" t="inlineStr">
        <is>
          <t>KRONOBERGS LÄN</t>
        </is>
      </c>
      <c r="E6112" t="inlineStr">
        <is>
          <t>ÄLMHULT</t>
        </is>
      </c>
      <c r="G6112" t="n">
        <v>0.6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19072-2024</t>
        </is>
      </c>
      <c r="B6113" s="1" t="n">
        <v>45427.9417824074</v>
      </c>
      <c r="C6113" s="1" t="n">
        <v>45957</v>
      </c>
      <c r="D6113" t="inlineStr">
        <is>
          <t>KRONOBERGS LÄN</t>
        </is>
      </c>
      <c r="E6113" t="inlineStr">
        <is>
          <t>UPPVIDINGE</t>
        </is>
      </c>
      <c r="G6113" t="n">
        <v>0.7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44169-2023</t>
        </is>
      </c>
      <c r="B6114" s="1" t="n">
        <v>45188.49987268518</v>
      </c>
      <c r="C6114" s="1" t="n">
        <v>45957</v>
      </c>
      <c r="D6114" t="inlineStr">
        <is>
          <t>KRONOBERGS LÄN</t>
        </is>
      </c>
      <c r="E6114" t="inlineStr">
        <is>
          <t>LJUNGBY</t>
        </is>
      </c>
      <c r="G6114" t="n">
        <v>1.3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12746-2024</t>
        </is>
      </c>
      <c r="B6115" s="1" t="n">
        <v>45384.54230324074</v>
      </c>
      <c r="C6115" s="1" t="n">
        <v>45957</v>
      </c>
      <c r="D6115" t="inlineStr">
        <is>
          <t>KRONOBERGS LÄN</t>
        </is>
      </c>
      <c r="E6115" t="inlineStr">
        <is>
          <t>ÄLMHULT</t>
        </is>
      </c>
      <c r="F6115" t="inlineStr">
        <is>
          <t>Sveaskog</t>
        </is>
      </c>
      <c r="G6115" t="n">
        <v>2.2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13072-2025</t>
        </is>
      </c>
      <c r="B6116" s="1" t="n">
        <v>45734</v>
      </c>
      <c r="C6116" s="1" t="n">
        <v>45957</v>
      </c>
      <c r="D6116" t="inlineStr">
        <is>
          <t>KRONOBERGS LÄN</t>
        </is>
      </c>
      <c r="E6116" t="inlineStr">
        <is>
          <t>ÄLMHULT</t>
        </is>
      </c>
      <c r="G6116" t="n">
        <v>3.4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13113-2025</t>
        </is>
      </c>
      <c r="B6117" s="1" t="n">
        <v>45734</v>
      </c>
      <c r="C6117" s="1" t="n">
        <v>45957</v>
      </c>
      <c r="D6117" t="inlineStr">
        <is>
          <t>KRONOBERGS LÄN</t>
        </is>
      </c>
      <c r="E6117" t="inlineStr">
        <is>
          <t>ÄLMHULT</t>
        </is>
      </c>
      <c r="G6117" t="n">
        <v>0.8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35224-2024</t>
        </is>
      </c>
      <c r="B6118" s="1" t="n">
        <v>45530.50984953704</v>
      </c>
      <c r="C6118" s="1" t="n">
        <v>45957</v>
      </c>
      <c r="D6118" t="inlineStr">
        <is>
          <t>KRONOBERGS LÄN</t>
        </is>
      </c>
      <c r="E6118" t="inlineStr">
        <is>
          <t>ALVESTA</t>
        </is>
      </c>
      <c r="G6118" t="n">
        <v>1.3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9177-2025</t>
        </is>
      </c>
      <c r="B6119" s="1" t="n">
        <v>45714.41549768519</v>
      </c>
      <c r="C6119" s="1" t="n">
        <v>45957</v>
      </c>
      <c r="D6119" t="inlineStr">
        <is>
          <t>KRONOBERGS LÄN</t>
        </is>
      </c>
      <c r="E6119" t="inlineStr">
        <is>
          <t>VÄXJÖ</t>
        </is>
      </c>
      <c r="G6119" t="n">
        <v>0.7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6326-2024</t>
        </is>
      </c>
      <c r="B6120" s="1" t="n">
        <v>45338</v>
      </c>
      <c r="C6120" s="1" t="n">
        <v>45957</v>
      </c>
      <c r="D6120" t="inlineStr">
        <is>
          <t>KRONOBERGS LÄN</t>
        </is>
      </c>
      <c r="E6120" t="inlineStr">
        <is>
          <t>UPPVIDINGE</t>
        </is>
      </c>
      <c r="F6120" t="inlineStr">
        <is>
          <t>Sveaskog</t>
        </is>
      </c>
      <c r="G6120" t="n">
        <v>0.2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6332-2024</t>
        </is>
      </c>
      <c r="B6121" s="1" t="n">
        <v>45338</v>
      </c>
      <c r="C6121" s="1" t="n">
        <v>45957</v>
      </c>
      <c r="D6121" t="inlineStr">
        <is>
          <t>KRONOBERGS LÄN</t>
        </is>
      </c>
      <c r="E6121" t="inlineStr">
        <is>
          <t>UPPVIDINGE</t>
        </is>
      </c>
      <c r="F6121" t="inlineStr">
        <is>
          <t>Sveaskog</t>
        </is>
      </c>
      <c r="G6121" t="n">
        <v>0.2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5846-2021</t>
        </is>
      </c>
      <c r="B6122" s="1" t="n">
        <v>44231</v>
      </c>
      <c r="C6122" s="1" t="n">
        <v>45957</v>
      </c>
      <c r="D6122" t="inlineStr">
        <is>
          <t>KRONOBERGS LÄN</t>
        </is>
      </c>
      <c r="E6122" t="inlineStr">
        <is>
          <t>VÄXJÖ</t>
        </is>
      </c>
      <c r="G6122" t="n">
        <v>1.8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21969-2023</t>
        </is>
      </c>
      <c r="B6123" s="1" t="n">
        <v>45068.66135416667</v>
      </c>
      <c r="C6123" s="1" t="n">
        <v>45957</v>
      </c>
      <c r="D6123" t="inlineStr">
        <is>
          <t>KRONOBERGS LÄN</t>
        </is>
      </c>
      <c r="E6123" t="inlineStr">
        <is>
          <t>LJUNGBY</t>
        </is>
      </c>
      <c r="F6123" t="inlineStr">
        <is>
          <t>Kommuner</t>
        </is>
      </c>
      <c r="G6123" t="n">
        <v>8.9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25774-2024</t>
        </is>
      </c>
      <c r="B6124" s="1" t="n">
        <v>45466.61302083333</v>
      </c>
      <c r="C6124" s="1" t="n">
        <v>45957</v>
      </c>
      <c r="D6124" t="inlineStr">
        <is>
          <t>KRONOBERGS LÄN</t>
        </is>
      </c>
      <c r="E6124" t="inlineStr">
        <is>
          <t>TINGSRYD</t>
        </is>
      </c>
      <c r="G6124" t="n">
        <v>0.6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15202-2025</t>
        </is>
      </c>
      <c r="B6125" s="1" t="n">
        <v>45744.56912037037</v>
      </c>
      <c r="C6125" s="1" t="n">
        <v>45957</v>
      </c>
      <c r="D6125" t="inlineStr">
        <is>
          <t>KRONOBERGS LÄN</t>
        </is>
      </c>
      <c r="E6125" t="inlineStr">
        <is>
          <t>LJUNGBY</t>
        </is>
      </c>
      <c r="F6125" t="inlineStr">
        <is>
          <t>Sveaskog</t>
        </is>
      </c>
      <c r="G6125" t="n">
        <v>18.6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20431-2025</t>
        </is>
      </c>
      <c r="B6126" s="1" t="n">
        <v>45775.47883101852</v>
      </c>
      <c r="C6126" s="1" t="n">
        <v>45957</v>
      </c>
      <c r="D6126" t="inlineStr">
        <is>
          <t>KRONOBERGS LÄN</t>
        </is>
      </c>
      <c r="E6126" t="inlineStr">
        <is>
          <t>LESSEBO</t>
        </is>
      </c>
      <c r="F6126" t="inlineStr">
        <is>
          <t>Sveaskog</t>
        </is>
      </c>
      <c r="G6126" t="n">
        <v>0.5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63395-2023</t>
        </is>
      </c>
      <c r="B6127" s="1" t="n">
        <v>45274</v>
      </c>
      <c r="C6127" s="1" t="n">
        <v>45957</v>
      </c>
      <c r="D6127" t="inlineStr">
        <is>
          <t>KRONOBERGS LÄN</t>
        </is>
      </c>
      <c r="E6127" t="inlineStr">
        <is>
          <t>LJUNGBY</t>
        </is>
      </c>
      <c r="G6127" t="n">
        <v>1.1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18961-2025</t>
        </is>
      </c>
      <c r="B6128" s="1" t="n">
        <v>45764.52859953704</v>
      </c>
      <c r="C6128" s="1" t="n">
        <v>45957</v>
      </c>
      <c r="D6128" t="inlineStr">
        <is>
          <t>KRONOBERGS LÄN</t>
        </is>
      </c>
      <c r="E6128" t="inlineStr">
        <is>
          <t>LJUNGBY</t>
        </is>
      </c>
      <c r="G6128" t="n">
        <v>1.9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62244-2023</t>
        </is>
      </c>
      <c r="B6129" s="1" t="n">
        <v>45267.60236111111</v>
      </c>
      <c r="C6129" s="1" t="n">
        <v>45957</v>
      </c>
      <c r="D6129" t="inlineStr">
        <is>
          <t>KRONOBERGS LÄN</t>
        </is>
      </c>
      <c r="E6129" t="inlineStr">
        <is>
          <t>VÄXJÖ</t>
        </is>
      </c>
      <c r="G6129" t="n">
        <v>0.6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19005-2025</t>
        </is>
      </c>
      <c r="B6130" s="1" t="n">
        <v>45764.5834837963</v>
      </c>
      <c r="C6130" s="1" t="n">
        <v>45957</v>
      </c>
      <c r="D6130" t="inlineStr">
        <is>
          <t>KRONOBERGS LÄN</t>
        </is>
      </c>
      <c r="E6130" t="inlineStr">
        <is>
          <t>VÄXJÖ</t>
        </is>
      </c>
      <c r="G6130" t="n">
        <v>0.7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64509-2023</t>
        </is>
      </c>
      <c r="B6131" s="1" t="n">
        <v>45281.30091435185</v>
      </c>
      <c r="C6131" s="1" t="n">
        <v>45957</v>
      </c>
      <c r="D6131" t="inlineStr">
        <is>
          <t>KRONOBERGS LÄN</t>
        </is>
      </c>
      <c r="E6131" t="inlineStr">
        <is>
          <t>MARKARYD</t>
        </is>
      </c>
      <c r="G6131" t="n">
        <v>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20858-2024</t>
        </is>
      </c>
      <c r="B6132" s="1" t="n">
        <v>45439.42700231481</v>
      </c>
      <c r="C6132" s="1" t="n">
        <v>45957</v>
      </c>
      <c r="D6132" t="inlineStr">
        <is>
          <t>KRONOBERGS LÄN</t>
        </is>
      </c>
      <c r="E6132" t="inlineStr">
        <is>
          <t>TINGSRYD</t>
        </is>
      </c>
      <c r="G6132" t="n">
        <v>1.9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5223-2025</t>
        </is>
      </c>
      <c r="B6133" s="1" t="n">
        <v>45691.71813657408</v>
      </c>
      <c r="C6133" s="1" t="n">
        <v>45957</v>
      </c>
      <c r="D6133" t="inlineStr">
        <is>
          <t>KRONOBERGS LÄN</t>
        </is>
      </c>
      <c r="E6133" t="inlineStr">
        <is>
          <t>TINGSRYD</t>
        </is>
      </c>
      <c r="F6133" t="inlineStr">
        <is>
          <t>Sveaskog</t>
        </is>
      </c>
      <c r="G6133" t="n">
        <v>0.5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12260-2023</t>
        </is>
      </c>
      <c r="B6134" s="1" t="n">
        <v>44998.66505787037</v>
      </c>
      <c r="C6134" s="1" t="n">
        <v>45957</v>
      </c>
      <c r="D6134" t="inlineStr">
        <is>
          <t>KRONOBERGS LÄN</t>
        </is>
      </c>
      <c r="E6134" t="inlineStr">
        <is>
          <t>ALVESTA</t>
        </is>
      </c>
      <c r="G6134" t="n">
        <v>0.8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9687-2025</t>
        </is>
      </c>
      <c r="B6135" s="1" t="n">
        <v>45716.3528125</v>
      </c>
      <c r="C6135" s="1" t="n">
        <v>45957</v>
      </c>
      <c r="D6135" t="inlineStr">
        <is>
          <t>KRONOBERGS LÄN</t>
        </is>
      </c>
      <c r="E6135" t="inlineStr">
        <is>
          <t>UPPVIDINGE</t>
        </is>
      </c>
      <c r="F6135" t="inlineStr">
        <is>
          <t>Sveaskog</t>
        </is>
      </c>
      <c r="G6135" t="n">
        <v>0.8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37694-2024</t>
        </is>
      </c>
      <c r="B6136" s="1" t="n">
        <v>45541.6099537037</v>
      </c>
      <c r="C6136" s="1" t="n">
        <v>45957</v>
      </c>
      <c r="D6136" t="inlineStr">
        <is>
          <t>KRONOBERGS LÄN</t>
        </is>
      </c>
      <c r="E6136" t="inlineStr">
        <is>
          <t>VÄXJÖ</t>
        </is>
      </c>
      <c r="G6136" t="n">
        <v>0.6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38976-2024</t>
        </is>
      </c>
      <c r="B6137" s="1" t="n">
        <v>45548.38636574074</v>
      </c>
      <c r="C6137" s="1" t="n">
        <v>45957</v>
      </c>
      <c r="D6137" t="inlineStr">
        <is>
          <t>KRONOBERGS LÄN</t>
        </is>
      </c>
      <c r="E6137" t="inlineStr">
        <is>
          <t>LJUNGBY</t>
        </is>
      </c>
      <c r="G6137" t="n">
        <v>1.1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54466-2021</t>
        </is>
      </c>
      <c r="B6138" s="1" t="n">
        <v>44473.47971064815</v>
      </c>
      <c r="C6138" s="1" t="n">
        <v>45957</v>
      </c>
      <c r="D6138" t="inlineStr">
        <is>
          <t>KRONOBERGS LÄN</t>
        </is>
      </c>
      <c r="E6138" t="inlineStr">
        <is>
          <t>TINGSRYD</t>
        </is>
      </c>
      <c r="G6138" t="n">
        <v>1.4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15369-2023</t>
        </is>
      </c>
      <c r="B6139" s="1" t="n">
        <v>45019.59747685185</v>
      </c>
      <c r="C6139" s="1" t="n">
        <v>45957</v>
      </c>
      <c r="D6139" t="inlineStr">
        <is>
          <t>KRONOBERGS LÄN</t>
        </is>
      </c>
      <c r="E6139" t="inlineStr">
        <is>
          <t>VÄXJÖ</t>
        </is>
      </c>
      <c r="G6139" t="n">
        <v>5.7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15406-2023</t>
        </is>
      </c>
      <c r="B6140" s="1" t="n">
        <v>45019</v>
      </c>
      <c r="C6140" s="1" t="n">
        <v>45957</v>
      </c>
      <c r="D6140" t="inlineStr">
        <is>
          <t>KRONOBERGS LÄN</t>
        </is>
      </c>
      <c r="E6140" t="inlineStr">
        <is>
          <t>UPPVIDINGE</t>
        </is>
      </c>
      <c r="G6140" t="n">
        <v>3.7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56821-2022</t>
        </is>
      </c>
      <c r="B6141" s="1" t="n">
        <v>44894</v>
      </c>
      <c r="C6141" s="1" t="n">
        <v>45957</v>
      </c>
      <c r="D6141" t="inlineStr">
        <is>
          <t>KRONOBERGS LÄN</t>
        </is>
      </c>
      <c r="E6141" t="inlineStr">
        <is>
          <t>VÄXJÖ</t>
        </is>
      </c>
      <c r="G6141" t="n">
        <v>1.6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52844-2024</t>
        </is>
      </c>
      <c r="B6142" s="1" t="n">
        <v>45610.60157407408</v>
      </c>
      <c r="C6142" s="1" t="n">
        <v>45957</v>
      </c>
      <c r="D6142" t="inlineStr">
        <is>
          <t>KRONOBERGS LÄN</t>
        </is>
      </c>
      <c r="E6142" t="inlineStr">
        <is>
          <t>LJUNGBY</t>
        </is>
      </c>
      <c r="G6142" t="n">
        <v>1.6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15175-2023</t>
        </is>
      </c>
      <c r="B6143" s="1" t="n">
        <v>45016.62603009259</v>
      </c>
      <c r="C6143" s="1" t="n">
        <v>45957</v>
      </c>
      <c r="D6143" t="inlineStr">
        <is>
          <t>KRONOBERGS LÄN</t>
        </is>
      </c>
      <c r="E6143" t="inlineStr">
        <is>
          <t>VÄXJÖ</t>
        </is>
      </c>
      <c r="G6143" t="n">
        <v>0.7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33817-2022</t>
        </is>
      </c>
      <c r="B6144" s="1" t="n">
        <v>44790</v>
      </c>
      <c r="C6144" s="1" t="n">
        <v>45957</v>
      </c>
      <c r="D6144" t="inlineStr">
        <is>
          <t>KRONOBERGS LÄN</t>
        </is>
      </c>
      <c r="E6144" t="inlineStr">
        <is>
          <t>TINGSRYD</t>
        </is>
      </c>
      <c r="G6144" t="n">
        <v>1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40059-2021</t>
        </is>
      </c>
      <c r="B6145" s="1" t="n">
        <v>44418</v>
      </c>
      <c r="C6145" s="1" t="n">
        <v>45957</v>
      </c>
      <c r="D6145" t="inlineStr">
        <is>
          <t>KRONOBERGS LÄN</t>
        </is>
      </c>
      <c r="E6145" t="inlineStr">
        <is>
          <t>MARKARYD</t>
        </is>
      </c>
      <c r="F6145" t="inlineStr">
        <is>
          <t>Kommuner</t>
        </is>
      </c>
      <c r="G6145" t="n">
        <v>1.7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41126-2024</t>
        </is>
      </c>
      <c r="B6146" s="1" t="n">
        <v>45559</v>
      </c>
      <c r="C6146" s="1" t="n">
        <v>45957</v>
      </c>
      <c r="D6146" t="inlineStr">
        <is>
          <t>KRONOBERGS LÄN</t>
        </is>
      </c>
      <c r="E6146" t="inlineStr">
        <is>
          <t>TINGSRYD</t>
        </is>
      </c>
      <c r="G6146" t="n">
        <v>0.6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1476-2025</t>
        </is>
      </c>
      <c r="B6147" s="1" t="n">
        <v>45670.3792824074</v>
      </c>
      <c r="C6147" s="1" t="n">
        <v>45957</v>
      </c>
      <c r="D6147" t="inlineStr">
        <is>
          <t>KRONOBERGS LÄN</t>
        </is>
      </c>
      <c r="E6147" t="inlineStr">
        <is>
          <t>UPPVIDINGE</t>
        </is>
      </c>
      <c r="G6147" t="n">
        <v>5.2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49084-2024</t>
        </is>
      </c>
      <c r="B6148" s="1" t="n">
        <v>45594.6306712963</v>
      </c>
      <c r="C6148" s="1" t="n">
        <v>45957</v>
      </c>
      <c r="D6148" t="inlineStr">
        <is>
          <t>KRONOBERGS LÄN</t>
        </is>
      </c>
      <c r="E6148" t="inlineStr">
        <is>
          <t>LJUNGBY</t>
        </is>
      </c>
      <c r="G6148" t="n">
        <v>0.4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23590-2023</t>
        </is>
      </c>
      <c r="B6149" s="1" t="n">
        <v>45077.43420138889</v>
      </c>
      <c r="C6149" s="1" t="n">
        <v>45957</v>
      </c>
      <c r="D6149" t="inlineStr">
        <is>
          <t>KRONOBERGS LÄN</t>
        </is>
      </c>
      <c r="E6149" t="inlineStr">
        <is>
          <t>LJUNGBY</t>
        </is>
      </c>
      <c r="G6149" t="n">
        <v>0.6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59082-2024</t>
        </is>
      </c>
      <c r="B6150" s="1" t="n">
        <v>45637.3090162037</v>
      </c>
      <c r="C6150" s="1" t="n">
        <v>45957</v>
      </c>
      <c r="D6150" t="inlineStr">
        <is>
          <t>KRONOBERGS LÄN</t>
        </is>
      </c>
      <c r="E6150" t="inlineStr">
        <is>
          <t>TINGSRYD</t>
        </is>
      </c>
      <c r="F6150" t="inlineStr">
        <is>
          <t>Övriga Aktiebolag</t>
        </is>
      </c>
      <c r="G6150" t="n">
        <v>0.6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59092-2024</t>
        </is>
      </c>
      <c r="B6151" s="1" t="n">
        <v>45637.31978009259</v>
      </c>
      <c r="C6151" s="1" t="n">
        <v>45957</v>
      </c>
      <c r="D6151" t="inlineStr">
        <is>
          <t>KRONOBERGS LÄN</t>
        </is>
      </c>
      <c r="E6151" t="inlineStr">
        <is>
          <t>TINGSRYD</t>
        </is>
      </c>
      <c r="F6151" t="inlineStr">
        <is>
          <t>Övriga Aktiebolag</t>
        </is>
      </c>
      <c r="G6151" t="n">
        <v>2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45386-2022</t>
        </is>
      </c>
      <c r="B6152" s="1" t="n">
        <v>44844.66922453704</v>
      </c>
      <c r="C6152" s="1" t="n">
        <v>45957</v>
      </c>
      <c r="D6152" t="inlineStr">
        <is>
          <t>KRONOBERGS LÄN</t>
        </is>
      </c>
      <c r="E6152" t="inlineStr">
        <is>
          <t>MARKARYD</t>
        </is>
      </c>
      <c r="F6152" t="inlineStr">
        <is>
          <t>Sveaskog</t>
        </is>
      </c>
      <c r="G6152" t="n">
        <v>3.7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45387-2022</t>
        </is>
      </c>
      <c r="B6153" s="1" t="n">
        <v>44844.67142361111</v>
      </c>
      <c r="C6153" s="1" t="n">
        <v>45957</v>
      </c>
      <c r="D6153" t="inlineStr">
        <is>
          <t>KRONOBERGS LÄN</t>
        </is>
      </c>
      <c r="E6153" t="inlineStr">
        <is>
          <t>UPPVIDINGE</t>
        </is>
      </c>
      <c r="G6153" t="n">
        <v>0.8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62122-2022</t>
        </is>
      </c>
      <c r="B6154" s="1" t="n">
        <v>44921.82634259259</v>
      </c>
      <c r="C6154" s="1" t="n">
        <v>45957</v>
      </c>
      <c r="D6154" t="inlineStr">
        <is>
          <t>KRONOBERGS LÄN</t>
        </is>
      </c>
      <c r="E6154" t="inlineStr">
        <is>
          <t>ÄLMHULT</t>
        </is>
      </c>
      <c r="G6154" t="n">
        <v>0.6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30405-2023</t>
        </is>
      </c>
      <c r="B6155" s="1" t="n">
        <v>45111.48731481482</v>
      </c>
      <c r="C6155" s="1" t="n">
        <v>45957</v>
      </c>
      <c r="D6155" t="inlineStr">
        <is>
          <t>KRONOBERGS LÄN</t>
        </is>
      </c>
      <c r="E6155" t="inlineStr">
        <is>
          <t>LESSEBO</t>
        </is>
      </c>
      <c r="G6155" t="n">
        <v>4.3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42489-2023</t>
        </is>
      </c>
      <c r="B6156" s="1" t="n">
        <v>45180.86666666667</v>
      </c>
      <c r="C6156" s="1" t="n">
        <v>45957</v>
      </c>
      <c r="D6156" t="inlineStr">
        <is>
          <t>KRONOBERGS LÄN</t>
        </is>
      </c>
      <c r="E6156" t="inlineStr">
        <is>
          <t>ÄLMHULT</t>
        </is>
      </c>
      <c r="G6156" t="n">
        <v>1.6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21023-2023</t>
        </is>
      </c>
      <c r="B6157" s="1" t="n">
        <v>45061</v>
      </c>
      <c r="C6157" s="1" t="n">
        <v>45957</v>
      </c>
      <c r="D6157" t="inlineStr">
        <is>
          <t>KRONOBERGS LÄN</t>
        </is>
      </c>
      <c r="E6157" t="inlineStr">
        <is>
          <t>VÄXJÖ</t>
        </is>
      </c>
      <c r="G6157" t="n">
        <v>0.5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61282-2023</t>
        </is>
      </c>
      <c r="B6158" s="1" t="n">
        <v>45264</v>
      </c>
      <c r="C6158" s="1" t="n">
        <v>45957</v>
      </c>
      <c r="D6158" t="inlineStr">
        <is>
          <t>KRONOBERGS LÄN</t>
        </is>
      </c>
      <c r="E6158" t="inlineStr">
        <is>
          <t>ALVESTA</t>
        </is>
      </c>
      <c r="G6158" t="n">
        <v>2.4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33115-2021</t>
        </is>
      </c>
      <c r="B6159" s="1" t="n">
        <v>44376</v>
      </c>
      <c r="C6159" s="1" t="n">
        <v>45957</v>
      </c>
      <c r="D6159" t="inlineStr">
        <is>
          <t>KRONOBERGS LÄN</t>
        </is>
      </c>
      <c r="E6159" t="inlineStr">
        <is>
          <t>LJUNGBY</t>
        </is>
      </c>
      <c r="G6159" t="n">
        <v>2.1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12339-2024</t>
        </is>
      </c>
      <c r="B6160" s="1" t="n">
        <v>45378.73694444444</v>
      </c>
      <c r="C6160" s="1" t="n">
        <v>45957</v>
      </c>
      <c r="D6160" t="inlineStr">
        <is>
          <t>KRONOBERGS LÄN</t>
        </is>
      </c>
      <c r="E6160" t="inlineStr">
        <is>
          <t>ÄLMHULT</t>
        </is>
      </c>
      <c r="G6160" t="n">
        <v>2.8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39022-2022</t>
        </is>
      </c>
      <c r="B6161" s="1" t="n">
        <v>44817</v>
      </c>
      <c r="C6161" s="1" t="n">
        <v>45957</v>
      </c>
      <c r="D6161" t="inlineStr">
        <is>
          <t>KRONOBERGS LÄN</t>
        </is>
      </c>
      <c r="E6161" t="inlineStr">
        <is>
          <t>ÄLMHULT</t>
        </is>
      </c>
      <c r="G6161" t="n">
        <v>1.3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53768-2024</t>
        </is>
      </c>
      <c r="B6162" s="1" t="n">
        <v>45615.52596064815</v>
      </c>
      <c r="C6162" s="1" t="n">
        <v>45957</v>
      </c>
      <c r="D6162" t="inlineStr">
        <is>
          <t>KRONOBERGS LÄN</t>
        </is>
      </c>
      <c r="E6162" t="inlineStr">
        <is>
          <t>TINGSRYD</t>
        </is>
      </c>
      <c r="G6162" t="n">
        <v>0.6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15576-2025</t>
        </is>
      </c>
      <c r="B6163" s="1" t="n">
        <v>45747</v>
      </c>
      <c r="C6163" s="1" t="n">
        <v>45957</v>
      </c>
      <c r="D6163" t="inlineStr">
        <is>
          <t>KRONOBERGS LÄN</t>
        </is>
      </c>
      <c r="E6163" t="inlineStr">
        <is>
          <t>LJUNGBY</t>
        </is>
      </c>
      <c r="G6163" t="n">
        <v>2.7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9336-2025</t>
        </is>
      </c>
      <c r="B6164" s="1" t="n">
        <v>45714.80880787037</v>
      </c>
      <c r="C6164" s="1" t="n">
        <v>45957</v>
      </c>
      <c r="D6164" t="inlineStr">
        <is>
          <t>KRONOBERGS LÄN</t>
        </is>
      </c>
      <c r="E6164" t="inlineStr">
        <is>
          <t>LJUNGBY</t>
        </is>
      </c>
      <c r="G6164" t="n">
        <v>0.7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41500-2024</t>
        </is>
      </c>
      <c r="B6165" s="1" t="n">
        <v>45560.46328703704</v>
      </c>
      <c r="C6165" s="1" t="n">
        <v>45957</v>
      </c>
      <c r="D6165" t="inlineStr">
        <is>
          <t>KRONOBERGS LÄN</t>
        </is>
      </c>
      <c r="E6165" t="inlineStr">
        <is>
          <t>VÄXJÖ</t>
        </is>
      </c>
      <c r="G6165" t="n">
        <v>1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346-2022</t>
        </is>
      </c>
      <c r="B6166" s="1" t="n">
        <v>44565.61265046296</v>
      </c>
      <c r="C6166" s="1" t="n">
        <v>45957</v>
      </c>
      <c r="D6166" t="inlineStr">
        <is>
          <t>KRONOBERGS LÄN</t>
        </is>
      </c>
      <c r="E6166" t="inlineStr">
        <is>
          <t>LJUNGBY</t>
        </is>
      </c>
      <c r="G6166" t="n">
        <v>2.6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19044-2025</t>
        </is>
      </c>
      <c r="B6167" s="1" t="n">
        <v>45764</v>
      </c>
      <c r="C6167" s="1" t="n">
        <v>45957</v>
      </c>
      <c r="D6167" t="inlineStr">
        <is>
          <t>KRONOBERGS LÄN</t>
        </is>
      </c>
      <c r="E6167" t="inlineStr">
        <is>
          <t>UPPVIDINGE</t>
        </is>
      </c>
      <c r="F6167" t="inlineStr">
        <is>
          <t>Sveaskog</t>
        </is>
      </c>
      <c r="G6167" t="n">
        <v>3.7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36780-2021</t>
        </is>
      </c>
      <c r="B6168" s="1" t="n">
        <v>44392.68070601852</v>
      </c>
      <c r="C6168" s="1" t="n">
        <v>45957</v>
      </c>
      <c r="D6168" t="inlineStr">
        <is>
          <t>KRONOBERGS LÄN</t>
        </is>
      </c>
      <c r="E6168" t="inlineStr">
        <is>
          <t>UPPVIDINGE</t>
        </is>
      </c>
      <c r="G6168" t="n">
        <v>8.4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17597-2023</t>
        </is>
      </c>
      <c r="B6169" s="1" t="n">
        <v>45036.60653935185</v>
      </c>
      <c r="C6169" s="1" t="n">
        <v>45957</v>
      </c>
      <c r="D6169" t="inlineStr">
        <is>
          <t>KRONOBERGS LÄN</t>
        </is>
      </c>
      <c r="E6169" t="inlineStr">
        <is>
          <t>VÄXJÖ</t>
        </is>
      </c>
      <c r="G6169" t="n">
        <v>1.2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17635-2023</t>
        </is>
      </c>
      <c r="B6170" s="1" t="n">
        <v>45036.6734375</v>
      </c>
      <c r="C6170" s="1" t="n">
        <v>45957</v>
      </c>
      <c r="D6170" t="inlineStr">
        <is>
          <t>KRONOBERGS LÄN</t>
        </is>
      </c>
      <c r="E6170" t="inlineStr">
        <is>
          <t>LJUNGBY</t>
        </is>
      </c>
      <c r="G6170" t="n">
        <v>0.8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54910-2022</t>
        </is>
      </c>
      <c r="B6171" s="1" t="n">
        <v>44886</v>
      </c>
      <c r="C6171" s="1" t="n">
        <v>45957</v>
      </c>
      <c r="D6171" t="inlineStr">
        <is>
          <t>KRONOBERGS LÄN</t>
        </is>
      </c>
      <c r="E6171" t="inlineStr">
        <is>
          <t>LJUNGBY</t>
        </is>
      </c>
      <c r="G6171" t="n">
        <v>3.3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60119-2022</t>
        </is>
      </c>
      <c r="B6172" s="1" t="n">
        <v>44909.65577546296</v>
      </c>
      <c r="C6172" s="1" t="n">
        <v>45957</v>
      </c>
      <c r="D6172" t="inlineStr">
        <is>
          <t>KRONOBERGS LÄN</t>
        </is>
      </c>
      <c r="E6172" t="inlineStr">
        <is>
          <t>VÄXJÖ</t>
        </is>
      </c>
      <c r="F6172" t="inlineStr">
        <is>
          <t>Sveaskog</t>
        </is>
      </c>
      <c r="G6172" t="n">
        <v>1.3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11131-2025</t>
        </is>
      </c>
      <c r="B6173" s="1" t="n">
        <v>45723.64875</v>
      </c>
      <c r="C6173" s="1" t="n">
        <v>45957</v>
      </c>
      <c r="D6173" t="inlineStr">
        <is>
          <t>KRONOBERGS LÄN</t>
        </is>
      </c>
      <c r="E6173" t="inlineStr">
        <is>
          <t>ALVESTA</t>
        </is>
      </c>
      <c r="G6173" t="n">
        <v>2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23160-2023</t>
        </is>
      </c>
      <c r="B6174" s="1" t="n">
        <v>45075.53265046296</v>
      </c>
      <c r="C6174" s="1" t="n">
        <v>45957</v>
      </c>
      <c r="D6174" t="inlineStr">
        <is>
          <t>KRONOBERGS LÄN</t>
        </is>
      </c>
      <c r="E6174" t="inlineStr">
        <is>
          <t>LJUNGBY</t>
        </is>
      </c>
      <c r="G6174" t="n">
        <v>3.6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37393-2024</t>
        </is>
      </c>
      <c r="B6175" s="1" t="n">
        <v>45540.59579861111</v>
      </c>
      <c r="C6175" s="1" t="n">
        <v>45957</v>
      </c>
      <c r="D6175" t="inlineStr">
        <is>
          <t>KRONOBERGS LÄN</t>
        </is>
      </c>
      <c r="E6175" t="inlineStr">
        <is>
          <t>TINGSRYD</t>
        </is>
      </c>
      <c r="G6175" t="n">
        <v>1.2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60730-2024</t>
        </is>
      </c>
      <c r="B6176" s="1" t="n">
        <v>45642</v>
      </c>
      <c r="C6176" s="1" t="n">
        <v>45957</v>
      </c>
      <c r="D6176" t="inlineStr">
        <is>
          <t>KRONOBERGS LÄN</t>
        </is>
      </c>
      <c r="E6176" t="inlineStr">
        <is>
          <t>UPPVIDINGE</t>
        </is>
      </c>
      <c r="G6176" t="n">
        <v>1.5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58781-2024</t>
        </is>
      </c>
      <c r="B6177" s="1" t="n">
        <v>45635.84936342593</v>
      </c>
      <c r="C6177" s="1" t="n">
        <v>45957</v>
      </c>
      <c r="D6177" t="inlineStr">
        <is>
          <t>KRONOBERGS LÄN</t>
        </is>
      </c>
      <c r="E6177" t="inlineStr">
        <is>
          <t>LJUNGBY</t>
        </is>
      </c>
      <c r="G6177" t="n">
        <v>0.8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9244-2024</t>
        </is>
      </c>
      <c r="B6178" s="1" t="n">
        <v>45358</v>
      </c>
      <c r="C6178" s="1" t="n">
        <v>45957</v>
      </c>
      <c r="D6178" t="inlineStr">
        <is>
          <t>KRONOBERGS LÄN</t>
        </is>
      </c>
      <c r="E6178" t="inlineStr">
        <is>
          <t>ALVESTA</t>
        </is>
      </c>
      <c r="G6178" t="n">
        <v>1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9165-2025</t>
        </is>
      </c>
      <c r="B6179" s="1" t="n">
        <v>45714.37306712963</v>
      </c>
      <c r="C6179" s="1" t="n">
        <v>45957</v>
      </c>
      <c r="D6179" t="inlineStr">
        <is>
          <t>KRONOBERGS LÄN</t>
        </is>
      </c>
      <c r="E6179" t="inlineStr">
        <is>
          <t>UPPVIDINGE</t>
        </is>
      </c>
      <c r="G6179" t="n">
        <v>1.5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45229-2024</t>
        </is>
      </c>
      <c r="B6180" s="1" t="n">
        <v>45575.84530092592</v>
      </c>
      <c r="C6180" s="1" t="n">
        <v>45957</v>
      </c>
      <c r="D6180" t="inlineStr">
        <is>
          <t>KRONOBERGS LÄN</t>
        </is>
      </c>
      <c r="E6180" t="inlineStr">
        <is>
          <t>UPPVIDINGE</t>
        </is>
      </c>
      <c r="G6180" t="n">
        <v>4.3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3527-2022</t>
        </is>
      </c>
      <c r="B6181" s="1" t="n">
        <v>44585</v>
      </c>
      <c r="C6181" s="1" t="n">
        <v>45957</v>
      </c>
      <c r="D6181" t="inlineStr">
        <is>
          <t>KRONOBERGS LÄN</t>
        </is>
      </c>
      <c r="E6181" t="inlineStr">
        <is>
          <t>LJUNGBY</t>
        </is>
      </c>
      <c r="G6181" t="n">
        <v>0.2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50017-2024</t>
        </is>
      </c>
      <c r="B6182" s="1" t="n">
        <v>45599.3781712963</v>
      </c>
      <c r="C6182" s="1" t="n">
        <v>45957</v>
      </c>
      <c r="D6182" t="inlineStr">
        <is>
          <t>KRONOBERGS LÄN</t>
        </is>
      </c>
      <c r="E6182" t="inlineStr">
        <is>
          <t>VÄXJÖ</t>
        </is>
      </c>
      <c r="G6182" t="n">
        <v>1.3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24302-2024</t>
        </is>
      </c>
      <c r="B6183" s="1" t="n">
        <v>45457</v>
      </c>
      <c r="C6183" s="1" t="n">
        <v>45957</v>
      </c>
      <c r="D6183" t="inlineStr">
        <is>
          <t>KRONOBERGS LÄN</t>
        </is>
      </c>
      <c r="E6183" t="inlineStr">
        <is>
          <t>TINGSRYD</t>
        </is>
      </c>
      <c r="G6183" t="n">
        <v>3.5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62223-2023</t>
        </is>
      </c>
      <c r="B6184" s="1" t="n">
        <v>45267.54905092593</v>
      </c>
      <c r="C6184" s="1" t="n">
        <v>45957</v>
      </c>
      <c r="D6184" t="inlineStr">
        <is>
          <t>KRONOBERGS LÄN</t>
        </is>
      </c>
      <c r="E6184" t="inlineStr">
        <is>
          <t>TINGSRYD</t>
        </is>
      </c>
      <c r="G6184" t="n">
        <v>2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54984-2024</t>
        </is>
      </c>
      <c r="B6185" s="1" t="n">
        <v>45620.82185185186</v>
      </c>
      <c r="C6185" s="1" t="n">
        <v>45957</v>
      </c>
      <c r="D6185" t="inlineStr">
        <is>
          <t>KRONOBERGS LÄN</t>
        </is>
      </c>
      <c r="E6185" t="inlineStr">
        <is>
          <t>LJUNGBY</t>
        </is>
      </c>
      <c r="G6185" t="n">
        <v>5.5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24390-2023</t>
        </is>
      </c>
      <c r="B6186" s="1" t="n">
        <v>45082</v>
      </c>
      <c r="C6186" s="1" t="n">
        <v>45957</v>
      </c>
      <c r="D6186" t="inlineStr">
        <is>
          <t>KRONOBERGS LÄN</t>
        </is>
      </c>
      <c r="E6186" t="inlineStr">
        <is>
          <t>TINGSRYD</t>
        </is>
      </c>
      <c r="G6186" t="n">
        <v>1.1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24395-2023</t>
        </is>
      </c>
      <c r="B6187" s="1" t="n">
        <v>45082.41980324074</v>
      </c>
      <c r="C6187" s="1" t="n">
        <v>45957</v>
      </c>
      <c r="D6187" t="inlineStr">
        <is>
          <t>KRONOBERGS LÄN</t>
        </is>
      </c>
      <c r="E6187" t="inlineStr">
        <is>
          <t>TINGSRYD</t>
        </is>
      </c>
      <c r="G6187" t="n">
        <v>2.2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17927-2025</t>
        </is>
      </c>
      <c r="B6188" s="1" t="n">
        <v>45759.41274305555</v>
      </c>
      <c r="C6188" s="1" t="n">
        <v>45957</v>
      </c>
      <c r="D6188" t="inlineStr">
        <is>
          <t>KRONOBERGS LÄN</t>
        </is>
      </c>
      <c r="E6188" t="inlineStr">
        <is>
          <t>ÄLMHULT</t>
        </is>
      </c>
      <c r="G6188" t="n">
        <v>1.8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16955-2025</t>
        </is>
      </c>
      <c r="B6189" s="1" t="n">
        <v>45755</v>
      </c>
      <c r="C6189" s="1" t="n">
        <v>45957</v>
      </c>
      <c r="D6189" t="inlineStr">
        <is>
          <t>KRONOBERGS LÄN</t>
        </is>
      </c>
      <c r="E6189" t="inlineStr">
        <is>
          <t>TINGSRYD</t>
        </is>
      </c>
      <c r="G6189" t="n">
        <v>0.9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67304-2021</t>
        </is>
      </c>
      <c r="B6190" s="1" t="n">
        <v>44523.64958333333</v>
      </c>
      <c r="C6190" s="1" t="n">
        <v>45957</v>
      </c>
      <c r="D6190" t="inlineStr">
        <is>
          <t>KRONOBERGS LÄN</t>
        </is>
      </c>
      <c r="E6190" t="inlineStr">
        <is>
          <t>VÄXJÖ</t>
        </is>
      </c>
      <c r="G6190" t="n">
        <v>6.4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5061-2023</t>
        </is>
      </c>
      <c r="B6191" s="1" t="n">
        <v>44958</v>
      </c>
      <c r="C6191" s="1" t="n">
        <v>45957</v>
      </c>
      <c r="D6191" t="inlineStr">
        <is>
          <t>KRONOBERGS LÄN</t>
        </is>
      </c>
      <c r="E6191" t="inlineStr">
        <is>
          <t>ALVESTA</t>
        </is>
      </c>
      <c r="F6191" t="inlineStr">
        <is>
          <t>Kommuner</t>
        </is>
      </c>
      <c r="G6191" t="n">
        <v>1.7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20515-2023</t>
        </is>
      </c>
      <c r="B6192" s="1" t="n">
        <v>45057</v>
      </c>
      <c r="C6192" s="1" t="n">
        <v>45957</v>
      </c>
      <c r="D6192" t="inlineStr">
        <is>
          <t>KRONOBERGS LÄN</t>
        </is>
      </c>
      <c r="E6192" t="inlineStr">
        <is>
          <t>UPPVIDINGE</t>
        </is>
      </c>
      <c r="G6192" t="n">
        <v>2.8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2829-2024</t>
        </is>
      </c>
      <c r="B6193" s="1" t="n">
        <v>45314</v>
      </c>
      <c r="C6193" s="1" t="n">
        <v>45957</v>
      </c>
      <c r="D6193" t="inlineStr">
        <is>
          <t>KRONOBERGS LÄN</t>
        </is>
      </c>
      <c r="E6193" t="inlineStr">
        <is>
          <t>ÄLMHULT</t>
        </is>
      </c>
      <c r="G6193" t="n">
        <v>2.4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27421-2024</t>
        </is>
      </c>
      <c r="B6194" s="1" t="n">
        <v>45474.37907407407</v>
      </c>
      <c r="C6194" s="1" t="n">
        <v>45957</v>
      </c>
      <c r="D6194" t="inlineStr">
        <is>
          <t>KRONOBERGS LÄN</t>
        </is>
      </c>
      <c r="E6194" t="inlineStr">
        <is>
          <t>TINGSRYD</t>
        </is>
      </c>
      <c r="G6194" t="n">
        <v>2.4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10246-2023</t>
        </is>
      </c>
      <c r="B6195" s="1" t="n">
        <v>44986</v>
      </c>
      <c r="C6195" s="1" t="n">
        <v>45957</v>
      </c>
      <c r="D6195" t="inlineStr">
        <is>
          <t>KRONOBERGS LÄN</t>
        </is>
      </c>
      <c r="E6195" t="inlineStr">
        <is>
          <t>VÄXJÖ</t>
        </is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59195-2024</t>
        </is>
      </c>
      <c r="B6196" s="1" t="n">
        <v>45637.54557870371</v>
      </c>
      <c r="C6196" s="1" t="n">
        <v>45957</v>
      </c>
      <c r="D6196" t="inlineStr">
        <is>
          <t>KRONOBERGS LÄN</t>
        </is>
      </c>
      <c r="E6196" t="inlineStr">
        <is>
          <t>LJUNGBY</t>
        </is>
      </c>
      <c r="G6196" t="n">
        <v>3.8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36913-2023</t>
        </is>
      </c>
      <c r="B6197" s="1" t="n">
        <v>45154.65458333334</v>
      </c>
      <c r="C6197" s="1" t="n">
        <v>45957</v>
      </c>
      <c r="D6197" t="inlineStr">
        <is>
          <t>KRONOBERGS LÄN</t>
        </is>
      </c>
      <c r="E6197" t="inlineStr">
        <is>
          <t>UPPVIDINGE</t>
        </is>
      </c>
      <c r="G6197" t="n">
        <v>2.2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4362-2025</t>
        </is>
      </c>
      <c r="B6198" s="1" t="n">
        <v>45686.33597222222</v>
      </c>
      <c r="C6198" s="1" t="n">
        <v>45957</v>
      </c>
      <c r="D6198" t="inlineStr">
        <is>
          <t>KRONOBERGS LÄN</t>
        </is>
      </c>
      <c r="E6198" t="inlineStr">
        <is>
          <t>VÄXJÖ</t>
        </is>
      </c>
      <c r="G6198" t="n">
        <v>5.7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11980-2025</t>
        </is>
      </c>
      <c r="B6199" s="1" t="n">
        <v>45728</v>
      </c>
      <c r="C6199" s="1" t="n">
        <v>45957</v>
      </c>
      <c r="D6199" t="inlineStr">
        <is>
          <t>KRONOBERGS LÄN</t>
        </is>
      </c>
      <c r="E6199" t="inlineStr">
        <is>
          <t>UPPVIDINGE</t>
        </is>
      </c>
      <c r="G6199" t="n">
        <v>2.3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13840-2025</t>
        </is>
      </c>
      <c r="B6200" s="1" t="n">
        <v>45737.55483796296</v>
      </c>
      <c r="C6200" s="1" t="n">
        <v>45957</v>
      </c>
      <c r="D6200" t="inlineStr">
        <is>
          <t>KRONOBERGS LÄN</t>
        </is>
      </c>
      <c r="E6200" t="inlineStr">
        <is>
          <t>VÄXJÖ</t>
        </is>
      </c>
      <c r="G6200" t="n">
        <v>4.2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52167-2023</t>
        </is>
      </c>
      <c r="B6201" s="1" t="n">
        <v>45224.33578703704</v>
      </c>
      <c r="C6201" s="1" t="n">
        <v>45957</v>
      </c>
      <c r="D6201" t="inlineStr">
        <is>
          <t>KRONOBERGS LÄN</t>
        </is>
      </c>
      <c r="E6201" t="inlineStr">
        <is>
          <t>VÄXJÖ</t>
        </is>
      </c>
      <c r="G6201" t="n">
        <v>1.8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49090-2024</t>
        </is>
      </c>
      <c r="B6202" s="1" t="n">
        <v>45594.63516203704</v>
      </c>
      <c r="C6202" s="1" t="n">
        <v>45957</v>
      </c>
      <c r="D6202" t="inlineStr">
        <is>
          <t>KRONOBERGS LÄN</t>
        </is>
      </c>
      <c r="E6202" t="inlineStr">
        <is>
          <t>VÄXJÖ</t>
        </is>
      </c>
      <c r="F6202" t="inlineStr">
        <is>
          <t>Sveaskog</t>
        </is>
      </c>
      <c r="G6202" t="n">
        <v>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13296-2024</t>
        </is>
      </c>
      <c r="B6203" s="1" t="n">
        <v>45386.66395833333</v>
      </c>
      <c r="C6203" s="1" t="n">
        <v>45957</v>
      </c>
      <c r="D6203" t="inlineStr">
        <is>
          <t>KRONOBERGS LÄN</t>
        </is>
      </c>
      <c r="E6203" t="inlineStr">
        <is>
          <t>TINGSRYD</t>
        </is>
      </c>
      <c r="G6203" t="n">
        <v>1.9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49121-2024</t>
        </is>
      </c>
      <c r="B6204" s="1" t="n">
        <v>45594.66606481482</v>
      </c>
      <c r="C6204" s="1" t="n">
        <v>45957</v>
      </c>
      <c r="D6204" t="inlineStr">
        <is>
          <t>KRONOBERGS LÄN</t>
        </is>
      </c>
      <c r="E6204" t="inlineStr">
        <is>
          <t>LESSEBO</t>
        </is>
      </c>
      <c r="G6204" t="n">
        <v>0.5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59477-2024</t>
        </is>
      </c>
      <c r="B6205" s="1" t="n">
        <v>45638.51944444444</v>
      </c>
      <c r="C6205" s="1" t="n">
        <v>45957</v>
      </c>
      <c r="D6205" t="inlineStr">
        <is>
          <t>KRONOBERGS LÄN</t>
        </is>
      </c>
      <c r="E6205" t="inlineStr">
        <is>
          <t>VÄXJÖ</t>
        </is>
      </c>
      <c r="G6205" t="n">
        <v>1.7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10930-2025</t>
        </is>
      </c>
      <c r="B6206" s="1" t="n">
        <v>45722.96171296296</v>
      </c>
      <c r="C6206" s="1" t="n">
        <v>45957</v>
      </c>
      <c r="D6206" t="inlineStr">
        <is>
          <t>KRONOBERGS LÄN</t>
        </is>
      </c>
      <c r="E6206" t="inlineStr">
        <is>
          <t>UPPVIDINGE</t>
        </is>
      </c>
      <c r="G6206" t="n">
        <v>0.6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10697-2025</t>
        </is>
      </c>
      <c r="B6207" s="1" t="n">
        <v>45722.31061342593</v>
      </c>
      <c r="C6207" s="1" t="n">
        <v>45957</v>
      </c>
      <c r="D6207" t="inlineStr">
        <is>
          <t>KRONOBERGS LÄN</t>
        </is>
      </c>
      <c r="E6207" t="inlineStr">
        <is>
          <t>LJUNGBY</t>
        </is>
      </c>
      <c r="G6207" t="n">
        <v>0.3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48159-2024</t>
        </is>
      </c>
      <c r="B6208" s="1" t="n">
        <v>45589.69603009259</v>
      </c>
      <c r="C6208" s="1" t="n">
        <v>45957</v>
      </c>
      <c r="D6208" t="inlineStr">
        <is>
          <t>KRONOBERGS LÄN</t>
        </is>
      </c>
      <c r="E6208" t="inlineStr">
        <is>
          <t>ÄLMHULT</t>
        </is>
      </c>
      <c r="G6208" t="n">
        <v>1.6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20081-2024</t>
        </is>
      </c>
      <c r="B6209" s="1" t="n">
        <v>45434.44790509259</v>
      </c>
      <c r="C6209" s="1" t="n">
        <v>45957</v>
      </c>
      <c r="D6209" t="inlineStr">
        <is>
          <t>KRONOBERGS LÄN</t>
        </is>
      </c>
      <c r="E6209" t="inlineStr">
        <is>
          <t>UPPVIDINGE</t>
        </is>
      </c>
      <c r="G6209" t="n">
        <v>1.6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59778-2024</t>
        </is>
      </c>
      <c r="B6210" s="1" t="n">
        <v>45639</v>
      </c>
      <c r="C6210" s="1" t="n">
        <v>45957</v>
      </c>
      <c r="D6210" t="inlineStr">
        <is>
          <t>KRONOBERGS LÄN</t>
        </is>
      </c>
      <c r="E6210" t="inlineStr">
        <is>
          <t>LJUNGBY</t>
        </is>
      </c>
      <c r="G6210" t="n">
        <v>1.2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1469-2024</t>
        </is>
      </c>
      <c r="B6211" s="1" t="n">
        <v>45304</v>
      </c>
      <c r="C6211" s="1" t="n">
        <v>45957</v>
      </c>
      <c r="D6211" t="inlineStr">
        <is>
          <t>KRONOBERGS LÄN</t>
        </is>
      </c>
      <c r="E6211" t="inlineStr">
        <is>
          <t>VÄXJÖ</t>
        </is>
      </c>
      <c r="G6211" t="n">
        <v>1.8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16429-2024</t>
        </is>
      </c>
      <c r="B6212" s="1" t="n">
        <v>45407.67643518518</v>
      </c>
      <c r="C6212" s="1" t="n">
        <v>45957</v>
      </c>
      <c r="D6212" t="inlineStr">
        <is>
          <t>KRONOBERGS LÄN</t>
        </is>
      </c>
      <c r="E6212" t="inlineStr">
        <is>
          <t>MARKARYD</t>
        </is>
      </c>
      <c r="G6212" t="n">
        <v>1.3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8433-2025</t>
        </is>
      </c>
      <c r="B6213" s="1" t="n">
        <v>45709.42873842592</v>
      </c>
      <c r="C6213" s="1" t="n">
        <v>45957</v>
      </c>
      <c r="D6213" t="inlineStr">
        <is>
          <t>KRONOBERGS LÄN</t>
        </is>
      </c>
      <c r="E6213" t="inlineStr">
        <is>
          <t>UPPVIDINGE</t>
        </is>
      </c>
      <c r="F6213" t="inlineStr">
        <is>
          <t>Sveaskog</t>
        </is>
      </c>
      <c r="G6213" t="n">
        <v>1.6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54397-2023</t>
        </is>
      </c>
      <c r="B6214" s="1" t="n">
        <v>45233.37359953704</v>
      </c>
      <c r="C6214" s="1" t="n">
        <v>45957</v>
      </c>
      <c r="D6214" t="inlineStr">
        <is>
          <t>KRONOBERGS LÄN</t>
        </is>
      </c>
      <c r="E6214" t="inlineStr">
        <is>
          <t>VÄXJÖ</t>
        </is>
      </c>
      <c r="G6214" t="n">
        <v>2.2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6183-2022</t>
        </is>
      </c>
      <c r="B6215" s="1" t="n">
        <v>44600</v>
      </c>
      <c r="C6215" s="1" t="n">
        <v>45957</v>
      </c>
      <c r="D6215" t="inlineStr">
        <is>
          <t>KRONOBERGS LÄN</t>
        </is>
      </c>
      <c r="E6215" t="inlineStr">
        <is>
          <t>VÄXJÖ</t>
        </is>
      </c>
      <c r="F6215" t="inlineStr">
        <is>
          <t>Kyrkan</t>
        </is>
      </c>
      <c r="G6215" t="n">
        <v>2.2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22444-2023</t>
        </is>
      </c>
      <c r="B6216" s="1" t="n">
        <v>45070</v>
      </c>
      <c r="C6216" s="1" t="n">
        <v>45957</v>
      </c>
      <c r="D6216" t="inlineStr">
        <is>
          <t>KRONOBERGS LÄN</t>
        </is>
      </c>
      <c r="E6216" t="inlineStr">
        <is>
          <t>LJUNGBY</t>
        </is>
      </c>
      <c r="G6216" t="n">
        <v>2.3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56264-2020</t>
        </is>
      </c>
      <c r="B6217" s="1" t="n">
        <v>44134</v>
      </c>
      <c r="C6217" s="1" t="n">
        <v>45957</v>
      </c>
      <c r="D6217" t="inlineStr">
        <is>
          <t>KRONOBERGS LÄN</t>
        </is>
      </c>
      <c r="E6217" t="inlineStr">
        <is>
          <t>TINGSRYD</t>
        </is>
      </c>
      <c r="G6217" t="n">
        <v>1.3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59041-2020</t>
        </is>
      </c>
      <c r="B6218" s="1" t="n">
        <v>44147</v>
      </c>
      <c r="C6218" s="1" t="n">
        <v>45957</v>
      </c>
      <c r="D6218" t="inlineStr">
        <is>
          <t>KRONOBERGS LÄN</t>
        </is>
      </c>
      <c r="E6218" t="inlineStr">
        <is>
          <t>TINGSRYD</t>
        </is>
      </c>
      <c r="G6218" t="n">
        <v>1.3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29588-2023</t>
        </is>
      </c>
      <c r="B6219" s="1" t="n">
        <v>45106.86053240741</v>
      </c>
      <c r="C6219" s="1" t="n">
        <v>45957</v>
      </c>
      <c r="D6219" t="inlineStr">
        <is>
          <t>KRONOBERGS LÄN</t>
        </is>
      </c>
      <c r="E6219" t="inlineStr">
        <is>
          <t>TINGSRYD</t>
        </is>
      </c>
      <c r="G6219" t="n">
        <v>2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7678-2025</t>
        </is>
      </c>
      <c r="B6220" s="1" t="n">
        <v>45706.36192129629</v>
      </c>
      <c r="C6220" s="1" t="n">
        <v>45957</v>
      </c>
      <c r="D6220" t="inlineStr">
        <is>
          <t>KRONOBERGS LÄN</t>
        </is>
      </c>
      <c r="E6220" t="inlineStr">
        <is>
          <t>UPPVIDINGE</t>
        </is>
      </c>
      <c r="G6220" t="n">
        <v>2.7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61461-2022</t>
        </is>
      </c>
      <c r="B6221" s="1" t="n">
        <v>44916.42804398148</v>
      </c>
      <c r="C6221" s="1" t="n">
        <v>45957</v>
      </c>
      <c r="D6221" t="inlineStr">
        <is>
          <t>KRONOBERGS LÄN</t>
        </is>
      </c>
      <c r="E6221" t="inlineStr">
        <is>
          <t>TINGSRYD</t>
        </is>
      </c>
      <c r="G6221" t="n">
        <v>1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53296-2023</t>
        </is>
      </c>
      <c r="B6222" s="1" t="n">
        <v>45229.58863425926</v>
      </c>
      <c r="C6222" s="1" t="n">
        <v>45957</v>
      </c>
      <c r="D6222" t="inlineStr">
        <is>
          <t>KRONOBERGS LÄN</t>
        </is>
      </c>
      <c r="E6222" t="inlineStr">
        <is>
          <t>UPPVIDINGE</t>
        </is>
      </c>
      <c r="G6222" t="n">
        <v>2.2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24857-2023</t>
        </is>
      </c>
      <c r="B6223" s="1" t="n">
        <v>45085</v>
      </c>
      <c r="C6223" s="1" t="n">
        <v>45957</v>
      </c>
      <c r="D6223" t="inlineStr">
        <is>
          <t>KRONOBERGS LÄN</t>
        </is>
      </c>
      <c r="E6223" t="inlineStr">
        <is>
          <t>UPPVIDINGE</t>
        </is>
      </c>
      <c r="G6223" t="n">
        <v>0.7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23353-2023</t>
        </is>
      </c>
      <c r="B6224" s="1" t="n">
        <v>45076.38233796296</v>
      </c>
      <c r="C6224" s="1" t="n">
        <v>45957</v>
      </c>
      <c r="D6224" t="inlineStr">
        <is>
          <t>KRONOBERGS LÄN</t>
        </is>
      </c>
      <c r="E6224" t="inlineStr">
        <is>
          <t>ALVESTA</t>
        </is>
      </c>
      <c r="G6224" t="n">
        <v>1.4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56475-2024</t>
        </is>
      </c>
      <c r="B6225" s="1" t="n">
        <v>45625.46210648148</v>
      </c>
      <c r="C6225" s="1" t="n">
        <v>45957</v>
      </c>
      <c r="D6225" t="inlineStr">
        <is>
          <t>KRONOBERGS LÄN</t>
        </is>
      </c>
      <c r="E6225" t="inlineStr">
        <is>
          <t>LESSEBO</t>
        </is>
      </c>
      <c r="G6225" t="n">
        <v>1.3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37320-2023</t>
        </is>
      </c>
      <c r="B6226" s="1" t="n">
        <v>45156</v>
      </c>
      <c r="C6226" s="1" t="n">
        <v>45957</v>
      </c>
      <c r="D6226" t="inlineStr">
        <is>
          <t>KRONOBERGS LÄN</t>
        </is>
      </c>
      <c r="E6226" t="inlineStr">
        <is>
          <t>LJUNGBY</t>
        </is>
      </c>
      <c r="G6226" t="n">
        <v>0.4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36817-2024</t>
        </is>
      </c>
      <c r="B6227" s="1" t="n">
        <v>45538</v>
      </c>
      <c r="C6227" s="1" t="n">
        <v>45957</v>
      </c>
      <c r="D6227" t="inlineStr">
        <is>
          <t>KRONOBERGS LÄN</t>
        </is>
      </c>
      <c r="E6227" t="inlineStr">
        <is>
          <t>ALVESTA</t>
        </is>
      </c>
      <c r="G6227" t="n">
        <v>0.7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46693-2024</t>
        </is>
      </c>
      <c r="B6228" s="1" t="n">
        <v>45583.40994212963</v>
      </c>
      <c r="C6228" s="1" t="n">
        <v>45957</v>
      </c>
      <c r="D6228" t="inlineStr">
        <is>
          <t>KRONOBERGS LÄN</t>
        </is>
      </c>
      <c r="E6228" t="inlineStr">
        <is>
          <t>UPPVIDINGE</t>
        </is>
      </c>
      <c r="G6228" t="n">
        <v>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73342-2021</t>
        </is>
      </c>
      <c r="B6229" s="1" t="n">
        <v>44551.38699074074</v>
      </c>
      <c r="C6229" s="1" t="n">
        <v>45957</v>
      </c>
      <c r="D6229" t="inlineStr">
        <is>
          <t>KRONOBERGS LÄN</t>
        </is>
      </c>
      <c r="E6229" t="inlineStr">
        <is>
          <t>LJUNGBY</t>
        </is>
      </c>
      <c r="G6229" t="n">
        <v>2.7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46740-2024</t>
        </is>
      </c>
      <c r="B6230" s="1" t="n">
        <v>45583.47490740741</v>
      </c>
      <c r="C6230" s="1" t="n">
        <v>45957</v>
      </c>
      <c r="D6230" t="inlineStr">
        <is>
          <t>KRONOBERGS LÄN</t>
        </is>
      </c>
      <c r="E6230" t="inlineStr">
        <is>
          <t>ÄLMHULT</t>
        </is>
      </c>
      <c r="G6230" t="n">
        <v>1.8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48930-2024</t>
        </is>
      </c>
      <c r="B6231" s="1" t="n">
        <v>45594</v>
      </c>
      <c r="C6231" s="1" t="n">
        <v>45957</v>
      </c>
      <c r="D6231" t="inlineStr">
        <is>
          <t>KRONOBERGS LÄN</t>
        </is>
      </c>
      <c r="E6231" t="inlineStr">
        <is>
          <t>LJUNGBY</t>
        </is>
      </c>
      <c r="G6231" t="n">
        <v>0.3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25929-2022</t>
        </is>
      </c>
      <c r="B6232" s="1" t="n">
        <v>44734.3744212963</v>
      </c>
      <c r="C6232" s="1" t="n">
        <v>45957</v>
      </c>
      <c r="D6232" t="inlineStr">
        <is>
          <t>KRONOBERGS LÄN</t>
        </is>
      </c>
      <c r="E6232" t="inlineStr">
        <is>
          <t>UPPVIDINGE</t>
        </is>
      </c>
      <c r="G6232" t="n">
        <v>1.5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25931-2022</t>
        </is>
      </c>
      <c r="B6233" s="1" t="n">
        <v>44734.37710648148</v>
      </c>
      <c r="C6233" s="1" t="n">
        <v>45957</v>
      </c>
      <c r="D6233" t="inlineStr">
        <is>
          <t>KRONOBERGS LÄN</t>
        </is>
      </c>
      <c r="E6233" t="inlineStr">
        <is>
          <t>UPPVIDINGE</t>
        </is>
      </c>
      <c r="G6233" t="n">
        <v>0.8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57023-2023</t>
        </is>
      </c>
      <c r="B6234" s="1" t="n">
        <v>45244.79412037037</v>
      </c>
      <c r="C6234" s="1" t="n">
        <v>45957</v>
      </c>
      <c r="D6234" t="inlineStr">
        <is>
          <t>KRONOBERGS LÄN</t>
        </is>
      </c>
      <c r="E6234" t="inlineStr">
        <is>
          <t>VÄXJÖ</t>
        </is>
      </c>
      <c r="G6234" t="n">
        <v>0.6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60979-2023</t>
        </is>
      </c>
      <c r="B6235" s="1" t="n">
        <v>45261</v>
      </c>
      <c r="C6235" s="1" t="n">
        <v>45957</v>
      </c>
      <c r="D6235" t="inlineStr">
        <is>
          <t>KRONOBERGS LÄN</t>
        </is>
      </c>
      <c r="E6235" t="inlineStr">
        <is>
          <t>TINGSRYD</t>
        </is>
      </c>
      <c r="G6235" t="n">
        <v>3.2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51210-2022</t>
        </is>
      </c>
      <c r="B6236" s="1" t="n">
        <v>44868.61945601852</v>
      </c>
      <c r="C6236" s="1" t="n">
        <v>45957</v>
      </c>
      <c r="D6236" t="inlineStr">
        <is>
          <t>KRONOBERGS LÄN</t>
        </is>
      </c>
      <c r="E6236" t="inlineStr">
        <is>
          <t>ALVESTA</t>
        </is>
      </c>
      <c r="G6236" t="n">
        <v>1.6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49739-2024</t>
        </is>
      </c>
      <c r="B6237" s="1" t="n">
        <v>45596.8827662037</v>
      </c>
      <c r="C6237" s="1" t="n">
        <v>45957</v>
      </c>
      <c r="D6237" t="inlineStr">
        <is>
          <t>KRONOBERGS LÄN</t>
        </is>
      </c>
      <c r="E6237" t="inlineStr">
        <is>
          <t>TINGSRYD</t>
        </is>
      </c>
      <c r="G6237" t="n">
        <v>1.9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8520-2025</t>
        </is>
      </c>
      <c r="B6238" s="1" t="n">
        <v>45709.56060185185</v>
      </c>
      <c r="C6238" s="1" t="n">
        <v>45957</v>
      </c>
      <c r="D6238" t="inlineStr">
        <is>
          <t>KRONOBERGS LÄN</t>
        </is>
      </c>
      <c r="E6238" t="inlineStr">
        <is>
          <t>TINGSRYD</t>
        </is>
      </c>
      <c r="F6238" t="inlineStr">
        <is>
          <t>Övriga Aktiebolag</t>
        </is>
      </c>
      <c r="G6238" t="n">
        <v>0.4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>
      <c r="A6239" t="inlineStr">
        <is>
          <t>A 50230-2021</t>
        </is>
      </c>
      <c r="B6239" s="1" t="n">
        <v>44457.86240740741</v>
      </c>
      <c r="C6239" s="1" t="n">
        <v>45957</v>
      </c>
      <c r="D6239" t="inlineStr">
        <is>
          <t>KRONOBERGS LÄN</t>
        </is>
      </c>
      <c r="E6239" t="inlineStr">
        <is>
          <t>VÄXJÖ</t>
        </is>
      </c>
      <c r="G6239" t="n">
        <v>1.2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2025-10-27T10:28:59Z</dcterms:created>
  <dcterms:modified xmlns:dcterms="http://purl.org/dc/terms/" xmlns:xsi="http://www.w3.org/2001/XMLSchema-instance" xsi:type="dcterms:W3CDTF">2025-10-27T10:29:04Z</dcterms:modified>
</cp:coreProperties>
</file>