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4152-2025</t>
        </is>
      </c>
      <c r="B2" s="1" t="n">
        <v>45685.38047453704</v>
      </c>
      <c r="C2" s="1" t="n">
        <v>45953</v>
      </c>
      <c r="D2" t="inlineStr">
        <is>
          <t>KALMAR LÄN</t>
        </is>
      </c>
      <c r="E2" t="inlineStr">
        <is>
          <t>MÖRBYLÅNGA</t>
        </is>
      </c>
      <c r="G2" t="n">
        <v>7.3</v>
      </c>
      <c r="H2" t="n">
        <v>7</v>
      </c>
      <c r="I2" t="n">
        <v>6</v>
      </c>
      <c r="J2" t="n">
        <v>20</v>
      </c>
      <c r="K2" t="n">
        <v>2</v>
      </c>
      <c r="L2" t="n">
        <v>2</v>
      </c>
      <c r="M2" t="n">
        <v>1</v>
      </c>
      <c r="N2" t="n">
        <v>0</v>
      </c>
      <c r="O2" t="n">
        <v>25</v>
      </c>
      <c r="P2" t="n">
        <v>5</v>
      </c>
      <c r="Q2" t="n">
        <v>33</v>
      </c>
      <c r="R2" s="2" t="inlineStr">
        <is>
          <t>Naverlönn
Ryl
Tofsäxing
Knärot
Åkervindefly
Axveronika
Backtimjan
Dubbelbandat ljusmott
Flentimotej
Fågelarv
Grådådra
Grönsångare
Heddyngbagge
Kalkfly
Kösa
Mellanmätare
Mindre bastardsvärmare
Mjukdån
Rödlätt lövmätare
Sikelsäckmal
Slåtterfibbla
Solvända
Spillkråka
Svartbrun klaffmätare
Vägtornsmätare
Blomkålssvamp
Grönpyrola
Kalktallört
Murgröna
Skogsknipprot
Vit skogslilja
Grönvit nattviol
Revlummer</t>
        </is>
      </c>
      <c r="S2">
        <f>HYPERLINK("https://klasma.github.io/Logging_0840/artfynd/A 4152-2025 artfynd.xlsx", "A 4152-2025")</f>
        <v/>
      </c>
      <c r="T2">
        <f>HYPERLINK("https://klasma.github.io/Logging_0840/kartor/A 4152-2025 karta.png", "A 4152-2025")</f>
        <v/>
      </c>
      <c r="U2">
        <f>HYPERLINK("https://klasma.github.io/Logging_0840/knärot/A 4152-2025 karta knärot.png", "A 4152-2025")</f>
        <v/>
      </c>
      <c r="V2">
        <f>HYPERLINK("https://klasma.github.io/Logging_0840/klagomål/A 4152-2025 FSC-klagomål.docx", "A 4152-2025")</f>
        <v/>
      </c>
      <c r="W2">
        <f>HYPERLINK("https://klasma.github.io/Logging_0840/klagomålsmail/A 4152-2025 FSC-klagomål mail.docx", "A 4152-2025")</f>
        <v/>
      </c>
      <c r="X2">
        <f>HYPERLINK("https://klasma.github.io/Logging_0840/tillsyn/A 4152-2025 tillsynsbegäran.docx", "A 4152-2025")</f>
        <v/>
      </c>
      <c r="Y2">
        <f>HYPERLINK("https://klasma.github.io/Logging_0840/tillsynsmail/A 4152-2025 tillsynsbegäran mail.docx", "A 4152-2025")</f>
        <v/>
      </c>
      <c r="Z2">
        <f>HYPERLINK("https://klasma.github.io/Logging_0840/fåglar/A 4152-2025 prioriterade fågelarter.docx", "A 4152-2025")</f>
        <v/>
      </c>
    </row>
    <row r="3" ht="15" customHeight="1">
      <c r="A3" t="inlineStr">
        <is>
          <t>A 42099-2023</t>
        </is>
      </c>
      <c r="B3" s="1" t="n">
        <v>45177</v>
      </c>
      <c r="C3" s="1" t="n">
        <v>45953</v>
      </c>
      <c r="D3" t="inlineStr">
        <is>
          <t>KALMAR LÄN</t>
        </is>
      </c>
      <c r="E3" t="inlineStr">
        <is>
          <t>MÖRBYLÅNGA</t>
        </is>
      </c>
      <c r="G3" t="n">
        <v>1.5</v>
      </c>
      <c r="H3" t="n">
        <v>2</v>
      </c>
      <c r="I3" t="n">
        <v>2</v>
      </c>
      <c r="J3" t="n">
        <v>20</v>
      </c>
      <c r="K3" t="n">
        <v>5</v>
      </c>
      <c r="L3" t="n">
        <v>4</v>
      </c>
      <c r="M3" t="n">
        <v>0</v>
      </c>
      <c r="N3" t="n">
        <v>0</v>
      </c>
      <c r="O3" t="n">
        <v>29</v>
      </c>
      <c r="P3" t="n">
        <v>9</v>
      </c>
      <c r="Q3" t="n">
        <v>31</v>
      </c>
      <c r="R3" s="2" t="inlineStr">
        <is>
          <t>Mörk stjälkröksvamp
Naveljordstjärna
Ryl
Smaragdgrön lundmätare
Gulbrunt nejlikfly
Rödbandad fältmätare
Sandtimotej
Större vitbandsvecklare
Villa longicornis
Axveronika
Brokigt timjansmott
Bågstreckad näbbmal
Dvärgjordstjärna
Flentimotej
Glimmalmätare
Kalkfly
Klocksäckspinnare
Ligusterfly
Längsbandad strimmätare
Mellanmätare
Månskärerotvecklare
Rosenfink
Rödlätt lövmätare
Skiktdynemott
Slåtterfibbla
Stäppröksvamp
Svartbrun klaffmätare
Vickerglasvinge
Öländsk svävfluga
Skogsknipprot
Toppvaxing</t>
        </is>
      </c>
      <c r="S3">
        <f>HYPERLINK("https://klasma.github.io/Logging_0840/artfynd/A 42099-2023 artfynd.xlsx", "A 42099-2023")</f>
        <v/>
      </c>
      <c r="T3">
        <f>HYPERLINK("https://klasma.github.io/Logging_0840/kartor/A 42099-2023 karta.png", "A 42099-2023")</f>
        <v/>
      </c>
      <c r="V3">
        <f>HYPERLINK("https://klasma.github.io/Logging_0840/klagomål/A 42099-2023 FSC-klagomål.docx", "A 42099-2023")</f>
        <v/>
      </c>
      <c r="W3">
        <f>HYPERLINK("https://klasma.github.io/Logging_0840/klagomålsmail/A 42099-2023 FSC-klagomål mail.docx", "A 42099-2023")</f>
        <v/>
      </c>
      <c r="X3">
        <f>HYPERLINK("https://klasma.github.io/Logging_0840/tillsyn/A 42099-2023 tillsynsbegäran.docx", "A 42099-2023")</f>
        <v/>
      </c>
      <c r="Y3">
        <f>HYPERLINK("https://klasma.github.io/Logging_0840/tillsynsmail/A 42099-2023 tillsynsbegäran mail.docx", "A 42099-2023")</f>
        <v/>
      </c>
      <c r="Z3">
        <f>HYPERLINK("https://klasma.github.io/Logging_0840/fåglar/A 42099-2023 prioriterade fågelarter.docx", "A 42099-2023")</f>
        <v/>
      </c>
    </row>
    <row r="4" ht="15" customHeight="1">
      <c r="A4" t="inlineStr">
        <is>
          <t>A 11163-2021</t>
        </is>
      </c>
      <c r="B4" s="1" t="n">
        <v>44262</v>
      </c>
      <c r="C4" s="1" t="n">
        <v>45953</v>
      </c>
      <c r="D4" t="inlineStr">
        <is>
          <t>KALMAR LÄN</t>
        </is>
      </c>
      <c r="E4" t="inlineStr">
        <is>
          <t>MÖRBYLÅNGA</t>
        </is>
      </c>
      <c r="G4" t="n">
        <v>3.4</v>
      </c>
      <c r="H4" t="n">
        <v>2</v>
      </c>
      <c r="I4" t="n">
        <v>1</v>
      </c>
      <c r="J4" t="n">
        <v>11</v>
      </c>
      <c r="K4" t="n">
        <v>1</v>
      </c>
      <c r="L4" t="n">
        <v>2</v>
      </c>
      <c r="M4" t="n">
        <v>1</v>
      </c>
      <c r="N4" t="n">
        <v>0</v>
      </c>
      <c r="O4" t="n">
        <v>16</v>
      </c>
      <c r="P4" t="n">
        <v>4</v>
      </c>
      <c r="Q4" t="n">
        <v>18</v>
      </c>
      <c r="R4" s="2" t="inlineStr">
        <is>
          <t>Lundalm
Ask
Stumpvingeharkrank
Knippnejlika
Achalcus bimaculatus
Backklöver
Blyvivel
Edwardsiana plebeja
Edwardsiana ulmiphagus
Gulbakig trädstyltfluga
Hårig jordstjärna
Myopa hirsuta
Svart askbastborre
Svart majbagge
Ängsvägstekel
Sciomyza testacea
Murgröna
Blåsippa</t>
        </is>
      </c>
      <c r="S4">
        <f>HYPERLINK("https://klasma.github.io/Logging_0840/artfynd/A 11163-2021 artfynd.xlsx", "A 11163-2021")</f>
        <v/>
      </c>
      <c r="T4">
        <f>HYPERLINK("https://klasma.github.io/Logging_0840/kartor/A 11163-2021 karta.png", "A 11163-2021")</f>
        <v/>
      </c>
      <c r="V4">
        <f>HYPERLINK("https://klasma.github.io/Logging_0840/klagomål/A 11163-2021 FSC-klagomål.docx", "A 11163-2021")</f>
        <v/>
      </c>
      <c r="W4">
        <f>HYPERLINK("https://klasma.github.io/Logging_0840/klagomålsmail/A 11163-2021 FSC-klagomål mail.docx", "A 11163-2021")</f>
        <v/>
      </c>
      <c r="X4">
        <f>HYPERLINK("https://klasma.github.io/Logging_0840/tillsyn/A 11163-2021 tillsynsbegäran.docx", "A 11163-2021")</f>
        <v/>
      </c>
      <c r="Y4">
        <f>HYPERLINK("https://klasma.github.io/Logging_0840/tillsynsmail/A 11163-2021 tillsynsbegäran mail.docx", "A 11163-2021")</f>
        <v/>
      </c>
    </row>
    <row r="5" ht="15" customHeight="1">
      <c r="A5" t="inlineStr">
        <is>
          <t>A 27865-2024</t>
        </is>
      </c>
      <c r="B5" s="1" t="n">
        <v>45475.67303240741</v>
      </c>
      <c r="C5" s="1" t="n">
        <v>45953</v>
      </c>
      <c r="D5" t="inlineStr">
        <is>
          <t>KALMAR LÄN</t>
        </is>
      </c>
      <c r="E5" t="inlineStr">
        <is>
          <t>MÖRBYLÅNGA</t>
        </is>
      </c>
      <c r="G5" t="n">
        <v>0.7</v>
      </c>
      <c r="H5" t="n">
        <v>5</v>
      </c>
      <c r="I5" t="n">
        <v>8</v>
      </c>
      <c r="J5" t="n">
        <v>6</v>
      </c>
      <c r="K5" t="n">
        <v>0</v>
      </c>
      <c r="L5" t="n">
        <v>0</v>
      </c>
      <c r="M5" t="n">
        <v>0</v>
      </c>
      <c r="N5" t="n">
        <v>0</v>
      </c>
      <c r="O5" t="n">
        <v>6</v>
      </c>
      <c r="P5" t="n">
        <v>0</v>
      </c>
      <c r="Q5" t="n">
        <v>16</v>
      </c>
      <c r="R5" s="2" t="inlineStr">
        <is>
          <t>Bergjohannesört
Bredarun
Klasefibbla
Solvända
Svart taggsvamp
Vippärt
Blå slemspindling
Diskvaxskivling
Fjällig taggsvamp s.str.
Murgröna
Nästrot
Skogsknipprot
Strävlosta
Underviol
Grönvit nattviol
Blåsippa</t>
        </is>
      </c>
      <c r="S5">
        <f>HYPERLINK("https://klasma.github.io/Logging_0840/artfynd/A 27865-2024 artfynd.xlsx", "A 27865-2024")</f>
        <v/>
      </c>
      <c r="T5">
        <f>HYPERLINK("https://klasma.github.io/Logging_0840/kartor/A 27865-2024 karta.png", "A 27865-2024")</f>
        <v/>
      </c>
      <c r="V5">
        <f>HYPERLINK("https://klasma.github.io/Logging_0840/klagomål/A 27865-2024 FSC-klagomål.docx", "A 27865-2024")</f>
        <v/>
      </c>
      <c r="W5">
        <f>HYPERLINK("https://klasma.github.io/Logging_0840/klagomålsmail/A 27865-2024 FSC-klagomål mail.docx", "A 27865-2024")</f>
        <v/>
      </c>
      <c r="X5">
        <f>HYPERLINK("https://klasma.github.io/Logging_0840/tillsyn/A 27865-2024 tillsynsbegäran.docx", "A 27865-2024")</f>
        <v/>
      </c>
      <c r="Y5">
        <f>HYPERLINK("https://klasma.github.io/Logging_0840/tillsynsmail/A 27865-2024 tillsynsbegäran mail.docx", "A 27865-2024")</f>
        <v/>
      </c>
    </row>
    <row r="6" ht="15" customHeight="1">
      <c r="A6" t="inlineStr">
        <is>
          <t>A 21219-2023</t>
        </is>
      </c>
      <c r="B6" s="1" t="n">
        <v>45062</v>
      </c>
      <c r="C6" s="1" t="n">
        <v>45953</v>
      </c>
      <c r="D6" t="inlineStr">
        <is>
          <t>KALMAR LÄN</t>
        </is>
      </c>
      <c r="E6" t="inlineStr">
        <is>
          <t>MÖRBYLÅNGA</t>
        </is>
      </c>
      <c r="G6" t="n">
        <v>2.6</v>
      </c>
      <c r="H6" t="n">
        <v>7</v>
      </c>
      <c r="I6" t="n">
        <v>11</v>
      </c>
      <c r="J6" t="n">
        <v>1</v>
      </c>
      <c r="K6" t="n">
        <v>0</v>
      </c>
      <c r="L6" t="n">
        <v>1</v>
      </c>
      <c r="M6" t="n">
        <v>0</v>
      </c>
      <c r="N6" t="n">
        <v>0</v>
      </c>
      <c r="O6" t="n">
        <v>2</v>
      </c>
      <c r="P6" t="n">
        <v>1</v>
      </c>
      <c r="Q6" t="n">
        <v>16</v>
      </c>
      <c r="R6" s="2" t="inlineStr">
        <is>
          <t>Ask
Olivbrun spindling
Grov baronmossa
Murgröna
Nästrot
Platt fjädermossa
Purpurknipprot
Skogsknipprot
Strimspindling
Sårläka
Traslav
Tvåblad
Underviol
Fläcknycklar
Blåsippa
Gullviva</t>
        </is>
      </c>
      <c r="S6">
        <f>HYPERLINK("https://klasma.github.io/Logging_0840/artfynd/A 21219-2023 artfynd.xlsx", "A 21219-2023")</f>
        <v/>
      </c>
      <c r="T6">
        <f>HYPERLINK("https://klasma.github.io/Logging_0840/kartor/A 21219-2023 karta.png", "A 21219-2023")</f>
        <v/>
      </c>
      <c r="V6">
        <f>HYPERLINK("https://klasma.github.io/Logging_0840/klagomål/A 21219-2023 FSC-klagomål.docx", "A 21219-2023")</f>
        <v/>
      </c>
      <c r="W6">
        <f>HYPERLINK("https://klasma.github.io/Logging_0840/klagomålsmail/A 21219-2023 FSC-klagomål mail.docx", "A 21219-2023")</f>
        <v/>
      </c>
      <c r="X6">
        <f>HYPERLINK("https://klasma.github.io/Logging_0840/tillsyn/A 21219-2023 tillsynsbegäran.docx", "A 21219-2023")</f>
        <v/>
      </c>
      <c r="Y6">
        <f>HYPERLINK("https://klasma.github.io/Logging_0840/tillsynsmail/A 21219-2023 tillsynsbegäran mail.docx", "A 21219-2023")</f>
        <v/>
      </c>
    </row>
    <row r="7" ht="15" customHeight="1">
      <c r="A7" t="inlineStr">
        <is>
          <t>A 65163-2020</t>
        </is>
      </c>
      <c r="B7" s="1" t="n">
        <v>44172</v>
      </c>
      <c r="C7" s="1" t="n">
        <v>45953</v>
      </c>
      <c r="D7" t="inlineStr">
        <is>
          <t>KALMAR LÄN</t>
        </is>
      </c>
      <c r="E7" t="inlineStr">
        <is>
          <t>MÖRBYLÅNGA</t>
        </is>
      </c>
      <c r="G7" t="n">
        <v>16.8</v>
      </c>
      <c r="H7" t="n">
        <v>2</v>
      </c>
      <c r="I7" t="n">
        <v>3</v>
      </c>
      <c r="J7" t="n">
        <v>6</v>
      </c>
      <c r="K7" t="n">
        <v>1</v>
      </c>
      <c r="L7" t="n">
        <v>0</v>
      </c>
      <c r="M7" t="n">
        <v>0</v>
      </c>
      <c r="N7" t="n">
        <v>0</v>
      </c>
      <c r="O7" t="n">
        <v>7</v>
      </c>
      <c r="P7" t="n">
        <v>1</v>
      </c>
      <c r="Q7" t="n">
        <v>10</v>
      </c>
      <c r="R7" s="2" t="inlineStr">
        <is>
          <t>Liten diskröksvamp
Dvärgjordstjärna
Fyrflikig jordstjärna
Fågelarv
Klibbveronika
Mindre hackspett
Rakhorndyvel
Ekoxe
Murgröna
Rödbrun jordstjärna</t>
        </is>
      </c>
      <c r="S7">
        <f>HYPERLINK("https://klasma.github.io/Logging_0840/artfynd/A 65163-2020 artfynd.xlsx", "A 65163-2020")</f>
        <v/>
      </c>
      <c r="T7">
        <f>HYPERLINK("https://klasma.github.io/Logging_0840/kartor/A 65163-2020 karta.png", "A 65163-2020")</f>
        <v/>
      </c>
      <c r="V7">
        <f>HYPERLINK("https://klasma.github.io/Logging_0840/klagomål/A 65163-2020 FSC-klagomål.docx", "A 65163-2020")</f>
        <v/>
      </c>
      <c r="W7">
        <f>HYPERLINK("https://klasma.github.io/Logging_0840/klagomålsmail/A 65163-2020 FSC-klagomål mail.docx", "A 65163-2020")</f>
        <v/>
      </c>
      <c r="X7">
        <f>HYPERLINK("https://klasma.github.io/Logging_0840/tillsyn/A 65163-2020 tillsynsbegäran.docx", "A 65163-2020")</f>
        <v/>
      </c>
      <c r="Y7">
        <f>HYPERLINK("https://klasma.github.io/Logging_0840/tillsynsmail/A 65163-2020 tillsynsbegäran mail.docx", "A 65163-2020")</f>
        <v/>
      </c>
      <c r="Z7">
        <f>HYPERLINK("https://klasma.github.io/Logging_0840/fåglar/A 65163-2020 prioriterade fågelarter.docx", "A 65163-2020")</f>
        <v/>
      </c>
    </row>
    <row r="8" ht="15" customHeight="1">
      <c r="A8" t="inlineStr">
        <is>
          <t>A 21214-2023</t>
        </is>
      </c>
      <c r="B8" s="1" t="n">
        <v>45062</v>
      </c>
      <c r="C8" s="1" t="n">
        <v>45953</v>
      </c>
      <c r="D8" t="inlineStr">
        <is>
          <t>KALMAR LÄN</t>
        </is>
      </c>
      <c r="E8" t="inlineStr">
        <is>
          <t>MÖRBYLÅNGA</t>
        </is>
      </c>
      <c r="G8" t="n">
        <v>3.5</v>
      </c>
      <c r="H8" t="n">
        <v>2</v>
      </c>
      <c r="I8" t="n">
        <v>5</v>
      </c>
      <c r="J8" t="n">
        <v>3</v>
      </c>
      <c r="K8" t="n">
        <v>1</v>
      </c>
      <c r="L8" t="n">
        <v>0</v>
      </c>
      <c r="M8" t="n">
        <v>0</v>
      </c>
      <c r="N8" t="n">
        <v>0</v>
      </c>
      <c r="O8" t="n">
        <v>4</v>
      </c>
      <c r="P8" t="n">
        <v>1</v>
      </c>
      <c r="Q8" t="n">
        <v>10</v>
      </c>
      <c r="R8" s="2" t="inlineStr">
        <is>
          <t>Mjölspindling
Spillkråka
Svart askbastborre
Tallticka
Guldlockmossa
Hasselticka
Mindre märgborre
Murgröna
Sårläka
Blåsippa</t>
        </is>
      </c>
      <c r="S8">
        <f>HYPERLINK("https://klasma.github.io/Logging_0840/artfynd/A 21214-2023 artfynd.xlsx", "A 21214-2023")</f>
        <v/>
      </c>
      <c r="T8">
        <f>HYPERLINK("https://klasma.github.io/Logging_0840/kartor/A 21214-2023 karta.png", "A 21214-2023")</f>
        <v/>
      </c>
      <c r="V8">
        <f>HYPERLINK("https://klasma.github.io/Logging_0840/klagomål/A 21214-2023 FSC-klagomål.docx", "A 21214-2023")</f>
        <v/>
      </c>
      <c r="W8">
        <f>HYPERLINK("https://klasma.github.io/Logging_0840/klagomålsmail/A 21214-2023 FSC-klagomål mail.docx", "A 21214-2023")</f>
        <v/>
      </c>
      <c r="X8">
        <f>HYPERLINK("https://klasma.github.io/Logging_0840/tillsyn/A 21214-2023 tillsynsbegäran.docx", "A 21214-2023")</f>
        <v/>
      </c>
      <c r="Y8">
        <f>HYPERLINK("https://klasma.github.io/Logging_0840/tillsynsmail/A 21214-2023 tillsynsbegäran mail.docx", "A 21214-2023")</f>
        <v/>
      </c>
      <c r="Z8">
        <f>HYPERLINK("https://klasma.github.io/Logging_0840/fåglar/A 21214-2023 prioriterade fågelarter.docx", "A 21214-2023")</f>
        <v/>
      </c>
    </row>
    <row r="9" ht="15" customHeight="1">
      <c r="A9" t="inlineStr">
        <is>
          <t>A 59540-2023</t>
        </is>
      </c>
      <c r="B9" s="1" t="n">
        <v>45254</v>
      </c>
      <c r="C9" s="1" t="n">
        <v>45953</v>
      </c>
      <c r="D9" t="inlineStr">
        <is>
          <t>KALMAR LÄN</t>
        </is>
      </c>
      <c r="E9" t="inlineStr">
        <is>
          <t>MÖRBYLÅNGA</t>
        </is>
      </c>
      <c r="G9" t="n">
        <v>2.8</v>
      </c>
      <c r="H9" t="n">
        <v>9</v>
      </c>
      <c r="I9" t="n">
        <v>0</v>
      </c>
      <c r="J9" t="n">
        <v>6</v>
      </c>
      <c r="K9" t="n">
        <v>0</v>
      </c>
      <c r="L9" t="n">
        <v>2</v>
      </c>
      <c r="M9" t="n">
        <v>0</v>
      </c>
      <c r="N9" t="n">
        <v>0</v>
      </c>
      <c r="O9" t="n">
        <v>8</v>
      </c>
      <c r="P9" t="n">
        <v>2</v>
      </c>
      <c r="Q9" t="n">
        <v>9</v>
      </c>
      <c r="R9" s="2" t="inlineStr">
        <is>
          <t>Grönfink
Tornseglare
Björktrast
Grönsångare
Rödvingetrast
Spillkråka
Svartvit flugsnappare
Ärtsångare
Nattskärra</t>
        </is>
      </c>
      <c r="S9">
        <f>HYPERLINK("https://klasma.github.io/Logging_0840/artfynd/A 59540-2023 artfynd.xlsx", "A 59540-2023")</f>
        <v/>
      </c>
      <c r="T9">
        <f>HYPERLINK("https://klasma.github.io/Logging_0840/kartor/A 59540-2023 karta.png", "A 59540-2023")</f>
        <v/>
      </c>
      <c r="V9">
        <f>HYPERLINK("https://klasma.github.io/Logging_0840/klagomål/A 59540-2023 FSC-klagomål.docx", "A 59540-2023")</f>
        <v/>
      </c>
      <c r="W9">
        <f>HYPERLINK("https://klasma.github.io/Logging_0840/klagomålsmail/A 59540-2023 FSC-klagomål mail.docx", "A 59540-2023")</f>
        <v/>
      </c>
      <c r="X9">
        <f>HYPERLINK("https://klasma.github.io/Logging_0840/tillsyn/A 59540-2023 tillsynsbegäran.docx", "A 59540-2023")</f>
        <v/>
      </c>
      <c r="Y9">
        <f>HYPERLINK("https://klasma.github.io/Logging_0840/tillsynsmail/A 59540-2023 tillsynsbegäran mail.docx", "A 59540-2023")</f>
        <v/>
      </c>
      <c r="Z9">
        <f>HYPERLINK("https://klasma.github.io/Logging_0840/fåglar/A 59540-2023 prioriterade fågelarter.docx", "A 59540-2023")</f>
        <v/>
      </c>
    </row>
    <row r="10" ht="15" customHeight="1">
      <c r="A10" t="inlineStr">
        <is>
          <t>A 63779-2021</t>
        </is>
      </c>
      <c r="B10" s="1" t="n">
        <v>44508</v>
      </c>
      <c r="C10" s="1" t="n">
        <v>45953</v>
      </c>
      <c r="D10" t="inlineStr">
        <is>
          <t>KALMAR LÄN</t>
        </is>
      </c>
      <c r="E10" t="inlineStr">
        <is>
          <t>MÖRBYLÅNGA</t>
        </is>
      </c>
      <c r="G10" t="n">
        <v>5.1</v>
      </c>
      <c r="H10" t="n">
        <v>3</v>
      </c>
      <c r="I10" t="n">
        <v>2</v>
      </c>
      <c r="J10" t="n">
        <v>3</v>
      </c>
      <c r="K10" t="n">
        <v>0</v>
      </c>
      <c r="L10" t="n">
        <v>0</v>
      </c>
      <c r="M10" t="n">
        <v>1</v>
      </c>
      <c r="N10" t="n">
        <v>0</v>
      </c>
      <c r="O10" t="n">
        <v>4</v>
      </c>
      <c r="P10" t="n">
        <v>1</v>
      </c>
      <c r="Q10" t="n">
        <v>7</v>
      </c>
      <c r="R10" s="2" t="inlineStr">
        <is>
          <t>Skogsalm
Entita
Havsörn
Roststumpbagge
Kragjordstjärna
Scharlakansskål
Kopparödla</t>
        </is>
      </c>
      <c r="S10">
        <f>HYPERLINK("https://klasma.github.io/Logging_0840/artfynd/A 63779-2021 artfynd.xlsx", "A 63779-2021")</f>
        <v/>
      </c>
      <c r="T10">
        <f>HYPERLINK("https://klasma.github.io/Logging_0840/kartor/A 63779-2021 karta.png", "A 63779-2021")</f>
        <v/>
      </c>
      <c r="V10">
        <f>HYPERLINK("https://klasma.github.io/Logging_0840/klagomål/A 63779-2021 FSC-klagomål.docx", "A 63779-2021")</f>
        <v/>
      </c>
      <c r="W10">
        <f>HYPERLINK("https://klasma.github.io/Logging_0840/klagomålsmail/A 63779-2021 FSC-klagomål mail.docx", "A 63779-2021")</f>
        <v/>
      </c>
      <c r="X10">
        <f>HYPERLINK("https://klasma.github.io/Logging_0840/tillsyn/A 63779-2021 tillsynsbegäran.docx", "A 63779-2021")</f>
        <v/>
      </c>
      <c r="Y10">
        <f>HYPERLINK("https://klasma.github.io/Logging_0840/tillsynsmail/A 63779-2021 tillsynsbegäran mail.docx", "A 63779-2021")</f>
        <v/>
      </c>
      <c r="Z10">
        <f>HYPERLINK("https://klasma.github.io/Logging_0840/fåglar/A 63779-2021 prioriterade fågelarter.docx", "A 63779-2021")</f>
        <v/>
      </c>
    </row>
    <row r="11" ht="15" customHeight="1">
      <c r="A11" t="inlineStr">
        <is>
          <t>A 8436-2021</t>
        </is>
      </c>
      <c r="B11" s="1" t="n">
        <v>44245</v>
      </c>
      <c r="C11" s="1" t="n">
        <v>45953</v>
      </c>
      <c r="D11" t="inlineStr">
        <is>
          <t>KALMAR LÄN</t>
        </is>
      </c>
      <c r="E11" t="inlineStr">
        <is>
          <t>MÖRBYLÅNGA</t>
        </is>
      </c>
      <c r="G11" t="n">
        <v>5.4</v>
      </c>
      <c r="H11" t="n">
        <v>2</v>
      </c>
      <c r="I11" t="n">
        <v>2</v>
      </c>
      <c r="J11" t="n">
        <v>2</v>
      </c>
      <c r="K11" t="n">
        <v>0</v>
      </c>
      <c r="L11" t="n">
        <v>1</v>
      </c>
      <c r="M11" t="n">
        <v>2</v>
      </c>
      <c r="N11" t="n">
        <v>0</v>
      </c>
      <c r="O11" t="n">
        <v>5</v>
      </c>
      <c r="P11" t="n">
        <v>3</v>
      </c>
      <c r="Q11" t="n">
        <v>7</v>
      </c>
      <c r="R11" s="2" t="inlineStr">
        <is>
          <t>Lundalm
Skogsalm
Ask
Grönsångare
Mindre hackspett
Hasselticka
Rikfruktig blemlav</t>
        </is>
      </c>
      <c r="S11">
        <f>HYPERLINK("https://klasma.github.io/Logging_0840/artfynd/A 8436-2021 artfynd.xlsx", "A 8436-2021")</f>
        <v/>
      </c>
      <c r="T11">
        <f>HYPERLINK("https://klasma.github.io/Logging_0840/kartor/A 8436-2021 karta.png", "A 8436-2021")</f>
        <v/>
      </c>
      <c r="V11">
        <f>HYPERLINK("https://klasma.github.io/Logging_0840/klagomål/A 8436-2021 FSC-klagomål.docx", "A 8436-2021")</f>
        <v/>
      </c>
      <c r="W11">
        <f>HYPERLINK("https://klasma.github.io/Logging_0840/klagomålsmail/A 8436-2021 FSC-klagomål mail.docx", "A 8436-2021")</f>
        <v/>
      </c>
      <c r="X11">
        <f>HYPERLINK("https://klasma.github.io/Logging_0840/tillsyn/A 8436-2021 tillsynsbegäran.docx", "A 8436-2021")</f>
        <v/>
      </c>
      <c r="Y11">
        <f>HYPERLINK("https://klasma.github.io/Logging_0840/tillsynsmail/A 8436-2021 tillsynsbegäran mail.docx", "A 8436-2021")</f>
        <v/>
      </c>
      <c r="Z11">
        <f>HYPERLINK("https://klasma.github.io/Logging_0840/fåglar/A 8436-2021 prioriterade fågelarter.docx", "A 8436-2021")</f>
        <v/>
      </c>
    </row>
    <row r="12" ht="15" customHeight="1">
      <c r="A12" t="inlineStr">
        <is>
          <t>A 24778-2022</t>
        </is>
      </c>
      <c r="B12" s="1" t="n">
        <v>44728</v>
      </c>
      <c r="C12" s="1" t="n">
        <v>45953</v>
      </c>
      <c r="D12" t="inlineStr">
        <is>
          <t>KALMAR LÄN</t>
        </is>
      </c>
      <c r="E12" t="inlineStr">
        <is>
          <t>MÖRBYLÅNGA</t>
        </is>
      </c>
      <c r="G12" t="n">
        <v>1</v>
      </c>
      <c r="H12" t="n">
        <v>0</v>
      </c>
      <c r="I12" t="n">
        <v>2</v>
      </c>
      <c r="J12" t="n">
        <v>3</v>
      </c>
      <c r="K12" t="n">
        <v>0</v>
      </c>
      <c r="L12" t="n">
        <v>1</v>
      </c>
      <c r="M12" t="n">
        <v>0</v>
      </c>
      <c r="N12" t="n">
        <v>0</v>
      </c>
      <c r="O12" t="n">
        <v>4</v>
      </c>
      <c r="P12" t="n">
        <v>1</v>
      </c>
      <c r="Q12" t="n">
        <v>6</v>
      </c>
      <c r="R12" s="2" t="inlineStr">
        <is>
          <t>Tofsäxing
Flentimotej
Poppeltofsskivling
Slåtterfibbla
Kalktallört
Murgröna</t>
        </is>
      </c>
      <c r="S12">
        <f>HYPERLINK("https://klasma.github.io/Logging_0840/artfynd/A 24778-2022 artfynd.xlsx", "A 24778-2022")</f>
        <v/>
      </c>
      <c r="T12">
        <f>HYPERLINK("https://klasma.github.io/Logging_0840/kartor/A 24778-2022 karta.png", "A 24778-2022")</f>
        <v/>
      </c>
      <c r="V12">
        <f>HYPERLINK("https://klasma.github.io/Logging_0840/klagomål/A 24778-2022 FSC-klagomål.docx", "A 24778-2022")</f>
        <v/>
      </c>
      <c r="W12">
        <f>HYPERLINK("https://klasma.github.io/Logging_0840/klagomålsmail/A 24778-2022 FSC-klagomål mail.docx", "A 24778-2022")</f>
        <v/>
      </c>
      <c r="X12">
        <f>HYPERLINK("https://klasma.github.io/Logging_0840/tillsyn/A 24778-2022 tillsynsbegäran.docx", "A 24778-2022")</f>
        <v/>
      </c>
      <c r="Y12">
        <f>HYPERLINK("https://klasma.github.io/Logging_0840/tillsynsmail/A 24778-2022 tillsynsbegäran mail.docx", "A 24778-2022")</f>
        <v/>
      </c>
    </row>
    <row r="13" ht="15" customHeight="1">
      <c r="A13" t="inlineStr">
        <is>
          <t>A 27636-2023</t>
        </is>
      </c>
      <c r="B13" s="1" t="n">
        <v>45097</v>
      </c>
      <c r="C13" s="1" t="n">
        <v>45953</v>
      </c>
      <c r="D13" t="inlineStr">
        <is>
          <t>KALMAR LÄN</t>
        </is>
      </c>
      <c r="E13" t="inlineStr">
        <is>
          <t>MÖRBYLÅNGA</t>
        </is>
      </c>
      <c r="G13" t="n">
        <v>7.4</v>
      </c>
      <c r="H13" t="n">
        <v>2</v>
      </c>
      <c r="I13" t="n">
        <v>1</v>
      </c>
      <c r="J13" t="n">
        <v>2</v>
      </c>
      <c r="K13" t="n">
        <v>0</v>
      </c>
      <c r="L13" t="n">
        <v>1</v>
      </c>
      <c r="M13" t="n">
        <v>0</v>
      </c>
      <c r="N13" t="n">
        <v>0</v>
      </c>
      <c r="O13" t="n">
        <v>3</v>
      </c>
      <c r="P13" t="n">
        <v>1</v>
      </c>
      <c r="Q13" t="n">
        <v>6</v>
      </c>
      <c r="R13" s="2" t="inlineStr">
        <is>
          <t>Ask
Backtimjan
Solvända
Murgröna
Alvarmalört
Gullviva</t>
        </is>
      </c>
      <c r="S13">
        <f>HYPERLINK("https://klasma.github.io/Logging_0840/artfynd/A 27636-2023 artfynd.xlsx", "A 27636-2023")</f>
        <v/>
      </c>
      <c r="T13">
        <f>HYPERLINK("https://klasma.github.io/Logging_0840/kartor/A 27636-2023 karta.png", "A 27636-2023")</f>
        <v/>
      </c>
      <c r="V13">
        <f>HYPERLINK("https://klasma.github.io/Logging_0840/klagomål/A 27636-2023 FSC-klagomål.docx", "A 27636-2023")</f>
        <v/>
      </c>
      <c r="W13">
        <f>HYPERLINK("https://klasma.github.io/Logging_0840/klagomålsmail/A 27636-2023 FSC-klagomål mail.docx", "A 27636-2023")</f>
        <v/>
      </c>
      <c r="X13">
        <f>HYPERLINK("https://klasma.github.io/Logging_0840/tillsyn/A 27636-2023 tillsynsbegäran.docx", "A 27636-2023")</f>
        <v/>
      </c>
      <c r="Y13">
        <f>HYPERLINK("https://klasma.github.io/Logging_0840/tillsynsmail/A 27636-2023 tillsynsbegäran mail.docx", "A 27636-2023")</f>
        <v/>
      </c>
    </row>
    <row r="14" ht="15" customHeight="1">
      <c r="A14" t="inlineStr">
        <is>
          <t>A 38039-2022</t>
        </is>
      </c>
      <c r="B14" s="1" t="n">
        <v>44811</v>
      </c>
      <c r="C14" s="1" t="n">
        <v>45953</v>
      </c>
      <c r="D14" t="inlineStr">
        <is>
          <t>KALMAR LÄN</t>
        </is>
      </c>
      <c r="E14" t="inlineStr">
        <is>
          <t>MÖRBYLÅNGA</t>
        </is>
      </c>
      <c r="G14" t="n">
        <v>7.4</v>
      </c>
      <c r="H14" t="n">
        <v>2</v>
      </c>
      <c r="I14" t="n">
        <v>1</v>
      </c>
      <c r="J14" t="n">
        <v>2</v>
      </c>
      <c r="K14" t="n">
        <v>0</v>
      </c>
      <c r="L14" t="n">
        <v>1</v>
      </c>
      <c r="M14" t="n">
        <v>0</v>
      </c>
      <c r="N14" t="n">
        <v>0</v>
      </c>
      <c r="O14" t="n">
        <v>3</v>
      </c>
      <c r="P14" t="n">
        <v>1</v>
      </c>
      <c r="Q14" t="n">
        <v>6</v>
      </c>
      <c r="R14" s="2" t="inlineStr">
        <is>
          <t>Ask
Backtimjan
Solvända
Murgröna
Alvarmalört
Gullviva</t>
        </is>
      </c>
      <c r="S14">
        <f>HYPERLINK("https://klasma.github.io/Logging_0840/artfynd/A 38039-2022 artfynd.xlsx", "A 38039-2022")</f>
        <v/>
      </c>
      <c r="T14">
        <f>HYPERLINK("https://klasma.github.io/Logging_0840/kartor/A 38039-2022 karta.png", "A 38039-2022")</f>
        <v/>
      </c>
      <c r="V14">
        <f>HYPERLINK("https://klasma.github.io/Logging_0840/klagomål/A 38039-2022 FSC-klagomål.docx", "A 38039-2022")</f>
        <v/>
      </c>
      <c r="W14">
        <f>HYPERLINK("https://klasma.github.io/Logging_0840/klagomålsmail/A 38039-2022 FSC-klagomål mail.docx", "A 38039-2022")</f>
        <v/>
      </c>
      <c r="X14">
        <f>HYPERLINK("https://klasma.github.io/Logging_0840/tillsyn/A 38039-2022 tillsynsbegäran.docx", "A 38039-2022")</f>
        <v/>
      </c>
      <c r="Y14">
        <f>HYPERLINK("https://klasma.github.io/Logging_0840/tillsynsmail/A 38039-2022 tillsynsbegäran mail.docx", "A 38039-2022")</f>
        <v/>
      </c>
    </row>
    <row r="15" ht="15" customHeight="1">
      <c r="A15" t="inlineStr">
        <is>
          <t>A 39320-2024</t>
        </is>
      </c>
      <c r="B15" s="1" t="n">
        <v>45551</v>
      </c>
      <c r="C15" s="1" t="n">
        <v>45953</v>
      </c>
      <c r="D15" t="inlineStr">
        <is>
          <t>KALMAR LÄN</t>
        </is>
      </c>
      <c r="E15" t="inlineStr">
        <is>
          <t>MÖRBYLÅNGA</t>
        </is>
      </c>
      <c r="G15" t="n">
        <v>3.3</v>
      </c>
      <c r="H15" t="n">
        <v>1</v>
      </c>
      <c r="I15" t="n">
        <v>2</v>
      </c>
      <c r="J15" t="n">
        <v>1</v>
      </c>
      <c r="K15" t="n">
        <v>1</v>
      </c>
      <c r="L15" t="n">
        <v>0</v>
      </c>
      <c r="M15" t="n">
        <v>0</v>
      </c>
      <c r="N15" t="n">
        <v>0</v>
      </c>
      <c r="O15" t="n">
        <v>2</v>
      </c>
      <c r="P15" t="n">
        <v>1</v>
      </c>
      <c r="Q15" t="n">
        <v>5</v>
      </c>
      <c r="R15" s="2" t="inlineStr">
        <is>
          <t>Toppjungfrulin
Korskovall
Underviol
Vårärt
Skogsduva</t>
        </is>
      </c>
      <c r="S15">
        <f>HYPERLINK("https://klasma.github.io/Logging_0840/artfynd/A 39320-2024 artfynd.xlsx", "A 39320-2024")</f>
        <v/>
      </c>
      <c r="T15">
        <f>HYPERLINK("https://klasma.github.io/Logging_0840/kartor/A 39320-2024 karta.png", "A 39320-2024")</f>
        <v/>
      </c>
      <c r="V15">
        <f>HYPERLINK("https://klasma.github.io/Logging_0840/klagomål/A 39320-2024 FSC-klagomål.docx", "A 39320-2024")</f>
        <v/>
      </c>
      <c r="W15">
        <f>HYPERLINK("https://klasma.github.io/Logging_0840/klagomålsmail/A 39320-2024 FSC-klagomål mail.docx", "A 39320-2024")</f>
        <v/>
      </c>
      <c r="X15">
        <f>HYPERLINK("https://klasma.github.io/Logging_0840/tillsyn/A 39320-2024 tillsynsbegäran.docx", "A 39320-2024")</f>
        <v/>
      </c>
      <c r="Y15">
        <f>HYPERLINK("https://klasma.github.io/Logging_0840/tillsynsmail/A 39320-2024 tillsynsbegäran mail.docx", "A 39320-2024")</f>
        <v/>
      </c>
      <c r="Z15">
        <f>HYPERLINK("https://klasma.github.io/Logging_0840/fåglar/A 39320-2024 prioriterade fågelarter.docx", "A 39320-2024")</f>
        <v/>
      </c>
    </row>
    <row r="16" ht="15" customHeight="1">
      <c r="A16" t="inlineStr">
        <is>
          <t>A 43714-2025</t>
        </is>
      </c>
      <c r="B16" s="1" t="n">
        <v>45912.40814814815</v>
      </c>
      <c r="C16" s="1" t="n">
        <v>45953</v>
      </c>
      <c r="D16" t="inlineStr">
        <is>
          <t>KALMAR LÄN</t>
        </is>
      </c>
      <c r="E16" t="inlineStr">
        <is>
          <t>MÖRBYLÅNGA</t>
        </is>
      </c>
      <c r="G16" t="n">
        <v>7.9</v>
      </c>
      <c r="H16" t="n">
        <v>1</v>
      </c>
      <c r="I16" t="n">
        <v>1</v>
      </c>
      <c r="J16" t="n">
        <v>4</v>
      </c>
      <c r="K16" t="n">
        <v>0</v>
      </c>
      <c r="L16" t="n">
        <v>0</v>
      </c>
      <c r="M16" t="n">
        <v>0</v>
      </c>
      <c r="N16" t="n">
        <v>0</v>
      </c>
      <c r="O16" t="n">
        <v>4</v>
      </c>
      <c r="P16" t="n">
        <v>0</v>
      </c>
      <c r="Q16" t="n">
        <v>5</v>
      </c>
      <c r="R16" s="2" t="inlineStr">
        <is>
          <t>Alvarsandbi
Grönsångare
Mindre bastardsvärmare
Sexfläckig bastardsvärmare
Tibast</t>
        </is>
      </c>
      <c r="S16">
        <f>HYPERLINK("https://klasma.github.io/Logging_0840/artfynd/A 43714-2025 artfynd.xlsx", "A 43714-2025")</f>
        <v/>
      </c>
      <c r="T16">
        <f>HYPERLINK("https://klasma.github.io/Logging_0840/kartor/A 43714-2025 karta.png", "A 43714-2025")</f>
        <v/>
      </c>
      <c r="V16">
        <f>HYPERLINK("https://klasma.github.io/Logging_0840/klagomål/A 43714-2025 FSC-klagomål.docx", "A 43714-2025")</f>
        <v/>
      </c>
      <c r="W16">
        <f>HYPERLINK("https://klasma.github.io/Logging_0840/klagomålsmail/A 43714-2025 FSC-klagomål mail.docx", "A 43714-2025")</f>
        <v/>
      </c>
      <c r="X16">
        <f>HYPERLINK("https://klasma.github.io/Logging_0840/tillsyn/A 43714-2025 tillsynsbegäran.docx", "A 43714-2025")</f>
        <v/>
      </c>
      <c r="Y16">
        <f>HYPERLINK("https://klasma.github.io/Logging_0840/tillsynsmail/A 43714-2025 tillsynsbegäran mail.docx", "A 43714-2025")</f>
        <v/>
      </c>
      <c r="Z16">
        <f>HYPERLINK("https://klasma.github.io/Logging_0840/fåglar/A 43714-2025 prioriterade fågelarter.docx", "A 43714-2025")</f>
        <v/>
      </c>
    </row>
    <row r="17" ht="15" customHeight="1">
      <c r="A17" t="inlineStr">
        <is>
          <t>A 61854-2020</t>
        </is>
      </c>
      <c r="B17" s="1" t="n">
        <v>44155</v>
      </c>
      <c r="C17" s="1" t="n">
        <v>45953</v>
      </c>
      <c r="D17" t="inlineStr">
        <is>
          <t>KALMAR LÄN</t>
        </is>
      </c>
      <c r="E17" t="inlineStr">
        <is>
          <t>MÖRBYLÅNGA</t>
        </is>
      </c>
      <c r="G17" t="n">
        <v>1.3</v>
      </c>
      <c r="H17" t="n">
        <v>1</v>
      </c>
      <c r="I17" t="n">
        <v>3</v>
      </c>
      <c r="J17" t="n">
        <v>0</v>
      </c>
      <c r="K17" t="n">
        <v>0</v>
      </c>
      <c r="L17" t="n">
        <v>0</v>
      </c>
      <c r="M17" t="n">
        <v>0</v>
      </c>
      <c r="N17" t="n">
        <v>0</v>
      </c>
      <c r="O17" t="n">
        <v>0</v>
      </c>
      <c r="P17" t="n">
        <v>0</v>
      </c>
      <c r="Q17" t="n">
        <v>4</v>
      </c>
      <c r="R17" s="2" t="inlineStr">
        <is>
          <t>Kalktallört
Murgröna
Scharlakansvårskål agg.
Blåsippa</t>
        </is>
      </c>
      <c r="S17">
        <f>HYPERLINK("https://klasma.github.io/Logging_0840/artfynd/A 61854-2020 artfynd.xlsx", "A 61854-2020")</f>
        <v/>
      </c>
      <c r="T17">
        <f>HYPERLINK("https://klasma.github.io/Logging_0840/kartor/A 61854-2020 karta.png", "A 61854-2020")</f>
        <v/>
      </c>
      <c r="V17">
        <f>HYPERLINK("https://klasma.github.io/Logging_0840/klagomål/A 61854-2020 FSC-klagomål.docx", "A 61854-2020")</f>
        <v/>
      </c>
      <c r="W17">
        <f>HYPERLINK("https://klasma.github.io/Logging_0840/klagomålsmail/A 61854-2020 FSC-klagomål mail.docx", "A 61854-2020")</f>
        <v/>
      </c>
      <c r="X17">
        <f>HYPERLINK("https://klasma.github.io/Logging_0840/tillsyn/A 61854-2020 tillsynsbegäran.docx", "A 61854-2020")</f>
        <v/>
      </c>
      <c r="Y17">
        <f>HYPERLINK("https://klasma.github.io/Logging_0840/tillsynsmail/A 61854-2020 tillsynsbegäran mail.docx", "A 61854-2020")</f>
        <v/>
      </c>
    </row>
    <row r="18" ht="15" customHeight="1">
      <c r="A18" t="inlineStr">
        <is>
          <t>A 54167-2024</t>
        </is>
      </c>
      <c r="B18" s="1" t="n">
        <v>45616.62196759259</v>
      </c>
      <c r="C18" s="1" t="n">
        <v>45953</v>
      </c>
      <c r="D18" t="inlineStr">
        <is>
          <t>KALMAR LÄN</t>
        </is>
      </c>
      <c r="E18" t="inlineStr">
        <is>
          <t>MÖRBYLÅNGA</t>
        </is>
      </c>
      <c r="G18" t="n">
        <v>1.5</v>
      </c>
      <c r="H18" t="n">
        <v>2</v>
      </c>
      <c r="I18" t="n">
        <v>2</v>
      </c>
      <c r="J18" t="n">
        <v>0</v>
      </c>
      <c r="K18" t="n">
        <v>0</v>
      </c>
      <c r="L18" t="n">
        <v>1</v>
      </c>
      <c r="M18" t="n">
        <v>0</v>
      </c>
      <c r="N18" t="n">
        <v>0</v>
      </c>
      <c r="O18" t="n">
        <v>1</v>
      </c>
      <c r="P18" t="n">
        <v>1</v>
      </c>
      <c r="Q18" t="n">
        <v>4</v>
      </c>
      <c r="R18" s="2" t="inlineStr">
        <is>
          <t>Ask
Murgröna
Tvåblad
Blåsippa</t>
        </is>
      </c>
      <c r="S18">
        <f>HYPERLINK("https://klasma.github.io/Logging_0840/artfynd/A 54167-2024 artfynd.xlsx", "A 54167-2024")</f>
        <v/>
      </c>
      <c r="T18">
        <f>HYPERLINK("https://klasma.github.io/Logging_0840/kartor/A 54167-2024 karta.png", "A 54167-2024")</f>
        <v/>
      </c>
      <c r="V18">
        <f>HYPERLINK("https://klasma.github.io/Logging_0840/klagomål/A 54167-2024 FSC-klagomål.docx", "A 54167-2024")</f>
        <v/>
      </c>
      <c r="W18">
        <f>HYPERLINK("https://klasma.github.io/Logging_0840/klagomålsmail/A 54167-2024 FSC-klagomål mail.docx", "A 54167-2024")</f>
        <v/>
      </c>
      <c r="X18">
        <f>HYPERLINK("https://klasma.github.io/Logging_0840/tillsyn/A 54167-2024 tillsynsbegäran.docx", "A 54167-2024")</f>
        <v/>
      </c>
      <c r="Y18">
        <f>HYPERLINK("https://klasma.github.io/Logging_0840/tillsynsmail/A 54167-2024 tillsynsbegäran mail.docx", "A 54167-2024")</f>
        <v/>
      </c>
    </row>
    <row r="19" ht="15" customHeight="1">
      <c r="A19" t="inlineStr">
        <is>
          <t>A 61865-2020</t>
        </is>
      </c>
      <c r="B19" s="1" t="n">
        <v>44155</v>
      </c>
      <c r="C19" s="1" t="n">
        <v>45953</v>
      </c>
      <c r="D19" t="inlineStr">
        <is>
          <t>KALMAR LÄN</t>
        </is>
      </c>
      <c r="E19" t="inlineStr">
        <is>
          <t>MÖRBYLÅNGA</t>
        </is>
      </c>
      <c r="G19" t="n">
        <v>5</v>
      </c>
      <c r="H19" t="n">
        <v>4</v>
      </c>
      <c r="I19" t="n">
        <v>0</v>
      </c>
      <c r="J19" t="n">
        <v>2</v>
      </c>
      <c r="K19" t="n">
        <v>0</v>
      </c>
      <c r="L19" t="n">
        <v>0</v>
      </c>
      <c r="M19" t="n">
        <v>0</v>
      </c>
      <c r="N19" t="n">
        <v>0</v>
      </c>
      <c r="O19" t="n">
        <v>2</v>
      </c>
      <c r="P19" t="n">
        <v>0</v>
      </c>
      <c r="Q19" t="n">
        <v>4</v>
      </c>
      <c r="R19" s="2" t="inlineStr">
        <is>
          <t>Gulsparv
Mindre hackspett
Järnsparv
Kungsfågel</t>
        </is>
      </c>
      <c r="S19">
        <f>HYPERLINK("https://klasma.github.io/Logging_0840/artfynd/A 61865-2020 artfynd.xlsx", "A 61865-2020")</f>
        <v/>
      </c>
      <c r="T19">
        <f>HYPERLINK("https://klasma.github.io/Logging_0840/kartor/A 61865-2020 karta.png", "A 61865-2020")</f>
        <v/>
      </c>
      <c r="V19">
        <f>HYPERLINK("https://klasma.github.io/Logging_0840/klagomål/A 61865-2020 FSC-klagomål.docx", "A 61865-2020")</f>
        <v/>
      </c>
      <c r="W19">
        <f>HYPERLINK("https://klasma.github.io/Logging_0840/klagomålsmail/A 61865-2020 FSC-klagomål mail.docx", "A 61865-2020")</f>
        <v/>
      </c>
      <c r="X19">
        <f>HYPERLINK("https://klasma.github.io/Logging_0840/tillsyn/A 61865-2020 tillsynsbegäran.docx", "A 61865-2020")</f>
        <v/>
      </c>
      <c r="Y19">
        <f>HYPERLINK("https://klasma.github.io/Logging_0840/tillsynsmail/A 61865-2020 tillsynsbegäran mail.docx", "A 61865-2020")</f>
        <v/>
      </c>
      <c r="Z19">
        <f>HYPERLINK("https://klasma.github.io/Logging_0840/fåglar/A 61865-2020 prioriterade fågelarter.docx", "A 61865-2020")</f>
        <v/>
      </c>
    </row>
    <row r="20" ht="15" customHeight="1">
      <c r="A20" t="inlineStr">
        <is>
          <t>A 52906-2021</t>
        </is>
      </c>
      <c r="B20" s="1" t="n">
        <v>44467</v>
      </c>
      <c r="C20" s="1" t="n">
        <v>45953</v>
      </c>
      <c r="D20" t="inlineStr">
        <is>
          <t>KALMAR LÄN</t>
        </is>
      </c>
      <c r="E20" t="inlineStr">
        <is>
          <t>MÖRBYLÅNGA</t>
        </is>
      </c>
      <c r="G20" t="n">
        <v>2.1</v>
      </c>
      <c r="H20" t="n">
        <v>2</v>
      </c>
      <c r="I20" t="n">
        <v>1</v>
      </c>
      <c r="J20" t="n">
        <v>2</v>
      </c>
      <c r="K20" t="n">
        <v>0</v>
      </c>
      <c r="L20" t="n">
        <v>0</v>
      </c>
      <c r="M20" t="n">
        <v>0</v>
      </c>
      <c r="N20" t="n">
        <v>0</v>
      </c>
      <c r="O20" t="n">
        <v>2</v>
      </c>
      <c r="P20" t="n">
        <v>0</v>
      </c>
      <c r="Q20" t="n">
        <v>3</v>
      </c>
      <c r="R20" s="2" t="inlineStr">
        <is>
          <t>Gulsparv
Rödvingetrast
Lindspindling</t>
        </is>
      </c>
      <c r="S20">
        <f>HYPERLINK("https://klasma.github.io/Logging_0840/artfynd/A 52906-2021 artfynd.xlsx", "A 52906-2021")</f>
        <v/>
      </c>
      <c r="T20">
        <f>HYPERLINK("https://klasma.github.io/Logging_0840/kartor/A 52906-2021 karta.png", "A 52906-2021")</f>
        <v/>
      </c>
      <c r="V20">
        <f>HYPERLINK("https://klasma.github.io/Logging_0840/klagomål/A 52906-2021 FSC-klagomål.docx", "A 52906-2021")</f>
        <v/>
      </c>
      <c r="W20">
        <f>HYPERLINK("https://klasma.github.io/Logging_0840/klagomålsmail/A 52906-2021 FSC-klagomål mail.docx", "A 52906-2021")</f>
        <v/>
      </c>
      <c r="X20">
        <f>HYPERLINK("https://klasma.github.io/Logging_0840/tillsyn/A 52906-2021 tillsynsbegäran.docx", "A 52906-2021")</f>
        <v/>
      </c>
      <c r="Y20">
        <f>HYPERLINK("https://klasma.github.io/Logging_0840/tillsynsmail/A 52906-2021 tillsynsbegäran mail.docx", "A 52906-2021")</f>
        <v/>
      </c>
      <c r="Z20">
        <f>HYPERLINK("https://klasma.github.io/Logging_0840/fåglar/A 52906-2021 prioriterade fågelarter.docx", "A 52906-2021")</f>
        <v/>
      </c>
    </row>
    <row r="21" ht="15" customHeight="1">
      <c r="A21" t="inlineStr">
        <is>
          <t>A 57704-2020</t>
        </is>
      </c>
      <c r="B21" s="1" t="n">
        <v>44140</v>
      </c>
      <c r="C21" s="1" t="n">
        <v>45953</v>
      </c>
      <c r="D21" t="inlineStr">
        <is>
          <t>KALMAR LÄN</t>
        </is>
      </c>
      <c r="E21" t="inlineStr">
        <is>
          <t>MÖRBYLÅNGA</t>
        </is>
      </c>
      <c r="G21" t="n">
        <v>2.5</v>
      </c>
      <c r="H21" t="n">
        <v>0</v>
      </c>
      <c r="I21" t="n">
        <v>0</v>
      </c>
      <c r="J21" t="n">
        <v>3</v>
      </c>
      <c r="K21" t="n">
        <v>0</v>
      </c>
      <c r="L21" t="n">
        <v>0</v>
      </c>
      <c r="M21" t="n">
        <v>0</v>
      </c>
      <c r="N21" t="n">
        <v>0</v>
      </c>
      <c r="O21" t="n">
        <v>3</v>
      </c>
      <c r="P21" t="n">
        <v>0</v>
      </c>
      <c r="Q21" t="n">
        <v>3</v>
      </c>
      <c r="R21" s="2" t="inlineStr">
        <is>
          <t>Ekträdlöpare
Jordtistel
Vanlig sandviol</t>
        </is>
      </c>
      <c r="S21">
        <f>HYPERLINK("https://klasma.github.io/Logging_0840/artfynd/A 57704-2020 artfynd.xlsx", "A 57704-2020")</f>
        <v/>
      </c>
      <c r="T21">
        <f>HYPERLINK("https://klasma.github.io/Logging_0840/kartor/A 57704-2020 karta.png", "A 57704-2020")</f>
        <v/>
      </c>
      <c r="V21">
        <f>HYPERLINK("https://klasma.github.io/Logging_0840/klagomål/A 57704-2020 FSC-klagomål.docx", "A 57704-2020")</f>
        <v/>
      </c>
      <c r="W21">
        <f>HYPERLINK("https://klasma.github.io/Logging_0840/klagomålsmail/A 57704-2020 FSC-klagomål mail.docx", "A 57704-2020")</f>
        <v/>
      </c>
      <c r="X21">
        <f>HYPERLINK("https://klasma.github.io/Logging_0840/tillsyn/A 57704-2020 tillsynsbegäran.docx", "A 57704-2020")</f>
        <v/>
      </c>
      <c r="Y21">
        <f>HYPERLINK("https://klasma.github.io/Logging_0840/tillsynsmail/A 57704-2020 tillsynsbegäran mail.docx", "A 57704-2020")</f>
        <v/>
      </c>
    </row>
    <row r="22" ht="15" customHeight="1">
      <c r="A22" t="inlineStr">
        <is>
          <t>A 35242-2024</t>
        </is>
      </c>
      <c r="B22" s="1" t="n">
        <v>45530.55440972222</v>
      </c>
      <c r="C22" s="1" t="n">
        <v>45953</v>
      </c>
      <c r="D22" t="inlineStr">
        <is>
          <t>KALMAR LÄN</t>
        </is>
      </c>
      <c r="E22" t="inlineStr">
        <is>
          <t>MÖRBYLÅNGA</t>
        </is>
      </c>
      <c r="G22" t="n">
        <v>0.9</v>
      </c>
      <c r="H22" t="n">
        <v>1</v>
      </c>
      <c r="I22" t="n">
        <v>2</v>
      </c>
      <c r="J22" t="n">
        <v>0</v>
      </c>
      <c r="K22" t="n">
        <v>0</v>
      </c>
      <c r="L22" t="n">
        <v>1</v>
      </c>
      <c r="M22" t="n">
        <v>0</v>
      </c>
      <c r="N22" t="n">
        <v>0</v>
      </c>
      <c r="O22" t="n">
        <v>1</v>
      </c>
      <c r="P22" t="n">
        <v>1</v>
      </c>
      <c r="Q22" t="n">
        <v>3</v>
      </c>
      <c r="R22" s="2" t="inlineStr">
        <is>
          <t>Ryl
Grönpyrola
Skogsknipprot</t>
        </is>
      </c>
      <c r="S22">
        <f>HYPERLINK("https://klasma.github.io/Logging_0840/artfynd/A 35242-2024 artfynd.xlsx", "A 35242-2024")</f>
        <v/>
      </c>
      <c r="T22">
        <f>HYPERLINK("https://klasma.github.io/Logging_0840/kartor/A 35242-2024 karta.png", "A 35242-2024")</f>
        <v/>
      </c>
      <c r="V22">
        <f>HYPERLINK("https://klasma.github.io/Logging_0840/klagomål/A 35242-2024 FSC-klagomål.docx", "A 35242-2024")</f>
        <v/>
      </c>
      <c r="W22">
        <f>HYPERLINK("https://klasma.github.io/Logging_0840/klagomålsmail/A 35242-2024 FSC-klagomål mail.docx", "A 35242-2024")</f>
        <v/>
      </c>
      <c r="X22">
        <f>HYPERLINK("https://klasma.github.io/Logging_0840/tillsyn/A 35242-2024 tillsynsbegäran.docx", "A 35242-2024")</f>
        <v/>
      </c>
      <c r="Y22">
        <f>HYPERLINK("https://klasma.github.io/Logging_0840/tillsynsmail/A 35242-2024 tillsynsbegäran mail.docx", "A 35242-2024")</f>
        <v/>
      </c>
    </row>
    <row r="23" ht="15" customHeight="1">
      <c r="A23" t="inlineStr">
        <is>
          <t>A 15600-2025</t>
        </is>
      </c>
      <c r="B23" s="1" t="n">
        <v>45747</v>
      </c>
      <c r="C23" s="1" t="n">
        <v>45953</v>
      </c>
      <c r="D23" t="inlineStr">
        <is>
          <t>KALMAR LÄN</t>
        </is>
      </c>
      <c r="E23" t="inlineStr">
        <is>
          <t>MÖRBYLÅNGA</t>
        </is>
      </c>
      <c r="G23" t="n">
        <v>1.1</v>
      </c>
      <c r="H23" t="n">
        <v>0</v>
      </c>
      <c r="I23" t="n">
        <v>2</v>
      </c>
      <c r="J23" t="n">
        <v>0</v>
      </c>
      <c r="K23" t="n">
        <v>0</v>
      </c>
      <c r="L23" t="n">
        <v>0</v>
      </c>
      <c r="M23" t="n">
        <v>0</v>
      </c>
      <c r="N23" t="n">
        <v>0</v>
      </c>
      <c r="O23" t="n">
        <v>0</v>
      </c>
      <c r="P23" t="n">
        <v>0</v>
      </c>
      <c r="Q23" t="n">
        <v>2</v>
      </c>
      <c r="R23" s="2" t="inlineStr">
        <is>
          <t>Murgröna
Scharlakansvårskål agg.</t>
        </is>
      </c>
      <c r="S23">
        <f>HYPERLINK("https://klasma.github.io/Logging_0840/artfynd/A 15600-2025 artfynd.xlsx", "A 15600-2025")</f>
        <v/>
      </c>
      <c r="T23">
        <f>HYPERLINK("https://klasma.github.io/Logging_0840/kartor/A 15600-2025 karta.png", "A 15600-2025")</f>
        <v/>
      </c>
      <c r="V23">
        <f>HYPERLINK("https://klasma.github.io/Logging_0840/klagomål/A 15600-2025 FSC-klagomål.docx", "A 15600-2025")</f>
        <v/>
      </c>
      <c r="W23">
        <f>HYPERLINK("https://klasma.github.io/Logging_0840/klagomålsmail/A 15600-2025 FSC-klagomål mail.docx", "A 15600-2025")</f>
        <v/>
      </c>
      <c r="X23">
        <f>HYPERLINK("https://klasma.github.io/Logging_0840/tillsyn/A 15600-2025 tillsynsbegäran.docx", "A 15600-2025")</f>
        <v/>
      </c>
      <c r="Y23">
        <f>HYPERLINK("https://klasma.github.io/Logging_0840/tillsynsmail/A 15600-2025 tillsynsbegäran mail.docx", "A 15600-2025")</f>
        <v/>
      </c>
    </row>
    <row r="24" ht="15" customHeight="1">
      <c r="A24" t="inlineStr">
        <is>
          <t>A 62231-2023</t>
        </is>
      </c>
      <c r="B24" s="1" t="n">
        <v>45267</v>
      </c>
      <c r="C24" s="1" t="n">
        <v>45953</v>
      </c>
      <c r="D24" t="inlineStr">
        <is>
          <t>KALMAR LÄN</t>
        </is>
      </c>
      <c r="E24" t="inlineStr">
        <is>
          <t>MÖRBYLÅNGA</t>
        </is>
      </c>
      <c r="G24" t="n">
        <v>1.6</v>
      </c>
      <c r="H24" t="n">
        <v>1</v>
      </c>
      <c r="I24" t="n">
        <v>1</v>
      </c>
      <c r="J24" t="n">
        <v>0</v>
      </c>
      <c r="K24" t="n">
        <v>0</v>
      </c>
      <c r="L24" t="n">
        <v>0</v>
      </c>
      <c r="M24" t="n">
        <v>0</v>
      </c>
      <c r="N24" t="n">
        <v>0</v>
      </c>
      <c r="O24" t="n">
        <v>0</v>
      </c>
      <c r="P24" t="n">
        <v>0</v>
      </c>
      <c r="Q24" t="n">
        <v>2</v>
      </c>
      <c r="R24" s="2" t="inlineStr">
        <is>
          <t>Murgröna
Blåsippa</t>
        </is>
      </c>
      <c r="S24">
        <f>HYPERLINK("https://klasma.github.io/Logging_0840/artfynd/A 62231-2023 artfynd.xlsx", "A 62231-2023")</f>
        <v/>
      </c>
      <c r="T24">
        <f>HYPERLINK("https://klasma.github.io/Logging_0840/kartor/A 62231-2023 karta.png", "A 62231-2023")</f>
        <v/>
      </c>
      <c r="V24">
        <f>HYPERLINK("https://klasma.github.io/Logging_0840/klagomål/A 62231-2023 FSC-klagomål.docx", "A 62231-2023")</f>
        <v/>
      </c>
      <c r="W24">
        <f>HYPERLINK("https://klasma.github.io/Logging_0840/klagomålsmail/A 62231-2023 FSC-klagomål mail.docx", "A 62231-2023")</f>
        <v/>
      </c>
      <c r="X24">
        <f>HYPERLINK("https://klasma.github.io/Logging_0840/tillsyn/A 62231-2023 tillsynsbegäran.docx", "A 62231-2023")</f>
        <v/>
      </c>
      <c r="Y24">
        <f>HYPERLINK("https://klasma.github.io/Logging_0840/tillsynsmail/A 62231-2023 tillsynsbegäran mail.docx", "A 62231-2023")</f>
        <v/>
      </c>
    </row>
    <row r="25" ht="15" customHeight="1">
      <c r="A25" t="inlineStr">
        <is>
          <t>A 40361-2023</t>
        </is>
      </c>
      <c r="B25" s="1" t="n">
        <v>45169</v>
      </c>
      <c r="C25" s="1" t="n">
        <v>45953</v>
      </c>
      <c r="D25" t="inlineStr">
        <is>
          <t>KALMAR LÄN</t>
        </is>
      </c>
      <c r="E25" t="inlineStr">
        <is>
          <t>MÖRBYLÅNGA</t>
        </is>
      </c>
      <c r="G25" t="n">
        <v>1.1</v>
      </c>
      <c r="H25" t="n">
        <v>0</v>
      </c>
      <c r="I25" t="n">
        <v>0</v>
      </c>
      <c r="J25" t="n">
        <v>1</v>
      </c>
      <c r="K25" t="n">
        <v>0</v>
      </c>
      <c r="L25" t="n">
        <v>0</v>
      </c>
      <c r="M25" t="n">
        <v>1</v>
      </c>
      <c r="N25" t="n">
        <v>0</v>
      </c>
      <c r="O25" t="n">
        <v>2</v>
      </c>
      <c r="P25" t="n">
        <v>1</v>
      </c>
      <c r="Q25" t="n">
        <v>2</v>
      </c>
      <c r="R25" s="2" t="inlineStr">
        <is>
          <t>Lundalm
Ängsskära</t>
        </is>
      </c>
      <c r="S25">
        <f>HYPERLINK("https://klasma.github.io/Logging_0840/artfynd/A 40361-2023 artfynd.xlsx", "A 40361-2023")</f>
        <v/>
      </c>
      <c r="T25">
        <f>HYPERLINK("https://klasma.github.io/Logging_0840/kartor/A 40361-2023 karta.png", "A 40361-2023")</f>
        <v/>
      </c>
      <c r="V25">
        <f>HYPERLINK("https://klasma.github.io/Logging_0840/klagomål/A 40361-2023 FSC-klagomål.docx", "A 40361-2023")</f>
        <v/>
      </c>
      <c r="W25">
        <f>HYPERLINK("https://klasma.github.io/Logging_0840/klagomålsmail/A 40361-2023 FSC-klagomål mail.docx", "A 40361-2023")</f>
        <v/>
      </c>
      <c r="X25">
        <f>HYPERLINK("https://klasma.github.io/Logging_0840/tillsyn/A 40361-2023 tillsynsbegäran.docx", "A 40361-2023")</f>
        <v/>
      </c>
      <c r="Y25">
        <f>HYPERLINK("https://klasma.github.io/Logging_0840/tillsynsmail/A 40361-2023 tillsynsbegäran mail.docx", "A 40361-2023")</f>
        <v/>
      </c>
    </row>
    <row r="26" ht="15" customHeight="1">
      <c r="A26" t="inlineStr">
        <is>
          <t>A 54192-2021</t>
        </is>
      </c>
      <c r="B26" s="1" t="n">
        <v>44470</v>
      </c>
      <c r="C26" s="1" t="n">
        <v>45953</v>
      </c>
      <c r="D26" t="inlineStr">
        <is>
          <t>KALMAR LÄN</t>
        </is>
      </c>
      <c r="E26" t="inlineStr">
        <is>
          <t>MÖRBYLÅNGA</t>
        </is>
      </c>
      <c r="G26" t="n">
        <v>1.5</v>
      </c>
      <c r="H26" t="n">
        <v>0</v>
      </c>
      <c r="I26" t="n">
        <v>0</v>
      </c>
      <c r="J26" t="n">
        <v>1</v>
      </c>
      <c r="K26" t="n">
        <v>0</v>
      </c>
      <c r="L26" t="n">
        <v>0</v>
      </c>
      <c r="M26" t="n">
        <v>0</v>
      </c>
      <c r="N26" t="n">
        <v>0</v>
      </c>
      <c r="O26" t="n">
        <v>1</v>
      </c>
      <c r="P26" t="n">
        <v>0</v>
      </c>
      <c r="Q26" t="n">
        <v>1</v>
      </c>
      <c r="R26" s="2" t="inlineStr">
        <is>
          <t>Sminkrot</t>
        </is>
      </c>
      <c r="S26">
        <f>HYPERLINK("https://klasma.github.io/Logging_0840/artfynd/A 54192-2021 artfynd.xlsx", "A 54192-2021")</f>
        <v/>
      </c>
      <c r="T26">
        <f>HYPERLINK("https://klasma.github.io/Logging_0840/kartor/A 54192-2021 karta.png", "A 54192-2021")</f>
        <v/>
      </c>
      <c r="V26">
        <f>HYPERLINK("https://klasma.github.io/Logging_0840/klagomål/A 54192-2021 FSC-klagomål.docx", "A 54192-2021")</f>
        <v/>
      </c>
      <c r="W26">
        <f>HYPERLINK("https://klasma.github.io/Logging_0840/klagomålsmail/A 54192-2021 FSC-klagomål mail.docx", "A 54192-2021")</f>
        <v/>
      </c>
      <c r="X26">
        <f>HYPERLINK("https://klasma.github.io/Logging_0840/tillsyn/A 54192-2021 tillsynsbegäran.docx", "A 54192-2021")</f>
        <v/>
      </c>
      <c r="Y26">
        <f>HYPERLINK("https://klasma.github.io/Logging_0840/tillsynsmail/A 54192-2021 tillsynsbegäran mail.docx", "A 54192-2021")</f>
        <v/>
      </c>
    </row>
    <row r="27" ht="15" customHeight="1">
      <c r="A27" t="inlineStr">
        <is>
          <t>A 51244-2021</t>
        </is>
      </c>
      <c r="B27" s="1" t="n">
        <v>44460</v>
      </c>
      <c r="C27" s="1" t="n">
        <v>45953</v>
      </c>
      <c r="D27" t="inlineStr">
        <is>
          <t>KALMAR LÄN</t>
        </is>
      </c>
      <c r="E27" t="inlineStr">
        <is>
          <t>MÖRBYLÅNGA</t>
        </is>
      </c>
      <c r="G27" t="n">
        <v>1.9</v>
      </c>
      <c r="H27" t="n">
        <v>0</v>
      </c>
      <c r="I27" t="n">
        <v>0</v>
      </c>
      <c r="J27" t="n">
        <v>0</v>
      </c>
      <c r="K27" t="n">
        <v>0</v>
      </c>
      <c r="L27" t="n">
        <v>1</v>
      </c>
      <c r="M27" t="n">
        <v>0</v>
      </c>
      <c r="N27" t="n">
        <v>0</v>
      </c>
      <c r="O27" t="n">
        <v>1</v>
      </c>
      <c r="P27" t="n">
        <v>1</v>
      </c>
      <c r="Q27" t="n">
        <v>1</v>
      </c>
      <c r="R27" s="2" t="inlineStr">
        <is>
          <t>Stäppbandbi</t>
        </is>
      </c>
      <c r="S27">
        <f>HYPERLINK("https://klasma.github.io/Logging_0840/artfynd/A 51244-2021 artfynd.xlsx", "A 51244-2021")</f>
        <v/>
      </c>
      <c r="T27">
        <f>HYPERLINK("https://klasma.github.io/Logging_0840/kartor/A 51244-2021 karta.png", "A 51244-2021")</f>
        <v/>
      </c>
      <c r="V27">
        <f>HYPERLINK("https://klasma.github.io/Logging_0840/klagomål/A 51244-2021 FSC-klagomål.docx", "A 51244-2021")</f>
        <v/>
      </c>
      <c r="W27">
        <f>HYPERLINK("https://klasma.github.io/Logging_0840/klagomålsmail/A 51244-2021 FSC-klagomål mail.docx", "A 51244-2021")</f>
        <v/>
      </c>
      <c r="X27">
        <f>HYPERLINK("https://klasma.github.io/Logging_0840/tillsyn/A 51244-2021 tillsynsbegäran.docx", "A 51244-2021")</f>
        <v/>
      </c>
      <c r="Y27">
        <f>HYPERLINK("https://klasma.github.io/Logging_0840/tillsynsmail/A 51244-2021 tillsynsbegäran mail.docx", "A 51244-2021")</f>
        <v/>
      </c>
    </row>
    <row r="28" ht="15" customHeight="1">
      <c r="A28" t="inlineStr">
        <is>
          <t>A 24698-2023</t>
        </is>
      </c>
      <c r="B28" s="1" t="n">
        <v>45084</v>
      </c>
      <c r="C28" s="1" t="n">
        <v>45953</v>
      </c>
      <c r="D28" t="inlineStr">
        <is>
          <t>KALMAR LÄN</t>
        </is>
      </c>
      <c r="E28" t="inlineStr">
        <is>
          <t>MÖRBYLÅNGA</t>
        </is>
      </c>
      <c r="G28" t="n">
        <v>5.5</v>
      </c>
      <c r="H28" t="n">
        <v>0</v>
      </c>
      <c r="I28" t="n">
        <v>1</v>
      </c>
      <c r="J28" t="n">
        <v>0</v>
      </c>
      <c r="K28" t="n">
        <v>0</v>
      </c>
      <c r="L28" t="n">
        <v>0</v>
      </c>
      <c r="M28" t="n">
        <v>0</v>
      </c>
      <c r="N28" t="n">
        <v>0</v>
      </c>
      <c r="O28" t="n">
        <v>0</v>
      </c>
      <c r="P28" t="n">
        <v>0</v>
      </c>
      <c r="Q28" t="n">
        <v>1</v>
      </c>
      <c r="R28" s="2" t="inlineStr">
        <is>
          <t>Sårläka</t>
        </is>
      </c>
      <c r="S28">
        <f>HYPERLINK("https://klasma.github.io/Logging_0840/artfynd/A 24698-2023 artfynd.xlsx", "A 24698-2023")</f>
        <v/>
      </c>
      <c r="T28">
        <f>HYPERLINK("https://klasma.github.io/Logging_0840/kartor/A 24698-2023 karta.png", "A 24698-2023")</f>
        <v/>
      </c>
      <c r="V28">
        <f>HYPERLINK("https://klasma.github.io/Logging_0840/klagomål/A 24698-2023 FSC-klagomål.docx", "A 24698-2023")</f>
        <v/>
      </c>
      <c r="W28">
        <f>HYPERLINK("https://klasma.github.io/Logging_0840/klagomålsmail/A 24698-2023 FSC-klagomål mail.docx", "A 24698-2023")</f>
        <v/>
      </c>
      <c r="X28">
        <f>HYPERLINK("https://klasma.github.io/Logging_0840/tillsyn/A 24698-2023 tillsynsbegäran.docx", "A 24698-2023")</f>
        <v/>
      </c>
      <c r="Y28">
        <f>HYPERLINK("https://klasma.github.io/Logging_0840/tillsynsmail/A 24698-2023 tillsynsbegäran mail.docx", "A 24698-2023")</f>
        <v/>
      </c>
    </row>
    <row r="29" ht="15" customHeight="1">
      <c r="A29" t="inlineStr">
        <is>
          <t>A 43702-2025</t>
        </is>
      </c>
      <c r="B29" s="1" t="n">
        <v>45912.40270833333</v>
      </c>
      <c r="C29" s="1" t="n">
        <v>45953</v>
      </c>
      <c r="D29" t="inlineStr">
        <is>
          <t>KALMAR LÄN</t>
        </is>
      </c>
      <c r="E29" t="inlineStr">
        <is>
          <t>MÖRBYLÅNGA</t>
        </is>
      </c>
      <c r="G29" t="n">
        <v>2.6</v>
      </c>
      <c r="H29" t="n">
        <v>0</v>
      </c>
      <c r="I29" t="n">
        <v>1</v>
      </c>
      <c r="J29" t="n">
        <v>0</v>
      </c>
      <c r="K29" t="n">
        <v>0</v>
      </c>
      <c r="L29" t="n">
        <v>0</v>
      </c>
      <c r="M29" t="n">
        <v>0</v>
      </c>
      <c r="N29" t="n">
        <v>0</v>
      </c>
      <c r="O29" t="n">
        <v>0</v>
      </c>
      <c r="P29" t="n">
        <v>0</v>
      </c>
      <c r="Q29" t="n">
        <v>1</v>
      </c>
      <c r="R29" s="2" t="inlineStr">
        <is>
          <t>Sårläka</t>
        </is>
      </c>
      <c r="S29">
        <f>HYPERLINK("https://klasma.github.io/Logging_0840/artfynd/A 43702-2025 artfynd.xlsx", "A 43702-2025")</f>
        <v/>
      </c>
      <c r="T29">
        <f>HYPERLINK("https://klasma.github.io/Logging_0840/kartor/A 43702-2025 karta.png", "A 43702-2025")</f>
        <v/>
      </c>
      <c r="V29">
        <f>HYPERLINK("https://klasma.github.io/Logging_0840/klagomål/A 43702-2025 FSC-klagomål.docx", "A 43702-2025")</f>
        <v/>
      </c>
      <c r="W29">
        <f>HYPERLINK("https://klasma.github.io/Logging_0840/klagomålsmail/A 43702-2025 FSC-klagomål mail.docx", "A 43702-2025")</f>
        <v/>
      </c>
      <c r="X29">
        <f>HYPERLINK("https://klasma.github.io/Logging_0840/tillsyn/A 43702-2025 tillsynsbegäran.docx", "A 43702-2025")</f>
        <v/>
      </c>
      <c r="Y29">
        <f>HYPERLINK("https://klasma.github.io/Logging_0840/tillsynsmail/A 43702-2025 tillsynsbegäran mail.docx", "A 43702-2025")</f>
        <v/>
      </c>
    </row>
    <row r="30" ht="15" customHeight="1">
      <c r="A30" t="inlineStr">
        <is>
          <t>A 19459-2023</t>
        </is>
      </c>
      <c r="B30" s="1" t="n">
        <v>45049</v>
      </c>
      <c r="C30" s="1" t="n">
        <v>45953</v>
      </c>
      <c r="D30" t="inlineStr">
        <is>
          <t>KALMAR LÄN</t>
        </is>
      </c>
      <c r="E30" t="inlineStr">
        <is>
          <t>MÖRBYLÅNGA</t>
        </is>
      </c>
      <c r="G30" t="n">
        <v>1.6</v>
      </c>
      <c r="H30" t="n">
        <v>0</v>
      </c>
      <c r="I30" t="n">
        <v>0</v>
      </c>
      <c r="J30" t="n">
        <v>0</v>
      </c>
      <c r="K30" t="n">
        <v>1</v>
      </c>
      <c r="L30" t="n">
        <v>0</v>
      </c>
      <c r="M30" t="n">
        <v>0</v>
      </c>
      <c r="N30" t="n">
        <v>0</v>
      </c>
      <c r="O30" t="n">
        <v>1</v>
      </c>
      <c r="P30" t="n">
        <v>1</v>
      </c>
      <c r="Q30" t="n">
        <v>1</v>
      </c>
      <c r="R30" s="2" t="inlineStr">
        <is>
          <t>Luddvicker</t>
        </is>
      </c>
      <c r="S30">
        <f>HYPERLINK("https://klasma.github.io/Logging_0840/artfynd/A 19459-2023 artfynd.xlsx", "A 19459-2023")</f>
        <v/>
      </c>
      <c r="T30">
        <f>HYPERLINK("https://klasma.github.io/Logging_0840/kartor/A 19459-2023 karta.png", "A 19459-2023")</f>
        <v/>
      </c>
      <c r="V30">
        <f>HYPERLINK("https://klasma.github.io/Logging_0840/klagomål/A 19459-2023 FSC-klagomål.docx", "A 19459-2023")</f>
        <v/>
      </c>
      <c r="W30">
        <f>HYPERLINK("https://klasma.github.io/Logging_0840/klagomålsmail/A 19459-2023 FSC-klagomål mail.docx", "A 19459-2023")</f>
        <v/>
      </c>
      <c r="X30">
        <f>HYPERLINK("https://klasma.github.io/Logging_0840/tillsyn/A 19459-2023 tillsynsbegäran.docx", "A 19459-2023")</f>
        <v/>
      </c>
      <c r="Y30">
        <f>HYPERLINK("https://klasma.github.io/Logging_0840/tillsynsmail/A 19459-2023 tillsynsbegäran mail.docx", "A 19459-2023")</f>
        <v/>
      </c>
    </row>
    <row r="31" ht="15" customHeight="1">
      <c r="A31" t="inlineStr">
        <is>
          <t>A 26876-2022</t>
        </is>
      </c>
      <c r="B31" s="1" t="n">
        <v>44740</v>
      </c>
      <c r="C31" s="1" t="n">
        <v>45953</v>
      </c>
      <c r="D31" t="inlineStr">
        <is>
          <t>KALMAR LÄN</t>
        </is>
      </c>
      <c r="E31" t="inlineStr">
        <is>
          <t>MÖRBYLÅNGA</t>
        </is>
      </c>
      <c r="G31" t="n">
        <v>0.7</v>
      </c>
      <c r="H31" t="n">
        <v>0</v>
      </c>
      <c r="I31" t="n">
        <v>0</v>
      </c>
      <c r="J31" t="n">
        <v>0</v>
      </c>
      <c r="K31" t="n">
        <v>0</v>
      </c>
      <c r="L31" t="n">
        <v>0</v>
      </c>
      <c r="M31" t="n">
        <v>0</v>
      </c>
      <c r="N31" t="n">
        <v>0</v>
      </c>
      <c r="O31" t="n">
        <v>0</v>
      </c>
      <c r="P31" t="n">
        <v>0</v>
      </c>
      <c r="Q31" t="n">
        <v>0</v>
      </c>
      <c r="R31" s="2" t="inlineStr"/>
    </row>
    <row r="32" ht="15" customHeight="1">
      <c r="A32" t="inlineStr">
        <is>
          <t>A 13040-2024</t>
        </is>
      </c>
      <c r="B32" s="1" t="n">
        <v>45385</v>
      </c>
      <c r="C32" s="1" t="n">
        <v>45953</v>
      </c>
      <c r="D32" t="inlineStr">
        <is>
          <t>KALMAR LÄN</t>
        </is>
      </c>
      <c r="E32" t="inlineStr">
        <is>
          <t>MÖRBYLÅNGA</t>
        </is>
      </c>
      <c r="G32" t="n">
        <v>1.2</v>
      </c>
      <c r="H32" t="n">
        <v>0</v>
      </c>
      <c r="I32" t="n">
        <v>0</v>
      </c>
      <c r="J32" t="n">
        <v>0</v>
      </c>
      <c r="K32" t="n">
        <v>0</v>
      </c>
      <c r="L32" t="n">
        <v>0</v>
      </c>
      <c r="M32" t="n">
        <v>0</v>
      </c>
      <c r="N32" t="n">
        <v>0</v>
      </c>
      <c r="O32" t="n">
        <v>0</v>
      </c>
      <c r="P32" t="n">
        <v>0</v>
      </c>
      <c r="Q32" t="n">
        <v>0</v>
      </c>
      <c r="R32" s="2" t="inlineStr"/>
    </row>
    <row r="33" ht="15" customHeight="1">
      <c r="A33" t="inlineStr">
        <is>
          <t>A 63676-2023</t>
        </is>
      </c>
      <c r="B33" s="1" t="n">
        <v>45275.64739583333</v>
      </c>
      <c r="C33" s="1" t="n">
        <v>45953</v>
      </c>
      <c r="D33" t="inlineStr">
        <is>
          <t>KALMAR LÄN</t>
        </is>
      </c>
      <c r="E33" t="inlineStr">
        <is>
          <t>MÖRBYLÅNGA</t>
        </is>
      </c>
      <c r="G33" t="n">
        <v>1</v>
      </c>
      <c r="H33" t="n">
        <v>0</v>
      </c>
      <c r="I33" t="n">
        <v>0</v>
      </c>
      <c r="J33" t="n">
        <v>0</v>
      </c>
      <c r="K33" t="n">
        <v>0</v>
      </c>
      <c r="L33" t="n">
        <v>0</v>
      </c>
      <c r="M33" t="n">
        <v>0</v>
      </c>
      <c r="N33" t="n">
        <v>0</v>
      </c>
      <c r="O33" t="n">
        <v>0</v>
      </c>
      <c r="P33" t="n">
        <v>0</v>
      </c>
      <c r="Q33" t="n">
        <v>0</v>
      </c>
      <c r="R33" s="2" t="inlineStr"/>
    </row>
    <row r="34" ht="15" customHeight="1">
      <c r="A34" t="inlineStr">
        <is>
          <t>A 13384-2023</t>
        </is>
      </c>
      <c r="B34" s="1" t="n">
        <v>45005</v>
      </c>
      <c r="C34" s="1" t="n">
        <v>45953</v>
      </c>
      <c r="D34" t="inlineStr">
        <is>
          <t>KALMAR LÄN</t>
        </is>
      </c>
      <c r="E34" t="inlineStr">
        <is>
          <t>MÖRBYLÅNGA</t>
        </is>
      </c>
      <c r="G34" t="n">
        <v>0.9</v>
      </c>
      <c r="H34" t="n">
        <v>0</v>
      </c>
      <c r="I34" t="n">
        <v>0</v>
      </c>
      <c r="J34" t="n">
        <v>0</v>
      </c>
      <c r="K34" t="n">
        <v>0</v>
      </c>
      <c r="L34" t="n">
        <v>0</v>
      </c>
      <c r="M34" t="n">
        <v>0</v>
      </c>
      <c r="N34" t="n">
        <v>0</v>
      </c>
      <c r="O34" t="n">
        <v>0</v>
      </c>
      <c r="P34" t="n">
        <v>0</v>
      </c>
      <c r="Q34" t="n">
        <v>0</v>
      </c>
      <c r="R34" s="2" t="inlineStr"/>
    </row>
    <row r="35" ht="15" customHeight="1">
      <c r="A35" t="inlineStr">
        <is>
          <t>A 72167-2021</t>
        </is>
      </c>
      <c r="B35" s="1" t="n">
        <v>44544</v>
      </c>
      <c r="C35" s="1" t="n">
        <v>45953</v>
      </c>
      <c r="D35" t="inlineStr">
        <is>
          <t>KALMAR LÄN</t>
        </is>
      </c>
      <c r="E35" t="inlineStr">
        <is>
          <t>MÖRBYLÅNGA</t>
        </is>
      </c>
      <c r="G35" t="n">
        <v>3.5</v>
      </c>
      <c r="H35" t="n">
        <v>0</v>
      </c>
      <c r="I35" t="n">
        <v>0</v>
      </c>
      <c r="J35" t="n">
        <v>0</v>
      </c>
      <c r="K35" t="n">
        <v>0</v>
      </c>
      <c r="L35" t="n">
        <v>0</v>
      </c>
      <c r="M35" t="n">
        <v>0</v>
      </c>
      <c r="N35" t="n">
        <v>0</v>
      </c>
      <c r="O35" t="n">
        <v>0</v>
      </c>
      <c r="P35" t="n">
        <v>0</v>
      </c>
      <c r="Q35" t="n">
        <v>0</v>
      </c>
      <c r="R35" s="2" t="inlineStr"/>
    </row>
    <row r="36">
      <c r="A36" t="inlineStr">
        <is>
          <t>A 43704-2025</t>
        </is>
      </c>
      <c r="B36" s="1" t="n">
        <v>45912.40490740741</v>
      </c>
      <c r="C36" s="1" t="n">
        <v>45953</v>
      </c>
      <c r="D36" t="inlineStr">
        <is>
          <t>KALMAR LÄN</t>
        </is>
      </c>
      <c r="E36" t="inlineStr">
        <is>
          <t>MÖRBYLÅNGA</t>
        </is>
      </c>
      <c r="G36" t="n">
        <v>2.7</v>
      </c>
      <c r="H36" t="n">
        <v>0</v>
      </c>
      <c r="I36" t="n">
        <v>0</v>
      </c>
      <c r="J36" t="n">
        <v>0</v>
      </c>
      <c r="K36" t="n">
        <v>0</v>
      </c>
      <c r="L36" t="n">
        <v>0</v>
      </c>
      <c r="M36" t="n">
        <v>0</v>
      </c>
      <c r="N36" t="n">
        <v>0</v>
      </c>
      <c r="O36" t="n">
        <v>0</v>
      </c>
      <c r="P36" t="n">
        <v>0</v>
      </c>
      <c r="Q36" t="n">
        <v>0</v>
      </c>
      <c r="R3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2025-10-23T11:11:16Z</dcterms:created>
  <dcterms:modified xmlns:dcterms="http://purl.org/dc/terms/" xmlns:xsi="http://www.w3.org/2001/XMLSchema-instance" xsi:type="dcterms:W3CDTF">2025-10-23T11:11:16Z</dcterms:modified>
</cp:coreProperties>
</file>