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53293-2021</t>
        </is>
      </c>
      <c r="B2" s="1" t="n">
        <v>44468</v>
      </c>
      <c r="C2" s="1" t="n">
        <v>45948</v>
      </c>
      <c r="D2" t="inlineStr">
        <is>
          <t>KALMAR LÄN</t>
        </is>
      </c>
      <c r="E2" t="inlineStr">
        <is>
          <t>HULTSFRED</t>
        </is>
      </c>
      <c r="F2" t="inlineStr">
        <is>
          <t>Sveaskog</t>
        </is>
      </c>
      <c r="G2" t="n">
        <v>6</v>
      </c>
      <c r="H2" t="n">
        <v>4</v>
      </c>
      <c r="I2" t="n">
        <v>7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13</v>
      </c>
      <c r="R2" s="2" t="inlineStr">
        <is>
          <t>Almlav
Brunskaftad blekspik
Entita
Talltita
Vedtrappmossa
Grön sköldmossa
Guldlockmossa
Gulnål
Jättesvampmal
Kornknutmossa
Stubbspretmossa
Traslav
Blåsippa</t>
        </is>
      </c>
      <c r="S2">
        <f>HYPERLINK("https://klasma.github.io/Logging_0860/artfynd/A 53293-2021 artfynd.xlsx", "A 53293-2021")</f>
        <v/>
      </c>
      <c r="T2">
        <f>HYPERLINK("https://klasma.github.io/Logging_0860/kartor/A 53293-2021 karta.png", "A 53293-2021")</f>
        <v/>
      </c>
      <c r="V2">
        <f>HYPERLINK("https://klasma.github.io/Logging_0860/klagomål/A 53293-2021 FSC-klagomål.docx", "A 53293-2021")</f>
        <v/>
      </c>
      <c r="W2">
        <f>HYPERLINK("https://klasma.github.io/Logging_0860/klagomålsmail/A 53293-2021 FSC-klagomål mail.docx", "A 53293-2021")</f>
        <v/>
      </c>
      <c r="X2">
        <f>HYPERLINK("https://klasma.github.io/Logging_0860/tillsyn/A 53293-2021 tillsynsbegäran.docx", "A 53293-2021")</f>
        <v/>
      </c>
      <c r="Y2">
        <f>HYPERLINK("https://klasma.github.io/Logging_0860/tillsynsmail/A 53293-2021 tillsynsbegäran mail.docx", "A 53293-2021")</f>
        <v/>
      </c>
      <c r="Z2">
        <f>HYPERLINK("https://klasma.github.io/Logging_0860/fåglar/A 53293-2021 prioriterade fågelarter.docx", "A 53293-2021")</f>
        <v/>
      </c>
    </row>
    <row r="3" ht="15" customHeight="1">
      <c r="A3" t="inlineStr">
        <is>
          <t>A 66612-2020</t>
        </is>
      </c>
      <c r="B3" s="1" t="n">
        <v>44175</v>
      </c>
      <c r="C3" s="1" t="n">
        <v>45948</v>
      </c>
      <c r="D3" t="inlineStr">
        <is>
          <t>KALMAR LÄN</t>
        </is>
      </c>
      <c r="E3" t="inlineStr">
        <is>
          <t>HULTSFRED</t>
        </is>
      </c>
      <c r="G3" t="n">
        <v>14</v>
      </c>
      <c r="H3" t="n">
        <v>4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Spillkråka
Tallticka
Talltita
Vedtrappmossa
Blåmossa
Dropptaggsvamp
Grönpyrola
Guldlockmossa
Tibast
Blåsippa</t>
        </is>
      </c>
      <c r="S3">
        <f>HYPERLINK("https://klasma.github.io/Logging_0860/artfynd/A 66612-2020 artfynd.xlsx", "A 66612-2020")</f>
        <v/>
      </c>
      <c r="T3">
        <f>HYPERLINK("https://klasma.github.io/Logging_0860/kartor/A 66612-2020 karta.png", "A 66612-2020")</f>
        <v/>
      </c>
      <c r="U3">
        <f>HYPERLINK("https://klasma.github.io/Logging_0860/knärot/A 66612-2020 karta knärot.png", "A 66612-2020")</f>
        <v/>
      </c>
      <c r="V3">
        <f>HYPERLINK("https://klasma.github.io/Logging_0860/klagomål/A 66612-2020 FSC-klagomål.docx", "A 66612-2020")</f>
        <v/>
      </c>
      <c r="W3">
        <f>HYPERLINK("https://klasma.github.io/Logging_0860/klagomålsmail/A 66612-2020 FSC-klagomål mail.docx", "A 66612-2020")</f>
        <v/>
      </c>
      <c r="X3">
        <f>HYPERLINK("https://klasma.github.io/Logging_0860/tillsyn/A 66612-2020 tillsynsbegäran.docx", "A 66612-2020")</f>
        <v/>
      </c>
      <c r="Y3">
        <f>HYPERLINK("https://klasma.github.io/Logging_0860/tillsynsmail/A 66612-2020 tillsynsbegäran mail.docx", "A 66612-2020")</f>
        <v/>
      </c>
      <c r="Z3">
        <f>HYPERLINK("https://klasma.github.io/Logging_0860/fåglar/A 66612-2020 prioriterade fågelarter.docx", "A 66612-2020")</f>
        <v/>
      </c>
    </row>
    <row r="4" ht="15" customHeight="1">
      <c r="A4" t="inlineStr">
        <is>
          <t>A 28212-2024</t>
        </is>
      </c>
      <c r="B4" s="1" t="n">
        <v>45477.35888888889</v>
      </c>
      <c r="C4" s="1" t="n">
        <v>45948</v>
      </c>
      <c r="D4" t="inlineStr">
        <is>
          <t>KALMAR LÄN</t>
        </is>
      </c>
      <c r="E4" t="inlineStr">
        <is>
          <t>HULTSFRED</t>
        </is>
      </c>
      <c r="G4" t="n">
        <v>3.4</v>
      </c>
      <c r="H4" t="n">
        <v>4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9</v>
      </c>
      <c r="R4" s="2" t="inlineStr">
        <is>
          <t>Knärot
Spillkråka
Bronshjon
Dropptaggsvamp
Grönpyrola
Gulnål
Kornig nållav
Vanlig groda
Blåsippa</t>
        </is>
      </c>
      <c r="S4">
        <f>HYPERLINK("https://klasma.github.io/Logging_0860/artfynd/A 28212-2024 artfynd.xlsx", "A 28212-2024")</f>
        <v/>
      </c>
      <c r="T4">
        <f>HYPERLINK("https://klasma.github.io/Logging_0860/kartor/A 28212-2024 karta.png", "A 28212-2024")</f>
        <v/>
      </c>
      <c r="U4">
        <f>HYPERLINK("https://klasma.github.io/Logging_0860/knärot/A 28212-2024 karta knärot.png", "A 28212-2024")</f>
        <v/>
      </c>
      <c r="V4">
        <f>HYPERLINK("https://klasma.github.io/Logging_0860/klagomål/A 28212-2024 FSC-klagomål.docx", "A 28212-2024")</f>
        <v/>
      </c>
      <c r="W4">
        <f>HYPERLINK("https://klasma.github.io/Logging_0860/klagomålsmail/A 28212-2024 FSC-klagomål mail.docx", "A 28212-2024")</f>
        <v/>
      </c>
      <c r="X4">
        <f>HYPERLINK("https://klasma.github.io/Logging_0860/tillsyn/A 28212-2024 tillsynsbegäran.docx", "A 28212-2024")</f>
        <v/>
      </c>
      <c r="Y4">
        <f>HYPERLINK("https://klasma.github.io/Logging_0860/tillsynsmail/A 28212-2024 tillsynsbegäran mail.docx", "A 28212-2024")</f>
        <v/>
      </c>
      <c r="Z4">
        <f>HYPERLINK("https://klasma.github.io/Logging_0860/fåglar/A 28212-2024 prioriterade fågelarter.docx", "A 28212-2024")</f>
        <v/>
      </c>
    </row>
    <row r="5" ht="15" customHeight="1">
      <c r="A5" t="inlineStr">
        <is>
          <t>A 15095-2024</t>
        </is>
      </c>
      <c r="B5" s="1" t="n">
        <v>45399</v>
      </c>
      <c r="C5" s="1" t="n">
        <v>45948</v>
      </c>
      <c r="D5" t="inlineStr">
        <is>
          <t>KALMAR LÄN</t>
        </is>
      </c>
      <c r="E5" t="inlineStr">
        <is>
          <t>HULTSFRED</t>
        </is>
      </c>
      <c r="G5" t="n">
        <v>1.4</v>
      </c>
      <c r="H5" t="n">
        <v>5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Knärot
Tallticka
Ullticka
Kungsfågel
Skogsduva
Vanlig groda
Revlummer</t>
        </is>
      </c>
      <c r="S5">
        <f>HYPERLINK("https://klasma.github.io/Logging_0860/artfynd/A 15095-2024 artfynd.xlsx", "A 15095-2024")</f>
        <v/>
      </c>
      <c r="T5">
        <f>HYPERLINK("https://klasma.github.io/Logging_0860/kartor/A 15095-2024 karta.png", "A 15095-2024")</f>
        <v/>
      </c>
      <c r="U5">
        <f>HYPERLINK("https://klasma.github.io/Logging_0860/knärot/A 15095-2024 karta knärot.png", "A 15095-2024")</f>
        <v/>
      </c>
      <c r="V5">
        <f>HYPERLINK("https://klasma.github.io/Logging_0860/klagomål/A 15095-2024 FSC-klagomål.docx", "A 15095-2024")</f>
        <v/>
      </c>
      <c r="W5">
        <f>HYPERLINK("https://klasma.github.io/Logging_0860/klagomålsmail/A 15095-2024 FSC-klagomål mail.docx", "A 15095-2024")</f>
        <v/>
      </c>
      <c r="X5">
        <f>HYPERLINK("https://klasma.github.io/Logging_0860/tillsyn/A 15095-2024 tillsynsbegäran.docx", "A 15095-2024")</f>
        <v/>
      </c>
      <c r="Y5">
        <f>HYPERLINK("https://klasma.github.io/Logging_0860/tillsynsmail/A 15095-2024 tillsynsbegäran mail.docx", "A 15095-2024")</f>
        <v/>
      </c>
      <c r="Z5">
        <f>HYPERLINK("https://klasma.github.io/Logging_0860/fåglar/A 15095-2024 prioriterade fågelarter.docx", "A 15095-2024")</f>
        <v/>
      </c>
    </row>
    <row r="6" ht="15" customHeight="1">
      <c r="A6" t="inlineStr">
        <is>
          <t>A 37640-2024</t>
        </is>
      </c>
      <c r="B6" s="1" t="n">
        <v>45541</v>
      </c>
      <c r="C6" s="1" t="n">
        <v>45948</v>
      </c>
      <c r="D6" t="inlineStr">
        <is>
          <t>KALMAR LÄN</t>
        </is>
      </c>
      <c r="E6" t="inlineStr">
        <is>
          <t>HULTSFRED</t>
        </is>
      </c>
      <c r="F6" t="inlineStr">
        <is>
          <t>Övriga Aktiebolag</t>
        </is>
      </c>
      <c r="G6" t="n">
        <v>4.6</v>
      </c>
      <c r="H6" t="n">
        <v>5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Talltita
Ärtsångare
Grönpyrola
Blåsippa</t>
        </is>
      </c>
      <c r="S6">
        <f>HYPERLINK("https://klasma.github.io/Logging_0860/artfynd/A 37640-2024 artfynd.xlsx", "A 37640-2024")</f>
        <v/>
      </c>
      <c r="T6">
        <f>HYPERLINK("https://klasma.github.io/Logging_0860/kartor/A 37640-2024 karta.png", "A 37640-2024")</f>
        <v/>
      </c>
      <c r="U6">
        <f>HYPERLINK("https://klasma.github.io/Logging_0860/knärot/A 37640-2024 karta knärot.png", "A 37640-2024")</f>
        <v/>
      </c>
      <c r="V6">
        <f>HYPERLINK("https://klasma.github.io/Logging_0860/klagomål/A 37640-2024 FSC-klagomål.docx", "A 37640-2024")</f>
        <v/>
      </c>
      <c r="W6">
        <f>HYPERLINK("https://klasma.github.io/Logging_0860/klagomålsmail/A 37640-2024 FSC-klagomål mail.docx", "A 37640-2024")</f>
        <v/>
      </c>
      <c r="X6">
        <f>HYPERLINK("https://klasma.github.io/Logging_0860/tillsyn/A 37640-2024 tillsynsbegäran.docx", "A 37640-2024")</f>
        <v/>
      </c>
      <c r="Y6">
        <f>HYPERLINK("https://klasma.github.io/Logging_0860/tillsynsmail/A 37640-2024 tillsynsbegäran mail.docx", "A 37640-2024")</f>
        <v/>
      </c>
      <c r="Z6">
        <f>HYPERLINK("https://klasma.github.io/Logging_0860/fåglar/A 37640-2024 prioriterade fågelarter.docx", "A 37640-2024")</f>
        <v/>
      </c>
    </row>
    <row r="7" ht="15" customHeight="1">
      <c r="A7" t="inlineStr">
        <is>
          <t>A 37626-2024</t>
        </is>
      </c>
      <c r="B7" s="1" t="n">
        <v>45541</v>
      </c>
      <c r="C7" s="1" t="n">
        <v>45948</v>
      </c>
      <c r="D7" t="inlineStr">
        <is>
          <t>KALMAR LÄN</t>
        </is>
      </c>
      <c r="E7" t="inlineStr">
        <is>
          <t>HULTSFRED</t>
        </is>
      </c>
      <c r="F7" t="inlineStr">
        <is>
          <t>Övriga Aktiebolag</t>
        </is>
      </c>
      <c r="G7" t="n">
        <v>5.7</v>
      </c>
      <c r="H7" t="n">
        <v>4</v>
      </c>
      <c r="I7" t="n">
        <v>1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Ryl
Knärot
Spillkråka
Talltita
Dropptaggsvamp
Blåsippa</t>
        </is>
      </c>
      <c r="S7">
        <f>HYPERLINK("https://klasma.github.io/Logging_0860/artfynd/A 37626-2024 artfynd.xlsx", "A 37626-2024")</f>
        <v/>
      </c>
      <c r="T7">
        <f>HYPERLINK("https://klasma.github.io/Logging_0860/kartor/A 37626-2024 karta.png", "A 37626-2024")</f>
        <v/>
      </c>
      <c r="U7">
        <f>HYPERLINK("https://klasma.github.io/Logging_0860/knärot/A 37626-2024 karta knärot.png", "A 37626-2024")</f>
        <v/>
      </c>
      <c r="V7">
        <f>HYPERLINK("https://klasma.github.io/Logging_0860/klagomål/A 37626-2024 FSC-klagomål.docx", "A 37626-2024")</f>
        <v/>
      </c>
      <c r="W7">
        <f>HYPERLINK("https://klasma.github.io/Logging_0860/klagomålsmail/A 37626-2024 FSC-klagomål mail.docx", "A 37626-2024")</f>
        <v/>
      </c>
      <c r="X7">
        <f>HYPERLINK("https://klasma.github.io/Logging_0860/tillsyn/A 37626-2024 tillsynsbegäran.docx", "A 37626-2024")</f>
        <v/>
      </c>
      <c r="Y7">
        <f>HYPERLINK("https://klasma.github.io/Logging_0860/tillsynsmail/A 37626-2024 tillsynsbegäran mail.docx", "A 37626-2024")</f>
        <v/>
      </c>
      <c r="Z7">
        <f>HYPERLINK("https://klasma.github.io/Logging_0860/fåglar/A 37626-2024 prioriterade fågelarter.docx", "A 37626-2024")</f>
        <v/>
      </c>
    </row>
    <row r="8" ht="15" customHeight="1">
      <c r="A8" t="inlineStr">
        <is>
          <t>A 45167-2024</t>
        </is>
      </c>
      <c r="B8" s="1" t="n">
        <v>45575</v>
      </c>
      <c r="C8" s="1" t="n">
        <v>45948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0</v>
      </c>
      <c r="I8" t="n">
        <v>1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Karelsk maskros
Persiljespindling
Slåtterfibbla
Tallticka
Dvärgkällmossa</t>
        </is>
      </c>
      <c r="S8">
        <f>HYPERLINK("https://klasma.github.io/Logging_0860/artfynd/A 45167-2024 artfynd.xlsx", "A 45167-2024")</f>
        <v/>
      </c>
      <c r="T8">
        <f>HYPERLINK("https://klasma.github.io/Logging_0860/kartor/A 45167-2024 karta.png", "A 45167-2024")</f>
        <v/>
      </c>
      <c r="V8">
        <f>HYPERLINK("https://klasma.github.io/Logging_0860/klagomål/A 45167-2024 FSC-klagomål.docx", "A 45167-2024")</f>
        <v/>
      </c>
      <c r="W8">
        <f>HYPERLINK("https://klasma.github.io/Logging_0860/klagomålsmail/A 45167-2024 FSC-klagomål mail.docx", "A 45167-2024")</f>
        <v/>
      </c>
      <c r="X8">
        <f>HYPERLINK("https://klasma.github.io/Logging_0860/tillsyn/A 45167-2024 tillsynsbegäran.docx", "A 45167-2024")</f>
        <v/>
      </c>
      <c r="Y8">
        <f>HYPERLINK("https://klasma.github.io/Logging_0860/tillsynsmail/A 45167-2024 tillsynsbegäran mail.docx", "A 45167-2024")</f>
        <v/>
      </c>
    </row>
    <row r="9" ht="15" customHeight="1">
      <c r="A9" t="inlineStr">
        <is>
          <t>A 55135-2021</t>
        </is>
      </c>
      <c r="B9" s="1" t="n">
        <v>44474</v>
      </c>
      <c r="C9" s="1" t="n">
        <v>45948</v>
      </c>
      <c r="D9" t="inlineStr">
        <is>
          <t>KALMAR LÄN</t>
        </is>
      </c>
      <c r="E9" t="inlineStr">
        <is>
          <t>HULTSFRED</t>
        </is>
      </c>
      <c r="G9" t="n">
        <v>2.2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Druvfingersvamp
Grovticka
Skarp dropptaggsvamp</t>
        </is>
      </c>
      <c r="S9">
        <f>HYPERLINK("https://klasma.github.io/Logging_0860/artfynd/A 55135-2021 artfynd.xlsx", "A 55135-2021")</f>
        <v/>
      </c>
      <c r="T9">
        <f>HYPERLINK("https://klasma.github.io/Logging_0860/kartor/A 55135-2021 karta.png", "A 55135-2021")</f>
        <v/>
      </c>
      <c r="U9">
        <f>HYPERLINK("https://klasma.github.io/Logging_0860/knärot/A 55135-2021 karta knärot.png", "A 55135-2021")</f>
        <v/>
      </c>
      <c r="V9">
        <f>HYPERLINK("https://klasma.github.io/Logging_0860/klagomål/A 55135-2021 FSC-klagomål.docx", "A 55135-2021")</f>
        <v/>
      </c>
      <c r="W9">
        <f>HYPERLINK("https://klasma.github.io/Logging_0860/klagomålsmail/A 55135-2021 FSC-klagomål mail.docx", "A 55135-2021")</f>
        <v/>
      </c>
      <c r="X9">
        <f>HYPERLINK("https://klasma.github.io/Logging_0860/tillsyn/A 55135-2021 tillsynsbegäran.docx", "A 55135-2021")</f>
        <v/>
      </c>
      <c r="Y9">
        <f>HYPERLINK("https://klasma.github.io/Logging_0860/tillsynsmail/A 55135-2021 tillsynsbegäran mail.docx", "A 55135-2021")</f>
        <v/>
      </c>
    </row>
    <row r="10" ht="15" customHeight="1">
      <c r="A10" t="inlineStr">
        <is>
          <t>A 73465-2021</t>
        </is>
      </c>
      <c r="B10" s="1" t="n">
        <v>44551</v>
      </c>
      <c r="C10" s="1" t="n">
        <v>45948</v>
      </c>
      <c r="D10" t="inlineStr">
        <is>
          <t>KALMAR LÄN</t>
        </is>
      </c>
      <c r="E10" t="inlineStr">
        <is>
          <t>HULTSFRED</t>
        </is>
      </c>
      <c r="G10" t="n">
        <v>1.4</v>
      </c>
      <c r="H10" t="n">
        <v>3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Dropptaggsvamp
Blåsippa
Revlummer</t>
        </is>
      </c>
      <c r="S10">
        <f>HYPERLINK("https://klasma.github.io/Logging_0860/artfynd/A 73465-2021 artfynd.xlsx", "A 73465-2021")</f>
        <v/>
      </c>
      <c r="T10">
        <f>HYPERLINK("https://klasma.github.io/Logging_0860/kartor/A 73465-2021 karta.png", "A 73465-2021")</f>
        <v/>
      </c>
      <c r="U10">
        <f>HYPERLINK("https://klasma.github.io/Logging_0860/knärot/A 73465-2021 karta knärot.png", "A 73465-2021")</f>
        <v/>
      </c>
      <c r="V10">
        <f>HYPERLINK("https://klasma.github.io/Logging_0860/klagomål/A 73465-2021 FSC-klagomål.docx", "A 73465-2021")</f>
        <v/>
      </c>
      <c r="W10">
        <f>HYPERLINK("https://klasma.github.io/Logging_0860/klagomålsmail/A 73465-2021 FSC-klagomål mail.docx", "A 73465-2021")</f>
        <v/>
      </c>
      <c r="X10">
        <f>HYPERLINK("https://klasma.github.io/Logging_0860/tillsyn/A 73465-2021 tillsynsbegäran.docx", "A 73465-2021")</f>
        <v/>
      </c>
      <c r="Y10">
        <f>HYPERLINK("https://klasma.github.io/Logging_0860/tillsynsmail/A 73465-2021 tillsynsbegäran mail.docx", "A 73465-2021")</f>
        <v/>
      </c>
    </row>
    <row r="11" ht="15" customHeight="1">
      <c r="A11" t="inlineStr">
        <is>
          <t>A 10511-2021</t>
        </is>
      </c>
      <c r="B11" s="1" t="n">
        <v>44258</v>
      </c>
      <c r="C11" s="1" t="n">
        <v>45948</v>
      </c>
      <c r="D11" t="inlineStr">
        <is>
          <t>KALMAR LÄN</t>
        </is>
      </c>
      <c r="E11" t="inlineStr">
        <is>
          <t>HULTSFRED</t>
        </is>
      </c>
      <c r="G11" t="n">
        <v>4.7</v>
      </c>
      <c r="H11" t="n">
        <v>3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Talltita
Grovticka
Blåsippa</t>
        </is>
      </c>
      <c r="S11">
        <f>HYPERLINK("https://klasma.github.io/Logging_0860/artfynd/A 10511-2021 artfynd.xlsx", "A 10511-2021")</f>
        <v/>
      </c>
      <c r="T11">
        <f>HYPERLINK("https://klasma.github.io/Logging_0860/kartor/A 10511-2021 karta.png", "A 10511-2021")</f>
        <v/>
      </c>
      <c r="U11">
        <f>HYPERLINK("https://klasma.github.io/Logging_0860/knärot/A 10511-2021 karta knärot.png", "A 10511-2021")</f>
        <v/>
      </c>
      <c r="V11">
        <f>HYPERLINK("https://klasma.github.io/Logging_0860/klagomål/A 10511-2021 FSC-klagomål.docx", "A 10511-2021")</f>
        <v/>
      </c>
      <c r="W11">
        <f>HYPERLINK("https://klasma.github.io/Logging_0860/klagomålsmail/A 10511-2021 FSC-klagomål mail.docx", "A 10511-2021")</f>
        <v/>
      </c>
      <c r="X11">
        <f>HYPERLINK("https://klasma.github.io/Logging_0860/tillsyn/A 10511-2021 tillsynsbegäran.docx", "A 10511-2021")</f>
        <v/>
      </c>
      <c r="Y11">
        <f>HYPERLINK("https://klasma.github.io/Logging_0860/tillsynsmail/A 10511-2021 tillsynsbegäran mail.docx", "A 10511-2021")</f>
        <v/>
      </c>
      <c r="Z11">
        <f>HYPERLINK("https://klasma.github.io/Logging_0860/fåglar/A 10511-2021 prioriterade fågelarter.docx", "A 10511-2021")</f>
        <v/>
      </c>
    </row>
    <row r="12" ht="15" customHeight="1">
      <c r="A12" t="inlineStr">
        <is>
          <t>A 4574-2021</t>
        </is>
      </c>
      <c r="B12" s="1" t="n">
        <v>44224</v>
      </c>
      <c r="C12" s="1" t="n">
        <v>45948</v>
      </c>
      <c r="D12" t="inlineStr">
        <is>
          <t>KALMAR LÄN</t>
        </is>
      </c>
      <c r="E12" t="inlineStr">
        <is>
          <t>HULTSFRED</t>
        </is>
      </c>
      <c r="G12" t="n">
        <v>7.2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Fläcknycklar
Grönvit nattviol
Mattlummer</t>
        </is>
      </c>
      <c r="S12">
        <f>HYPERLINK("https://klasma.github.io/Logging_0860/artfynd/A 4574-2021 artfynd.xlsx", "A 4574-2021")</f>
        <v/>
      </c>
      <c r="T12">
        <f>HYPERLINK("https://klasma.github.io/Logging_0860/kartor/A 4574-2021 karta.png", "A 4574-2021")</f>
        <v/>
      </c>
      <c r="V12">
        <f>HYPERLINK("https://klasma.github.io/Logging_0860/klagomål/A 4574-2021 FSC-klagomål.docx", "A 4574-2021")</f>
        <v/>
      </c>
      <c r="W12">
        <f>HYPERLINK("https://klasma.github.io/Logging_0860/klagomålsmail/A 4574-2021 FSC-klagomål mail.docx", "A 4574-2021")</f>
        <v/>
      </c>
      <c r="X12">
        <f>HYPERLINK("https://klasma.github.io/Logging_0860/tillsyn/A 4574-2021 tillsynsbegäran.docx", "A 4574-2021")</f>
        <v/>
      </c>
      <c r="Y12">
        <f>HYPERLINK("https://klasma.github.io/Logging_0860/tillsynsmail/A 4574-2021 tillsynsbegäran mail.docx", "A 4574-2021")</f>
        <v/>
      </c>
    </row>
    <row r="13" ht="15" customHeight="1">
      <c r="A13" t="inlineStr">
        <is>
          <t>A 12711-2022</t>
        </is>
      </c>
      <c r="B13" s="1" t="n">
        <v>44641</v>
      </c>
      <c r="C13" s="1" t="n">
        <v>45948</v>
      </c>
      <c r="D13" t="inlineStr">
        <is>
          <t>KALMAR LÄN</t>
        </is>
      </c>
      <c r="E13" t="inlineStr">
        <is>
          <t>HULTSFRED</t>
        </is>
      </c>
      <c r="F13" t="inlineStr">
        <is>
          <t>Kommuner</t>
        </is>
      </c>
      <c r="G13" t="n">
        <v>0.4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Kungsfiskare
Tibast
Gullviva</t>
        </is>
      </c>
      <c r="S13">
        <f>HYPERLINK("https://klasma.github.io/Logging_0860/artfynd/A 12711-2022 artfynd.xlsx", "A 12711-2022")</f>
        <v/>
      </c>
      <c r="T13">
        <f>HYPERLINK("https://klasma.github.io/Logging_0860/kartor/A 12711-2022 karta.png", "A 12711-2022")</f>
        <v/>
      </c>
      <c r="V13">
        <f>HYPERLINK("https://klasma.github.io/Logging_0860/klagomål/A 12711-2022 FSC-klagomål.docx", "A 12711-2022")</f>
        <v/>
      </c>
      <c r="W13">
        <f>HYPERLINK("https://klasma.github.io/Logging_0860/klagomålsmail/A 12711-2022 FSC-klagomål mail.docx", "A 12711-2022")</f>
        <v/>
      </c>
      <c r="X13">
        <f>HYPERLINK("https://klasma.github.io/Logging_0860/tillsyn/A 12711-2022 tillsynsbegäran.docx", "A 12711-2022")</f>
        <v/>
      </c>
      <c r="Y13">
        <f>HYPERLINK("https://klasma.github.io/Logging_0860/tillsynsmail/A 12711-2022 tillsynsbegäran mail.docx", "A 12711-2022")</f>
        <v/>
      </c>
    </row>
    <row r="14" ht="15" customHeight="1">
      <c r="A14" t="inlineStr">
        <is>
          <t>A 16469-2023</t>
        </is>
      </c>
      <c r="B14" s="1" t="n">
        <v>45026</v>
      </c>
      <c r="C14" s="1" t="n">
        <v>45948</v>
      </c>
      <c r="D14" t="inlineStr">
        <is>
          <t>KALMAR LÄN</t>
        </is>
      </c>
      <c r="E14" t="inlineStr">
        <is>
          <t>HULTSFRED</t>
        </is>
      </c>
      <c r="G14" t="n">
        <v>18.5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Gullklöver
Smalsprötad bastardsvärmare
Svartvit taggsvamp</t>
        </is>
      </c>
      <c r="S14">
        <f>HYPERLINK("https://klasma.github.io/Logging_0860/artfynd/A 16469-2023 artfynd.xlsx", "A 16469-2023")</f>
        <v/>
      </c>
      <c r="T14">
        <f>HYPERLINK("https://klasma.github.io/Logging_0860/kartor/A 16469-2023 karta.png", "A 16469-2023")</f>
        <v/>
      </c>
      <c r="V14">
        <f>HYPERLINK("https://klasma.github.io/Logging_0860/klagomål/A 16469-2023 FSC-klagomål.docx", "A 16469-2023")</f>
        <v/>
      </c>
      <c r="W14">
        <f>HYPERLINK("https://klasma.github.io/Logging_0860/klagomålsmail/A 16469-2023 FSC-klagomål mail.docx", "A 16469-2023")</f>
        <v/>
      </c>
      <c r="X14">
        <f>HYPERLINK("https://klasma.github.io/Logging_0860/tillsyn/A 16469-2023 tillsynsbegäran.docx", "A 16469-2023")</f>
        <v/>
      </c>
      <c r="Y14">
        <f>HYPERLINK("https://klasma.github.io/Logging_0860/tillsynsmail/A 16469-2023 tillsynsbegäran mail.docx", "A 16469-2023")</f>
        <v/>
      </c>
    </row>
    <row r="15" ht="15" customHeight="1">
      <c r="A15" t="inlineStr">
        <is>
          <t>A 40302-2022</t>
        </is>
      </c>
      <c r="B15" s="1" t="n">
        <v>44822</v>
      </c>
      <c r="C15" s="1" t="n">
        <v>45948</v>
      </c>
      <c r="D15" t="inlineStr">
        <is>
          <t>KALMAR LÄN</t>
        </is>
      </c>
      <c r="E15" t="inlineStr">
        <is>
          <t>HULTSFRED</t>
        </is>
      </c>
      <c r="G15" t="n">
        <v>2.3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HYPERLINK("https://klasma.github.io/Logging_0860/artfynd/A 40302-2022 artfynd.xlsx", "A 40302-2022")</f>
        <v/>
      </c>
      <c r="T15">
        <f>HYPERLINK("https://klasma.github.io/Logging_0860/kartor/A 40302-2022 karta.png", "A 40302-2022")</f>
        <v/>
      </c>
      <c r="V15">
        <f>HYPERLINK("https://klasma.github.io/Logging_0860/klagomål/A 40302-2022 FSC-klagomål.docx", "A 40302-2022")</f>
        <v/>
      </c>
      <c r="W15">
        <f>HYPERLINK("https://klasma.github.io/Logging_0860/klagomålsmail/A 40302-2022 FSC-klagomål mail.docx", "A 40302-2022")</f>
        <v/>
      </c>
      <c r="X15">
        <f>HYPERLINK("https://klasma.github.io/Logging_0860/tillsyn/A 40302-2022 tillsynsbegäran.docx", "A 40302-2022")</f>
        <v/>
      </c>
      <c r="Y15">
        <f>HYPERLINK("https://klasma.github.io/Logging_0860/tillsynsmail/A 40302-2022 tillsynsbegäran mail.docx", "A 40302-2022")</f>
        <v/>
      </c>
    </row>
    <row r="16" ht="15" customHeight="1">
      <c r="A16" t="inlineStr">
        <is>
          <t>A 10673-2024</t>
        </is>
      </c>
      <c r="B16" s="1" t="n">
        <v>45369.35270833333</v>
      </c>
      <c r="C16" s="1" t="n">
        <v>45948</v>
      </c>
      <c r="D16" t="inlineStr">
        <is>
          <t>KALMAR LÄN</t>
        </is>
      </c>
      <c r="E16" t="inlineStr">
        <is>
          <t>HULTSFRED</t>
        </is>
      </c>
      <c r="G16" t="n">
        <v>2</v>
      </c>
      <c r="H16" t="n">
        <v>3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Spillkråka
Blåsippa</t>
        </is>
      </c>
      <c r="S16">
        <f>HYPERLINK("https://klasma.github.io/Logging_0860/artfynd/A 10673-2024 artfynd.xlsx", "A 10673-2024")</f>
        <v/>
      </c>
      <c r="T16">
        <f>HYPERLINK("https://klasma.github.io/Logging_0860/kartor/A 10673-2024 karta.png", "A 10673-2024")</f>
        <v/>
      </c>
      <c r="U16">
        <f>HYPERLINK("https://klasma.github.io/Logging_0860/knärot/A 10673-2024 karta knärot.png", "A 10673-2024")</f>
        <v/>
      </c>
      <c r="V16">
        <f>HYPERLINK("https://klasma.github.io/Logging_0860/klagomål/A 10673-2024 FSC-klagomål.docx", "A 10673-2024")</f>
        <v/>
      </c>
      <c r="W16">
        <f>HYPERLINK("https://klasma.github.io/Logging_0860/klagomålsmail/A 10673-2024 FSC-klagomål mail.docx", "A 10673-2024")</f>
        <v/>
      </c>
      <c r="X16">
        <f>HYPERLINK("https://klasma.github.io/Logging_0860/tillsyn/A 10673-2024 tillsynsbegäran.docx", "A 10673-2024")</f>
        <v/>
      </c>
      <c r="Y16">
        <f>HYPERLINK("https://klasma.github.io/Logging_0860/tillsynsmail/A 10673-2024 tillsynsbegäran mail.docx", "A 10673-2024")</f>
        <v/>
      </c>
      <c r="Z16">
        <f>HYPERLINK("https://klasma.github.io/Logging_0860/fåglar/A 10673-2024 prioriterade fågelarter.docx", "A 10673-2024")</f>
        <v/>
      </c>
    </row>
    <row r="17" ht="15" customHeight="1">
      <c r="A17" t="inlineStr">
        <is>
          <t>A 15170-2024</t>
        </is>
      </c>
      <c r="B17" s="1" t="n">
        <v>45400</v>
      </c>
      <c r="C17" s="1" t="n">
        <v>45948</v>
      </c>
      <c r="D17" t="inlineStr">
        <is>
          <t>KALMAR LÄN</t>
        </is>
      </c>
      <c r="E17" t="inlineStr">
        <is>
          <t>HULTSFRED</t>
        </is>
      </c>
      <c r="G17" t="n">
        <v>1.5</v>
      </c>
      <c r="H17" t="n">
        <v>1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Rostfläck
Vårärt
Blåsippa</t>
        </is>
      </c>
      <c r="S17">
        <f>HYPERLINK("https://klasma.github.io/Logging_0860/artfynd/A 15170-2024 artfynd.xlsx", "A 15170-2024")</f>
        <v/>
      </c>
      <c r="T17">
        <f>HYPERLINK("https://klasma.github.io/Logging_0860/kartor/A 15170-2024 karta.png", "A 15170-2024")</f>
        <v/>
      </c>
      <c r="U17">
        <f>HYPERLINK("https://klasma.github.io/Logging_0860/knärot/A 15170-2024 karta knärot.png", "A 15170-2024")</f>
        <v/>
      </c>
      <c r="V17">
        <f>HYPERLINK("https://klasma.github.io/Logging_0860/klagomål/A 15170-2024 FSC-klagomål.docx", "A 15170-2024")</f>
        <v/>
      </c>
      <c r="W17">
        <f>HYPERLINK("https://klasma.github.io/Logging_0860/klagomålsmail/A 15170-2024 FSC-klagomål mail.docx", "A 15170-2024")</f>
        <v/>
      </c>
      <c r="X17">
        <f>HYPERLINK("https://klasma.github.io/Logging_0860/tillsyn/A 15170-2024 tillsynsbegäran.docx", "A 15170-2024")</f>
        <v/>
      </c>
      <c r="Y17">
        <f>HYPERLINK("https://klasma.github.io/Logging_0860/tillsynsmail/A 15170-2024 tillsynsbegäran mail.docx", "A 15170-2024")</f>
        <v/>
      </c>
    </row>
    <row r="18" ht="15" customHeight="1">
      <c r="A18" t="inlineStr">
        <is>
          <t>A 11002-2025</t>
        </is>
      </c>
      <c r="B18" s="1" t="n">
        <v>45723.44277777777</v>
      </c>
      <c r="C18" s="1" t="n">
        <v>45948</v>
      </c>
      <c r="D18" t="inlineStr">
        <is>
          <t>KALMAR LÄN</t>
        </is>
      </c>
      <c r="E18" t="inlineStr">
        <is>
          <t>HULTSFRED</t>
        </is>
      </c>
      <c r="F18" t="inlineStr">
        <is>
          <t>Sveaskog</t>
        </is>
      </c>
      <c r="G18" t="n">
        <v>3.1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Grönsångare
Spillkråka</t>
        </is>
      </c>
      <c r="S18">
        <f>HYPERLINK("https://klasma.github.io/Logging_0860/artfynd/A 11002-2025 artfynd.xlsx", "A 11002-2025")</f>
        <v/>
      </c>
      <c r="T18">
        <f>HYPERLINK("https://klasma.github.io/Logging_0860/kartor/A 11002-2025 karta.png", "A 11002-2025")</f>
        <v/>
      </c>
      <c r="V18">
        <f>HYPERLINK("https://klasma.github.io/Logging_0860/klagomål/A 11002-2025 FSC-klagomål.docx", "A 11002-2025")</f>
        <v/>
      </c>
      <c r="W18">
        <f>HYPERLINK("https://klasma.github.io/Logging_0860/klagomålsmail/A 11002-2025 FSC-klagomål mail.docx", "A 11002-2025")</f>
        <v/>
      </c>
      <c r="X18">
        <f>HYPERLINK("https://klasma.github.io/Logging_0860/tillsyn/A 11002-2025 tillsynsbegäran.docx", "A 11002-2025")</f>
        <v/>
      </c>
      <c r="Y18">
        <f>HYPERLINK("https://klasma.github.io/Logging_0860/tillsynsmail/A 11002-2025 tillsynsbegäran mail.docx", "A 11002-2025")</f>
        <v/>
      </c>
      <c r="Z18">
        <f>HYPERLINK("https://klasma.github.io/Logging_0860/fåglar/A 11002-2025 prioriterade fågelarter.docx", "A 11002-2025")</f>
        <v/>
      </c>
    </row>
    <row r="19" ht="15" customHeight="1">
      <c r="A19" t="inlineStr">
        <is>
          <t>A 6396-2021</t>
        </is>
      </c>
      <c r="B19" s="1" t="n">
        <v>44235</v>
      </c>
      <c r="C19" s="1" t="n">
        <v>45948</v>
      </c>
      <c r="D19" t="inlineStr">
        <is>
          <t>KALMAR LÄN</t>
        </is>
      </c>
      <c r="E19" t="inlineStr">
        <is>
          <t>HULTSFRED</t>
        </is>
      </c>
      <c r="G19" t="n">
        <v>0.6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Revlummer</t>
        </is>
      </c>
      <c r="S19">
        <f>HYPERLINK("https://klasma.github.io/Logging_0860/artfynd/A 6396-2021 artfynd.xlsx", "A 6396-2021")</f>
        <v/>
      </c>
      <c r="T19">
        <f>HYPERLINK("https://klasma.github.io/Logging_0860/kartor/A 6396-2021 karta.png", "A 6396-2021")</f>
        <v/>
      </c>
      <c r="V19">
        <f>HYPERLINK("https://klasma.github.io/Logging_0860/klagomål/A 6396-2021 FSC-klagomål.docx", "A 6396-2021")</f>
        <v/>
      </c>
      <c r="W19">
        <f>HYPERLINK("https://klasma.github.io/Logging_0860/klagomålsmail/A 6396-2021 FSC-klagomål mail.docx", "A 6396-2021")</f>
        <v/>
      </c>
      <c r="X19">
        <f>HYPERLINK("https://klasma.github.io/Logging_0860/tillsyn/A 6396-2021 tillsynsbegäran.docx", "A 6396-2021")</f>
        <v/>
      </c>
      <c r="Y19">
        <f>HYPERLINK("https://klasma.github.io/Logging_0860/tillsynsmail/A 6396-2021 tillsynsbegäran mail.docx", "A 6396-2021")</f>
        <v/>
      </c>
      <c r="Z19">
        <f>HYPERLINK("https://klasma.github.io/Logging_0860/fåglar/A 6396-2021 prioriterade fågelarter.docx", "A 6396-2021")</f>
        <v/>
      </c>
    </row>
    <row r="20" ht="15" customHeight="1">
      <c r="A20" t="inlineStr">
        <is>
          <t>A 59067-2021</t>
        </is>
      </c>
      <c r="B20" s="1" t="n">
        <v>44490</v>
      </c>
      <c r="C20" s="1" t="n">
        <v>45948</v>
      </c>
      <c r="D20" t="inlineStr">
        <is>
          <t>KALMAR LÄN</t>
        </is>
      </c>
      <c r="E20" t="inlineStr">
        <is>
          <t>HULTSFRED</t>
        </is>
      </c>
      <c r="G20" t="n">
        <v>3.9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Dropptaggsvamp
Grönpyrola</t>
        </is>
      </c>
      <c r="S20">
        <f>HYPERLINK("https://klasma.github.io/Logging_0860/artfynd/A 59067-2021 artfynd.xlsx", "A 59067-2021")</f>
        <v/>
      </c>
      <c r="T20">
        <f>HYPERLINK("https://klasma.github.io/Logging_0860/kartor/A 59067-2021 karta.png", "A 59067-2021")</f>
        <v/>
      </c>
      <c r="V20">
        <f>HYPERLINK("https://klasma.github.io/Logging_0860/klagomål/A 59067-2021 FSC-klagomål.docx", "A 59067-2021")</f>
        <v/>
      </c>
      <c r="W20">
        <f>HYPERLINK("https://klasma.github.io/Logging_0860/klagomålsmail/A 59067-2021 FSC-klagomål mail.docx", "A 59067-2021")</f>
        <v/>
      </c>
      <c r="X20">
        <f>HYPERLINK("https://klasma.github.io/Logging_0860/tillsyn/A 59067-2021 tillsynsbegäran.docx", "A 59067-2021")</f>
        <v/>
      </c>
      <c r="Y20">
        <f>HYPERLINK("https://klasma.github.io/Logging_0860/tillsynsmail/A 59067-2021 tillsynsbegäran mail.docx", "A 59067-2021")</f>
        <v/>
      </c>
    </row>
    <row r="21" ht="15" customHeight="1">
      <c r="A21" t="inlineStr">
        <is>
          <t>A 53295-2021</t>
        </is>
      </c>
      <c r="B21" s="1" t="n">
        <v>44468</v>
      </c>
      <c r="C21" s="1" t="n">
        <v>45948</v>
      </c>
      <c r="D21" t="inlineStr">
        <is>
          <t>KALMAR LÄN</t>
        </is>
      </c>
      <c r="E21" t="inlineStr">
        <is>
          <t>HULTSFRED</t>
        </is>
      </c>
      <c r="F21" t="inlineStr">
        <is>
          <t>Sveaskog</t>
        </is>
      </c>
      <c r="G21" t="n">
        <v>2.2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Vedskivlav
Blåsippa</t>
        </is>
      </c>
      <c r="S21">
        <f>HYPERLINK("https://klasma.github.io/Logging_0860/artfynd/A 53295-2021 artfynd.xlsx", "A 53295-2021")</f>
        <v/>
      </c>
      <c r="T21">
        <f>HYPERLINK("https://klasma.github.io/Logging_0860/kartor/A 53295-2021 karta.png", "A 53295-2021")</f>
        <v/>
      </c>
      <c r="V21">
        <f>HYPERLINK("https://klasma.github.io/Logging_0860/klagomål/A 53295-2021 FSC-klagomål.docx", "A 53295-2021")</f>
        <v/>
      </c>
      <c r="W21">
        <f>HYPERLINK("https://klasma.github.io/Logging_0860/klagomålsmail/A 53295-2021 FSC-klagomål mail.docx", "A 53295-2021")</f>
        <v/>
      </c>
      <c r="X21">
        <f>HYPERLINK("https://klasma.github.io/Logging_0860/tillsyn/A 53295-2021 tillsynsbegäran.docx", "A 53295-2021")</f>
        <v/>
      </c>
      <c r="Y21">
        <f>HYPERLINK("https://klasma.github.io/Logging_0860/tillsynsmail/A 53295-2021 tillsynsbegäran mail.docx", "A 53295-2021")</f>
        <v/>
      </c>
    </row>
    <row r="22" ht="15" customHeight="1">
      <c r="A22" t="inlineStr">
        <is>
          <t>A 14626-2021</t>
        </is>
      </c>
      <c r="B22" s="1" t="n">
        <v>44280</v>
      </c>
      <c r="C22" s="1" t="n">
        <v>45948</v>
      </c>
      <c r="D22" t="inlineStr">
        <is>
          <t>KALMAR LÄN</t>
        </is>
      </c>
      <c r="E22" t="inlineStr">
        <is>
          <t>HULTSFRED</t>
        </is>
      </c>
      <c r="G22" t="n">
        <v>19.3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Skogshare
Jättesvampmal</t>
        </is>
      </c>
      <c r="S22">
        <f>HYPERLINK("https://klasma.github.io/Logging_0860/artfynd/A 14626-2021 artfynd.xlsx", "A 14626-2021")</f>
        <v/>
      </c>
      <c r="T22">
        <f>HYPERLINK("https://klasma.github.io/Logging_0860/kartor/A 14626-2021 karta.png", "A 14626-2021")</f>
        <v/>
      </c>
      <c r="V22">
        <f>HYPERLINK("https://klasma.github.io/Logging_0860/klagomål/A 14626-2021 FSC-klagomål.docx", "A 14626-2021")</f>
        <v/>
      </c>
      <c r="W22">
        <f>HYPERLINK("https://klasma.github.io/Logging_0860/klagomålsmail/A 14626-2021 FSC-klagomål mail.docx", "A 14626-2021")</f>
        <v/>
      </c>
      <c r="X22">
        <f>HYPERLINK("https://klasma.github.io/Logging_0860/tillsyn/A 14626-2021 tillsynsbegäran.docx", "A 14626-2021")</f>
        <v/>
      </c>
      <c r="Y22">
        <f>HYPERLINK("https://klasma.github.io/Logging_0860/tillsynsmail/A 14626-2021 tillsynsbegäran mail.docx", "A 14626-2021")</f>
        <v/>
      </c>
    </row>
    <row r="23" ht="15" customHeight="1">
      <c r="A23" t="inlineStr">
        <is>
          <t>A 14246-2021</t>
        </is>
      </c>
      <c r="B23" s="1" t="n">
        <v>44278</v>
      </c>
      <c r="C23" s="1" t="n">
        <v>45948</v>
      </c>
      <c r="D23" t="inlineStr">
        <is>
          <t>KALMAR LÄN</t>
        </is>
      </c>
      <c r="E23" t="inlineStr">
        <is>
          <t>HULTSFRED</t>
        </is>
      </c>
      <c r="G23" t="n">
        <v>5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Purpurknipprot
Underviol</t>
        </is>
      </c>
      <c r="S23">
        <f>HYPERLINK("https://klasma.github.io/Logging_0860/artfynd/A 14246-2021 artfynd.xlsx", "A 14246-2021")</f>
        <v/>
      </c>
      <c r="T23">
        <f>HYPERLINK("https://klasma.github.io/Logging_0860/kartor/A 14246-2021 karta.png", "A 14246-2021")</f>
        <v/>
      </c>
      <c r="V23">
        <f>HYPERLINK("https://klasma.github.io/Logging_0860/klagomål/A 14246-2021 FSC-klagomål.docx", "A 14246-2021")</f>
        <v/>
      </c>
      <c r="W23">
        <f>HYPERLINK("https://klasma.github.io/Logging_0860/klagomålsmail/A 14246-2021 FSC-klagomål mail.docx", "A 14246-2021")</f>
        <v/>
      </c>
      <c r="X23">
        <f>HYPERLINK("https://klasma.github.io/Logging_0860/tillsyn/A 14246-2021 tillsynsbegäran.docx", "A 14246-2021")</f>
        <v/>
      </c>
      <c r="Y23">
        <f>HYPERLINK("https://klasma.github.io/Logging_0860/tillsynsmail/A 14246-2021 tillsynsbegäran mail.docx", "A 14246-2021")</f>
        <v/>
      </c>
    </row>
    <row r="24" ht="15" customHeight="1">
      <c r="A24" t="inlineStr">
        <is>
          <t>A 61709-2022</t>
        </is>
      </c>
      <c r="B24" s="1" t="n">
        <v>44917.42984953704</v>
      </c>
      <c r="C24" s="1" t="n">
        <v>45948</v>
      </c>
      <c r="D24" t="inlineStr">
        <is>
          <t>KALMAR LÄN</t>
        </is>
      </c>
      <c r="E24" t="inlineStr">
        <is>
          <t>HULTSFRED</t>
        </is>
      </c>
      <c r="G24" t="n">
        <v>3.7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Grönpyrola</t>
        </is>
      </c>
      <c r="S24">
        <f>HYPERLINK("https://klasma.github.io/Logging_0860/artfynd/A 61709-2022 artfynd.xlsx", "A 61709-2022")</f>
        <v/>
      </c>
      <c r="T24">
        <f>HYPERLINK("https://klasma.github.io/Logging_0860/kartor/A 61709-2022 karta.png", "A 61709-2022")</f>
        <v/>
      </c>
      <c r="U24">
        <f>HYPERLINK("https://klasma.github.io/Logging_0860/knärot/A 61709-2022 karta knärot.png", "A 61709-2022")</f>
        <v/>
      </c>
      <c r="V24">
        <f>HYPERLINK("https://klasma.github.io/Logging_0860/klagomål/A 61709-2022 FSC-klagomål.docx", "A 61709-2022")</f>
        <v/>
      </c>
      <c r="W24">
        <f>HYPERLINK("https://klasma.github.io/Logging_0860/klagomålsmail/A 61709-2022 FSC-klagomål mail.docx", "A 61709-2022")</f>
        <v/>
      </c>
      <c r="X24">
        <f>HYPERLINK("https://klasma.github.io/Logging_0860/tillsyn/A 61709-2022 tillsynsbegäran.docx", "A 61709-2022")</f>
        <v/>
      </c>
      <c r="Y24">
        <f>HYPERLINK("https://klasma.github.io/Logging_0860/tillsynsmail/A 61709-2022 tillsynsbegäran mail.docx", "A 61709-2022")</f>
        <v/>
      </c>
    </row>
    <row r="25" ht="15" customHeight="1">
      <c r="A25" t="inlineStr">
        <is>
          <t>A 25776-2024</t>
        </is>
      </c>
      <c r="B25" s="1" t="n">
        <v>45466.63329861111</v>
      </c>
      <c r="C25" s="1" t="n">
        <v>45948</v>
      </c>
      <c r="D25" t="inlineStr">
        <is>
          <t>KALMAR LÄN</t>
        </is>
      </c>
      <c r="E25" t="inlineStr">
        <is>
          <t>HULTSFRED</t>
        </is>
      </c>
      <c r="G25" t="n">
        <v>0.7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Spillkråka
Ärtsångare</t>
        </is>
      </c>
      <c r="S25">
        <f>HYPERLINK("https://klasma.github.io/Logging_0860/artfynd/A 25776-2024 artfynd.xlsx", "A 25776-2024")</f>
        <v/>
      </c>
      <c r="T25">
        <f>HYPERLINK("https://klasma.github.io/Logging_0860/kartor/A 25776-2024 karta.png", "A 25776-2024")</f>
        <v/>
      </c>
      <c r="V25">
        <f>HYPERLINK("https://klasma.github.io/Logging_0860/klagomål/A 25776-2024 FSC-klagomål.docx", "A 25776-2024")</f>
        <v/>
      </c>
      <c r="W25">
        <f>HYPERLINK("https://klasma.github.io/Logging_0860/klagomålsmail/A 25776-2024 FSC-klagomål mail.docx", "A 25776-2024")</f>
        <v/>
      </c>
      <c r="X25">
        <f>HYPERLINK("https://klasma.github.io/Logging_0860/tillsyn/A 25776-2024 tillsynsbegäran.docx", "A 25776-2024")</f>
        <v/>
      </c>
      <c r="Y25">
        <f>HYPERLINK("https://klasma.github.io/Logging_0860/tillsynsmail/A 25776-2024 tillsynsbegäran mail.docx", "A 25776-2024")</f>
        <v/>
      </c>
      <c r="Z25">
        <f>HYPERLINK("https://klasma.github.io/Logging_0860/fåglar/A 25776-2024 prioriterade fågelarter.docx", "A 25776-2024")</f>
        <v/>
      </c>
    </row>
    <row r="26" ht="15" customHeight="1">
      <c r="A26" t="inlineStr">
        <is>
          <t>A 74390-2021</t>
        </is>
      </c>
      <c r="B26" s="1" t="n">
        <v>44559</v>
      </c>
      <c r="C26" s="1" t="n">
        <v>45948</v>
      </c>
      <c r="D26" t="inlineStr">
        <is>
          <t>KALMAR LÄN</t>
        </is>
      </c>
      <c r="E26" t="inlineStr">
        <is>
          <t>HULTSFRED</t>
        </is>
      </c>
      <c r="G26" t="n">
        <v>1.6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HYPERLINK("https://klasma.github.io/Logging_0860/artfynd/A 74390-2021 artfynd.xlsx", "A 74390-2021")</f>
        <v/>
      </c>
      <c r="T26">
        <f>HYPERLINK("https://klasma.github.io/Logging_0860/kartor/A 74390-2021 karta.png", "A 74390-2021")</f>
        <v/>
      </c>
      <c r="V26">
        <f>HYPERLINK("https://klasma.github.io/Logging_0860/klagomål/A 74390-2021 FSC-klagomål.docx", "A 74390-2021")</f>
        <v/>
      </c>
      <c r="W26">
        <f>HYPERLINK("https://klasma.github.io/Logging_0860/klagomålsmail/A 74390-2021 FSC-klagomål mail.docx", "A 74390-2021")</f>
        <v/>
      </c>
      <c r="X26">
        <f>HYPERLINK("https://klasma.github.io/Logging_0860/tillsyn/A 74390-2021 tillsynsbegäran.docx", "A 74390-2021")</f>
        <v/>
      </c>
      <c r="Y26">
        <f>HYPERLINK("https://klasma.github.io/Logging_0860/tillsynsmail/A 74390-2021 tillsynsbegäran mail.docx", "A 74390-2021")</f>
        <v/>
      </c>
    </row>
    <row r="27" ht="15" customHeight="1">
      <c r="A27" t="inlineStr">
        <is>
          <t>A 26672-2025</t>
        </is>
      </c>
      <c r="B27" s="1" t="n">
        <v>45810.41737268519</v>
      </c>
      <c r="C27" s="1" t="n">
        <v>45948</v>
      </c>
      <c r="D27" t="inlineStr">
        <is>
          <t>KALMAR LÄN</t>
        </is>
      </c>
      <c r="E27" t="inlineStr">
        <is>
          <t>HULTSFRED</t>
        </is>
      </c>
      <c r="G27" t="n">
        <v>3.5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Gropticka
Kornig nållav</t>
        </is>
      </c>
      <c r="S27">
        <f>HYPERLINK("https://klasma.github.io/Logging_0860/artfynd/A 26672-2025 artfynd.xlsx", "A 26672-2025")</f>
        <v/>
      </c>
      <c r="T27">
        <f>HYPERLINK("https://klasma.github.io/Logging_0860/kartor/A 26672-2025 karta.png", "A 26672-2025")</f>
        <v/>
      </c>
      <c r="V27">
        <f>HYPERLINK("https://klasma.github.io/Logging_0860/klagomål/A 26672-2025 FSC-klagomål.docx", "A 26672-2025")</f>
        <v/>
      </c>
      <c r="W27">
        <f>HYPERLINK("https://klasma.github.io/Logging_0860/klagomålsmail/A 26672-2025 FSC-klagomål mail.docx", "A 26672-2025")</f>
        <v/>
      </c>
      <c r="X27">
        <f>HYPERLINK("https://klasma.github.io/Logging_0860/tillsyn/A 26672-2025 tillsynsbegäran.docx", "A 26672-2025")</f>
        <v/>
      </c>
      <c r="Y27">
        <f>HYPERLINK("https://klasma.github.io/Logging_0860/tillsynsmail/A 26672-2025 tillsynsbegäran mail.docx", "A 26672-2025")</f>
        <v/>
      </c>
    </row>
    <row r="28" ht="15" customHeight="1">
      <c r="A28" t="inlineStr">
        <is>
          <t>A 6384-2021</t>
        </is>
      </c>
      <c r="B28" s="1" t="n">
        <v>44235</v>
      </c>
      <c r="C28" s="1" t="n">
        <v>45948</v>
      </c>
      <c r="D28" t="inlineStr">
        <is>
          <t>KALMAR LÄN</t>
        </is>
      </c>
      <c r="E28" t="inlineStr">
        <is>
          <t>HULTSFRED</t>
        </is>
      </c>
      <c r="G28" t="n">
        <v>10.8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Vanlig padda</t>
        </is>
      </c>
      <c r="S28">
        <f>HYPERLINK("https://klasma.github.io/Logging_0860/artfynd/A 6384-2021 artfynd.xlsx", "A 6384-2021")</f>
        <v/>
      </c>
      <c r="T28">
        <f>HYPERLINK("https://klasma.github.io/Logging_0860/kartor/A 6384-2021 karta.png", "A 6384-2021")</f>
        <v/>
      </c>
      <c r="V28">
        <f>HYPERLINK("https://klasma.github.io/Logging_0860/klagomål/A 6384-2021 FSC-klagomål.docx", "A 6384-2021")</f>
        <v/>
      </c>
      <c r="W28">
        <f>HYPERLINK("https://klasma.github.io/Logging_0860/klagomålsmail/A 6384-2021 FSC-klagomål mail.docx", "A 6384-2021")</f>
        <v/>
      </c>
      <c r="X28">
        <f>HYPERLINK("https://klasma.github.io/Logging_0860/tillsyn/A 6384-2021 tillsynsbegäran.docx", "A 6384-2021")</f>
        <v/>
      </c>
      <c r="Y28">
        <f>HYPERLINK("https://klasma.github.io/Logging_0860/tillsynsmail/A 6384-2021 tillsynsbegäran mail.docx", "A 6384-2021")</f>
        <v/>
      </c>
      <c r="Z28">
        <f>HYPERLINK("https://klasma.github.io/Logging_0860/fåglar/A 6384-2021 prioriterade fågelarter.docx", "A 6384-2021")</f>
        <v/>
      </c>
    </row>
    <row r="29" ht="15" customHeight="1">
      <c r="A29" t="inlineStr">
        <is>
          <t>A 31046-2023</t>
        </is>
      </c>
      <c r="B29" s="1" t="n">
        <v>45113.60486111111</v>
      </c>
      <c r="C29" s="1" t="n">
        <v>45948</v>
      </c>
      <c r="D29" t="inlineStr">
        <is>
          <t>KALMAR LÄN</t>
        </is>
      </c>
      <c r="E29" t="inlineStr">
        <is>
          <t>HULTSFRED</t>
        </is>
      </c>
      <c r="G29" t="n">
        <v>1.5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Backsippa
Mörk dunört</t>
        </is>
      </c>
      <c r="S29">
        <f>HYPERLINK("https://klasma.github.io/Logging_0860/artfynd/A 31046-2023 artfynd.xlsx", "A 31046-2023")</f>
        <v/>
      </c>
      <c r="T29">
        <f>HYPERLINK("https://klasma.github.io/Logging_0860/kartor/A 31046-2023 karta.png", "A 31046-2023")</f>
        <v/>
      </c>
      <c r="V29">
        <f>HYPERLINK("https://klasma.github.io/Logging_0860/klagomål/A 31046-2023 FSC-klagomål.docx", "A 31046-2023")</f>
        <v/>
      </c>
      <c r="W29">
        <f>HYPERLINK("https://klasma.github.io/Logging_0860/klagomålsmail/A 31046-2023 FSC-klagomål mail.docx", "A 31046-2023")</f>
        <v/>
      </c>
      <c r="X29">
        <f>HYPERLINK("https://klasma.github.io/Logging_0860/tillsyn/A 31046-2023 tillsynsbegäran.docx", "A 31046-2023")</f>
        <v/>
      </c>
      <c r="Y29">
        <f>HYPERLINK("https://klasma.github.io/Logging_0860/tillsynsmail/A 31046-2023 tillsynsbegäran mail.docx", "A 31046-2023")</f>
        <v/>
      </c>
    </row>
    <row r="30" ht="15" customHeight="1">
      <c r="A30" t="inlineStr">
        <is>
          <t>A 13006-2024</t>
        </is>
      </c>
      <c r="B30" s="1" t="n">
        <v>45385</v>
      </c>
      <c r="C30" s="1" t="n">
        <v>45948</v>
      </c>
      <c r="D30" t="inlineStr">
        <is>
          <t>KALMAR LÄN</t>
        </is>
      </c>
      <c r="E30" t="inlineStr">
        <is>
          <t>HULTSFRED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Skarp dropptaggsvamp</t>
        </is>
      </c>
      <c r="S30">
        <f>HYPERLINK("https://klasma.github.io/Logging_0860/artfynd/A 13006-2024 artfynd.xlsx", "A 13006-2024")</f>
        <v/>
      </c>
      <c r="T30">
        <f>HYPERLINK("https://klasma.github.io/Logging_0860/kartor/A 13006-2024 karta.png", "A 13006-2024")</f>
        <v/>
      </c>
      <c r="U30">
        <f>HYPERLINK("https://klasma.github.io/Logging_0860/knärot/A 13006-2024 karta knärot.png", "A 13006-2024")</f>
        <v/>
      </c>
      <c r="V30">
        <f>HYPERLINK("https://klasma.github.io/Logging_0860/klagomål/A 13006-2024 FSC-klagomål.docx", "A 13006-2024")</f>
        <v/>
      </c>
      <c r="W30">
        <f>HYPERLINK("https://klasma.github.io/Logging_0860/klagomålsmail/A 13006-2024 FSC-klagomål mail.docx", "A 13006-2024")</f>
        <v/>
      </c>
      <c r="X30">
        <f>HYPERLINK("https://klasma.github.io/Logging_0860/tillsyn/A 13006-2024 tillsynsbegäran.docx", "A 13006-2024")</f>
        <v/>
      </c>
      <c r="Y30">
        <f>HYPERLINK("https://klasma.github.io/Logging_0860/tillsynsmail/A 13006-2024 tillsynsbegäran mail.docx", "A 13006-2024")</f>
        <v/>
      </c>
    </row>
    <row r="31" ht="15" customHeight="1">
      <c r="A31" t="inlineStr">
        <is>
          <t>A 49919-2021</t>
        </is>
      </c>
      <c r="B31" s="1" t="n">
        <v>44455</v>
      </c>
      <c r="C31" s="1" t="n">
        <v>45948</v>
      </c>
      <c r="D31" t="inlineStr">
        <is>
          <t>KALMAR LÄN</t>
        </is>
      </c>
      <c r="E31" t="inlineStr">
        <is>
          <t>HULTSFRED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Småjungfrukam</t>
        </is>
      </c>
      <c r="S31">
        <f>HYPERLINK("https://klasma.github.io/Logging_0860/artfynd/A 49919-2021 artfynd.xlsx", "A 49919-2021")</f>
        <v/>
      </c>
      <c r="T31">
        <f>HYPERLINK("https://klasma.github.io/Logging_0860/kartor/A 49919-2021 karta.png", "A 49919-2021")</f>
        <v/>
      </c>
      <c r="V31">
        <f>HYPERLINK("https://klasma.github.io/Logging_0860/klagomål/A 49919-2021 FSC-klagomål.docx", "A 49919-2021")</f>
        <v/>
      </c>
      <c r="W31">
        <f>HYPERLINK("https://klasma.github.io/Logging_0860/klagomålsmail/A 49919-2021 FSC-klagomål mail.docx", "A 49919-2021")</f>
        <v/>
      </c>
      <c r="X31">
        <f>HYPERLINK("https://klasma.github.io/Logging_0860/tillsyn/A 49919-2021 tillsynsbegäran.docx", "A 49919-2021")</f>
        <v/>
      </c>
      <c r="Y31">
        <f>HYPERLINK("https://klasma.github.io/Logging_0860/tillsynsmail/A 49919-2021 tillsynsbegäran mail.docx", "A 49919-2021")</f>
        <v/>
      </c>
    </row>
    <row r="32" ht="15" customHeight="1">
      <c r="A32" t="inlineStr">
        <is>
          <t>A 66724-2021</t>
        </is>
      </c>
      <c r="B32" s="1" t="n">
        <v>44519.98922453704</v>
      </c>
      <c r="C32" s="1" t="n">
        <v>45948</v>
      </c>
      <c r="D32" t="inlineStr">
        <is>
          <t>KALMAR LÄN</t>
        </is>
      </c>
      <c r="E32" t="inlineStr">
        <is>
          <t>HULTSFRED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Murgröna</t>
        </is>
      </c>
      <c r="S32">
        <f>HYPERLINK("https://klasma.github.io/Logging_0860/artfynd/A 66724-2021 artfynd.xlsx", "A 66724-2021")</f>
        <v/>
      </c>
      <c r="T32">
        <f>HYPERLINK("https://klasma.github.io/Logging_0860/kartor/A 66724-2021 karta.png", "A 66724-2021")</f>
        <v/>
      </c>
      <c r="V32">
        <f>HYPERLINK("https://klasma.github.io/Logging_0860/klagomål/A 66724-2021 FSC-klagomål.docx", "A 66724-2021")</f>
        <v/>
      </c>
      <c r="W32">
        <f>HYPERLINK("https://klasma.github.io/Logging_0860/klagomålsmail/A 66724-2021 FSC-klagomål mail.docx", "A 66724-2021")</f>
        <v/>
      </c>
      <c r="X32">
        <f>HYPERLINK("https://klasma.github.io/Logging_0860/tillsyn/A 66724-2021 tillsynsbegäran.docx", "A 66724-2021")</f>
        <v/>
      </c>
      <c r="Y32">
        <f>HYPERLINK("https://klasma.github.io/Logging_0860/tillsynsmail/A 66724-2021 tillsynsbegäran mail.docx", "A 66724-2021")</f>
        <v/>
      </c>
    </row>
    <row r="33" ht="15" customHeight="1">
      <c r="A33" t="inlineStr">
        <is>
          <t>A 16824-2021</t>
        </is>
      </c>
      <c r="B33" s="1" t="n">
        <v>44295</v>
      </c>
      <c r="C33" s="1" t="n">
        <v>45948</v>
      </c>
      <c r="D33" t="inlineStr">
        <is>
          <t>KALMAR LÄN</t>
        </is>
      </c>
      <c r="E33" t="inlineStr">
        <is>
          <t>HULTSFRED</t>
        </is>
      </c>
      <c r="G33" t="n">
        <v>1.5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Sommarfibbla</t>
        </is>
      </c>
      <c r="S33">
        <f>HYPERLINK("https://klasma.github.io/Logging_0860/artfynd/A 16824-2021 artfynd.xlsx", "A 16824-2021")</f>
        <v/>
      </c>
      <c r="T33">
        <f>HYPERLINK("https://klasma.github.io/Logging_0860/kartor/A 16824-2021 karta.png", "A 16824-2021")</f>
        <v/>
      </c>
      <c r="V33">
        <f>HYPERLINK("https://klasma.github.io/Logging_0860/klagomål/A 16824-2021 FSC-klagomål.docx", "A 16824-2021")</f>
        <v/>
      </c>
      <c r="W33">
        <f>HYPERLINK("https://klasma.github.io/Logging_0860/klagomålsmail/A 16824-2021 FSC-klagomål mail.docx", "A 16824-2021")</f>
        <v/>
      </c>
      <c r="X33">
        <f>HYPERLINK("https://klasma.github.io/Logging_0860/tillsyn/A 16824-2021 tillsynsbegäran.docx", "A 16824-2021")</f>
        <v/>
      </c>
      <c r="Y33">
        <f>HYPERLINK("https://klasma.github.io/Logging_0860/tillsynsmail/A 16824-2021 tillsynsbegäran mail.docx", "A 16824-2021")</f>
        <v/>
      </c>
    </row>
    <row r="34" ht="15" customHeight="1">
      <c r="A34" t="inlineStr">
        <is>
          <t>A 24939-2021</t>
        </is>
      </c>
      <c r="B34" s="1" t="n">
        <v>44341</v>
      </c>
      <c r="C34" s="1" t="n">
        <v>45948</v>
      </c>
      <c r="D34" t="inlineStr">
        <is>
          <t>KALMAR LÄN</t>
        </is>
      </c>
      <c r="E34" t="inlineStr">
        <is>
          <t>HULTSFRED</t>
        </is>
      </c>
      <c r="G34" t="n">
        <v>8.6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Svartvit flugsnappare</t>
        </is>
      </c>
      <c r="S34">
        <f>HYPERLINK("https://klasma.github.io/Logging_0860/artfynd/A 24939-2021 artfynd.xlsx", "A 24939-2021")</f>
        <v/>
      </c>
      <c r="T34">
        <f>HYPERLINK("https://klasma.github.io/Logging_0860/kartor/A 24939-2021 karta.png", "A 24939-2021")</f>
        <v/>
      </c>
      <c r="V34">
        <f>HYPERLINK("https://klasma.github.io/Logging_0860/klagomål/A 24939-2021 FSC-klagomål.docx", "A 24939-2021")</f>
        <v/>
      </c>
      <c r="W34">
        <f>HYPERLINK("https://klasma.github.io/Logging_0860/klagomålsmail/A 24939-2021 FSC-klagomål mail.docx", "A 24939-2021")</f>
        <v/>
      </c>
      <c r="X34">
        <f>HYPERLINK("https://klasma.github.io/Logging_0860/tillsyn/A 24939-2021 tillsynsbegäran.docx", "A 24939-2021")</f>
        <v/>
      </c>
      <c r="Y34">
        <f>HYPERLINK("https://klasma.github.io/Logging_0860/tillsynsmail/A 24939-2021 tillsynsbegäran mail.docx", "A 24939-2021")</f>
        <v/>
      </c>
      <c r="Z34">
        <f>HYPERLINK("https://klasma.github.io/Logging_0860/fåglar/A 24939-2021 prioriterade fågelarter.docx", "A 24939-2021")</f>
        <v/>
      </c>
    </row>
    <row r="35" ht="15" customHeight="1">
      <c r="A35" t="inlineStr">
        <is>
          <t>A 37346-2021</t>
        </is>
      </c>
      <c r="B35" s="1" t="n">
        <v>44397.6375462963</v>
      </c>
      <c r="C35" s="1" t="n">
        <v>45948</v>
      </c>
      <c r="D35" t="inlineStr">
        <is>
          <t>KALMAR LÄN</t>
        </is>
      </c>
      <c r="E35" t="inlineStr">
        <is>
          <t>HULTSFRED</t>
        </is>
      </c>
      <c r="G35" t="n">
        <v>5.9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HYPERLINK("https://klasma.github.io/Logging_0860/artfynd/A 37346-2021 artfynd.xlsx", "A 37346-2021")</f>
        <v/>
      </c>
      <c r="T35">
        <f>HYPERLINK("https://klasma.github.io/Logging_0860/kartor/A 37346-2021 karta.png", "A 37346-2021")</f>
        <v/>
      </c>
      <c r="U35">
        <f>HYPERLINK("https://klasma.github.io/Logging_0860/knärot/A 37346-2021 karta knärot.png", "A 37346-2021")</f>
        <v/>
      </c>
      <c r="V35">
        <f>HYPERLINK("https://klasma.github.io/Logging_0860/klagomål/A 37346-2021 FSC-klagomål.docx", "A 37346-2021")</f>
        <v/>
      </c>
      <c r="W35">
        <f>HYPERLINK("https://klasma.github.io/Logging_0860/klagomålsmail/A 37346-2021 FSC-klagomål mail.docx", "A 37346-2021")</f>
        <v/>
      </c>
      <c r="X35">
        <f>HYPERLINK("https://klasma.github.io/Logging_0860/tillsyn/A 37346-2021 tillsynsbegäran.docx", "A 37346-2021")</f>
        <v/>
      </c>
      <c r="Y35">
        <f>HYPERLINK("https://klasma.github.io/Logging_0860/tillsynsmail/A 37346-2021 tillsynsbegäran mail.docx", "A 37346-2021")</f>
        <v/>
      </c>
    </row>
    <row r="36" ht="15" customHeight="1">
      <c r="A36" t="inlineStr">
        <is>
          <t>A 54675-2022</t>
        </is>
      </c>
      <c r="B36" s="1" t="n">
        <v>44883.45847222222</v>
      </c>
      <c r="C36" s="1" t="n">
        <v>45948</v>
      </c>
      <c r="D36" t="inlineStr">
        <is>
          <t>KALMAR LÄN</t>
        </is>
      </c>
      <c r="E36" t="inlineStr">
        <is>
          <t>HULTSFRED</t>
        </is>
      </c>
      <c r="G36" t="n">
        <v>1.1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Talltita</t>
        </is>
      </c>
      <c r="S36">
        <f>HYPERLINK("https://klasma.github.io/Logging_0860/artfynd/A 54675-2022 artfynd.xlsx", "A 54675-2022")</f>
        <v/>
      </c>
      <c r="T36">
        <f>HYPERLINK("https://klasma.github.io/Logging_0860/kartor/A 54675-2022 karta.png", "A 54675-2022")</f>
        <v/>
      </c>
      <c r="V36">
        <f>HYPERLINK("https://klasma.github.io/Logging_0860/klagomål/A 54675-2022 FSC-klagomål.docx", "A 54675-2022")</f>
        <v/>
      </c>
      <c r="W36">
        <f>HYPERLINK("https://klasma.github.io/Logging_0860/klagomålsmail/A 54675-2022 FSC-klagomål mail.docx", "A 54675-2022")</f>
        <v/>
      </c>
      <c r="X36">
        <f>HYPERLINK("https://klasma.github.io/Logging_0860/tillsyn/A 54675-2022 tillsynsbegäran.docx", "A 54675-2022")</f>
        <v/>
      </c>
      <c r="Y36">
        <f>HYPERLINK("https://klasma.github.io/Logging_0860/tillsynsmail/A 54675-2022 tillsynsbegäran mail.docx", "A 54675-2022")</f>
        <v/>
      </c>
      <c r="Z36">
        <f>HYPERLINK("https://klasma.github.io/Logging_0860/fåglar/A 54675-2022 prioriterade fågelarter.docx", "A 54675-2022")</f>
        <v/>
      </c>
    </row>
    <row r="37" ht="15" customHeight="1">
      <c r="A37" t="inlineStr">
        <is>
          <t>A 15440-2023</t>
        </is>
      </c>
      <c r="B37" s="1" t="n">
        <v>45016</v>
      </c>
      <c r="C37" s="1" t="n">
        <v>45948</v>
      </c>
      <c r="D37" t="inlineStr">
        <is>
          <t>KALMAR LÄN</t>
        </is>
      </c>
      <c r="E37" t="inlineStr">
        <is>
          <t>HULTSFRED</t>
        </is>
      </c>
      <c r="G37" t="n">
        <v>3.1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Spillkråka</t>
        </is>
      </c>
      <c r="S37">
        <f>HYPERLINK("https://klasma.github.io/Logging_0860/artfynd/A 15440-2023 artfynd.xlsx", "A 15440-2023")</f>
        <v/>
      </c>
      <c r="T37">
        <f>HYPERLINK("https://klasma.github.io/Logging_0860/kartor/A 15440-2023 karta.png", "A 15440-2023")</f>
        <v/>
      </c>
      <c r="V37">
        <f>HYPERLINK("https://klasma.github.io/Logging_0860/klagomål/A 15440-2023 FSC-klagomål.docx", "A 15440-2023")</f>
        <v/>
      </c>
      <c r="W37">
        <f>HYPERLINK("https://klasma.github.io/Logging_0860/klagomålsmail/A 15440-2023 FSC-klagomål mail.docx", "A 15440-2023")</f>
        <v/>
      </c>
      <c r="X37">
        <f>HYPERLINK("https://klasma.github.io/Logging_0860/tillsyn/A 15440-2023 tillsynsbegäran.docx", "A 15440-2023")</f>
        <v/>
      </c>
      <c r="Y37">
        <f>HYPERLINK("https://klasma.github.io/Logging_0860/tillsynsmail/A 15440-2023 tillsynsbegäran mail.docx", "A 15440-2023")</f>
        <v/>
      </c>
      <c r="Z37">
        <f>HYPERLINK("https://klasma.github.io/Logging_0860/fåglar/A 15440-2023 prioriterade fågelarter.docx", "A 15440-2023")</f>
        <v/>
      </c>
    </row>
    <row r="38" ht="15" customHeight="1">
      <c r="A38" t="inlineStr">
        <is>
          <t>A 43272-2024</t>
        </is>
      </c>
      <c r="B38" s="1" t="n">
        <v>45568.38174768518</v>
      </c>
      <c r="C38" s="1" t="n">
        <v>45948</v>
      </c>
      <c r="D38" t="inlineStr">
        <is>
          <t>KALMAR LÄN</t>
        </is>
      </c>
      <c r="E38" t="inlineStr">
        <is>
          <t>HULTSFRED</t>
        </is>
      </c>
      <c r="G38" t="n">
        <v>3.1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Bredgentiana</t>
        </is>
      </c>
      <c r="S38">
        <f>HYPERLINK("https://klasma.github.io/Logging_0860/artfynd/A 43272-2024 artfynd.xlsx", "A 43272-2024")</f>
        <v/>
      </c>
      <c r="T38">
        <f>HYPERLINK("https://klasma.github.io/Logging_0860/kartor/A 43272-2024 karta.png", "A 43272-2024")</f>
        <v/>
      </c>
      <c r="V38">
        <f>HYPERLINK("https://klasma.github.io/Logging_0860/klagomål/A 43272-2024 FSC-klagomål.docx", "A 43272-2024")</f>
        <v/>
      </c>
      <c r="W38">
        <f>HYPERLINK("https://klasma.github.io/Logging_0860/klagomålsmail/A 43272-2024 FSC-klagomål mail.docx", "A 43272-2024")</f>
        <v/>
      </c>
      <c r="X38">
        <f>HYPERLINK("https://klasma.github.io/Logging_0860/tillsyn/A 43272-2024 tillsynsbegäran.docx", "A 43272-2024")</f>
        <v/>
      </c>
      <c r="Y38">
        <f>HYPERLINK("https://klasma.github.io/Logging_0860/tillsynsmail/A 43272-2024 tillsynsbegäran mail.docx", "A 43272-2024")</f>
        <v/>
      </c>
    </row>
    <row r="39" ht="15" customHeight="1">
      <c r="A39" t="inlineStr">
        <is>
          <t>A 7201-2025</t>
        </is>
      </c>
      <c r="B39" s="1" t="n">
        <v>45702.46353009259</v>
      </c>
      <c r="C39" s="1" t="n">
        <v>45948</v>
      </c>
      <c r="D39" t="inlineStr">
        <is>
          <t>KALMAR LÄN</t>
        </is>
      </c>
      <c r="E39" t="inlineStr">
        <is>
          <t>HULTSFRED</t>
        </is>
      </c>
      <c r="F39" t="inlineStr">
        <is>
          <t>Sveaskog</t>
        </is>
      </c>
      <c r="G39" t="n">
        <v>2.9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HYPERLINK("https://klasma.github.io/Logging_0860/artfynd/A 7201-2025 artfynd.xlsx", "A 7201-2025")</f>
        <v/>
      </c>
      <c r="T39">
        <f>HYPERLINK("https://klasma.github.io/Logging_0860/kartor/A 7201-2025 karta.png", "A 7201-2025")</f>
        <v/>
      </c>
      <c r="V39">
        <f>HYPERLINK("https://klasma.github.io/Logging_0860/klagomål/A 7201-2025 FSC-klagomål.docx", "A 7201-2025")</f>
        <v/>
      </c>
      <c r="W39">
        <f>HYPERLINK("https://klasma.github.io/Logging_0860/klagomålsmail/A 7201-2025 FSC-klagomål mail.docx", "A 7201-2025")</f>
        <v/>
      </c>
      <c r="X39">
        <f>HYPERLINK("https://klasma.github.io/Logging_0860/tillsyn/A 7201-2025 tillsynsbegäran.docx", "A 7201-2025")</f>
        <v/>
      </c>
      <c r="Y39">
        <f>HYPERLINK("https://klasma.github.io/Logging_0860/tillsynsmail/A 7201-2025 tillsynsbegäran mail.docx", "A 7201-2025")</f>
        <v/>
      </c>
    </row>
    <row r="40" ht="15" customHeight="1">
      <c r="A40" t="inlineStr">
        <is>
          <t>A 48938-2024</t>
        </is>
      </c>
      <c r="B40" s="1" t="n">
        <v>45594.41554398148</v>
      </c>
      <c r="C40" s="1" t="n">
        <v>45948</v>
      </c>
      <c r="D40" t="inlineStr">
        <is>
          <t>KALMAR LÄN</t>
        </is>
      </c>
      <c r="E40" t="inlineStr">
        <is>
          <t>HULTSFRED</t>
        </is>
      </c>
      <c r="G40" t="n">
        <v>1.1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Järpe</t>
        </is>
      </c>
      <c r="S40">
        <f>HYPERLINK("https://klasma.github.io/Logging_0860/artfynd/A 48938-2024 artfynd.xlsx", "A 48938-2024")</f>
        <v/>
      </c>
      <c r="T40">
        <f>HYPERLINK("https://klasma.github.io/Logging_0860/kartor/A 48938-2024 karta.png", "A 48938-2024")</f>
        <v/>
      </c>
      <c r="V40">
        <f>HYPERLINK("https://klasma.github.io/Logging_0860/klagomål/A 48938-2024 FSC-klagomål.docx", "A 48938-2024")</f>
        <v/>
      </c>
      <c r="W40">
        <f>HYPERLINK("https://klasma.github.io/Logging_0860/klagomålsmail/A 48938-2024 FSC-klagomål mail.docx", "A 48938-2024")</f>
        <v/>
      </c>
      <c r="X40">
        <f>HYPERLINK("https://klasma.github.io/Logging_0860/tillsyn/A 48938-2024 tillsynsbegäran.docx", "A 48938-2024")</f>
        <v/>
      </c>
      <c r="Y40">
        <f>HYPERLINK("https://klasma.github.io/Logging_0860/tillsynsmail/A 48938-2024 tillsynsbegäran mail.docx", "A 48938-2024")</f>
        <v/>
      </c>
      <c r="Z40">
        <f>HYPERLINK("https://klasma.github.io/Logging_0860/fåglar/A 48938-2024 prioriterade fågelarter.docx", "A 48938-2024")</f>
        <v/>
      </c>
    </row>
    <row r="41" ht="15" customHeight="1">
      <c r="A41" t="inlineStr">
        <is>
          <t>A 57052-2024</t>
        </is>
      </c>
      <c r="B41" s="1" t="n">
        <v>45629.34431712963</v>
      </c>
      <c r="C41" s="1" t="n">
        <v>45948</v>
      </c>
      <c r="D41" t="inlineStr">
        <is>
          <t>KALMAR LÄN</t>
        </is>
      </c>
      <c r="E41" t="inlineStr">
        <is>
          <t>HULTSFRED</t>
        </is>
      </c>
      <c r="G41" t="n">
        <v>0.6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Plattlummer</t>
        </is>
      </c>
      <c r="S41">
        <f>HYPERLINK("https://klasma.github.io/Logging_0860/artfynd/A 57052-2024 artfynd.xlsx", "A 57052-2024")</f>
        <v/>
      </c>
      <c r="T41">
        <f>HYPERLINK("https://klasma.github.io/Logging_0860/kartor/A 57052-2024 karta.png", "A 57052-2024")</f>
        <v/>
      </c>
      <c r="U41">
        <f>HYPERLINK("https://klasma.github.io/Logging_0860/knärot/A 57052-2024 karta knärot.png", "A 57052-2024")</f>
        <v/>
      </c>
      <c r="V41">
        <f>HYPERLINK("https://klasma.github.io/Logging_0860/klagomål/A 57052-2024 FSC-klagomål.docx", "A 57052-2024")</f>
        <v/>
      </c>
      <c r="W41">
        <f>HYPERLINK("https://klasma.github.io/Logging_0860/klagomålsmail/A 57052-2024 FSC-klagomål mail.docx", "A 57052-2024")</f>
        <v/>
      </c>
      <c r="X41">
        <f>HYPERLINK("https://klasma.github.io/Logging_0860/tillsyn/A 57052-2024 tillsynsbegäran.docx", "A 57052-2024")</f>
        <v/>
      </c>
      <c r="Y41">
        <f>HYPERLINK("https://klasma.github.io/Logging_0860/tillsynsmail/A 57052-2024 tillsynsbegäran mail.docx", "A 57052-2024")</f>
        <v/>
      </c>
    </row>
    <row r="42" ht="15" customHeight="1">
      <c r="A42" t="inlineStr">
        <is>
          <t>A 4677-2024</t>
        </is>
      </c>
      <c r="B42" s="1" t="n">
        <v>45328</v>
      </c>
      <c r="C42" s="1" t="n">
        <v>45948</v>
      </c>
      <c r="D42" t="inlineStr">
        <is>
          <t>KALMAR LÄN</t>
        </is>
      </c>
      <c r="E42" t="inlineStr">
        <is>
          <t>HULTSFRED</t>
        </is>
      </c>
      <c r="G42" t="n">
        <v>1.7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HYPERLINK("https://klasma.github.io/Logging_0860/artfynd/A 4677-2024 artfynd.xlsx", "A 4677-2024")</f>
        <v/>
      </c>
      <c r="T42">
        <f>HYPERLINK("https://klasma.github.io/Logging_0860/kartor/A 4677-2024 karta.png", "A 4677-2024")</f>
        <v/>
      </c>
      <c r="U42">
        <f>HYPERLINK("https://klasma.github.io/Logging_0860/knärot/A 4677-2024 karta knärot.png", "A 4677-2024")</f>
        <v/>
      </c>
      <c r="V42">
        <f>HYPERLINK("https://klasma.github.io/Logging_0860/klagomål/A 4677-2024 FSC-klagomål.docx", "A 4677-2024")</f>
        <v/>
      </c>
      <c r="W42">
        <f>HYPERLINK("https://klasma.github.io/Logging_0860/klagomålsmail/A 4677-2024 FSC-klagomål mail.docx", "A 4677-2024")</f>
        <v/>
      </c>
      <c r="X42">
        <f>HYPERLINK("https://klasma.github.io/Logging_0860/tillsyn/A 4677-2024 tillsynsbegäran.docx", "A 4677-2024")</f>
        <v/>
      </c>
      <c r="Y42">
        <f>HYPERLINK("https://klasma.github.io/Logging_0860/tillsynsmail/A 4677-2024 tillsynsbegäran mail.docx", "A 4677-2024")</f>
        <v/>
      </c>
    </row>
    <row r="43" ht="15" customHeight="1">
      <c r="A43" t="inlineStr">
        <is>
          <t>A 4254-2024</t>
        </is>
      </c>
      <c r="B43" s="1" t="n">
        <v>45324</v>
      </c>
      <c r="C43" s="1" t="n">
        <v>45948</v>
      </c>
      <c r="D43" t="inlineStr">
        <is>
          <t>KALMAR LÄN</t>
        </is>
      </c>
      <c r="E43" t="inlineStr">
        <is>
          <t>HULTSFRED</t>
        </is>
      </c>
      <c r="G43" t="n">
        <v>1.7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HYPERLINK("https://klasma.github.io/Logging_0860/artfynd/A 4254-2024 artfynd.xlsx", "A 4254-2024")</f>
        <v/>
      </c>
      <c r="T43">
        <f>HYPERLINK("https://klasma.github.io/Logging_0860/kartor/A 4254-2024 karta.png", "A 4254-2024")</f>
        <v/>
      </c>
      <c r="U43">
        <f>HYPERLINK("https://klasma.github.io/Logging_0860/knärot/A 4254-2024 karta knärot.png", "A 4254-2024")</f>
        <v/>
      </c>
      <c r="V43">
        <f>HYPERLINK("https://klasma.github.io/Logging_0860/klagomål/A 4254-2024 FSC-klagomål.docx", "A 4254-2024")</f>
        <v/>
      </c>
      <c r="W43">
        <f>HYPERLINK("https://klasma.github.io/Logging_0860/klagomålsmail/A 4254-2024 FSC-klagomål mail.docx", "A 4254-2024")</f>
        <v/>
      </c>
      <c r="X43">
        <f>HYPERLINK("https://klasma.github.io/Logging_0860/tillsyn/A 4254-2024 tillsynsbegäran.docx", "A 4254-2024")</f>
        <v/>
      </c>
      <c r="Y43">
        <f>HYPERLINK("https://klasma.github.io/Logging_0860/tillsynsmail/A 4254-2024 tillsynsbegäran mail.docx", "A 4254-2024")</f>
        <v/>
      </c>
    </row>
    <row r="44" ht="15" customHeight="1">
      <c r="A44" t="inlineStr">
        <is>
          <t>A 42773-2024</t>
        </is>
      </c>
      <c r="B44" s="1" t="n">
        <v>45566</v>
      </c>
      <c r="C44" s="1" t="n">
        <v>45948</v>
      </c>
      <c r="D44" t="inlineStr">
        <is>
          <t>KALMAR LÄN</t>
        </is>
      </c>
      <c r="E44" t="inlineStr">
        <is>
          <t>HULTSFRED</t>
        </is>
      </c>
      <c r="G44" t="n">
        <v>0.3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Lungrot</t>
        </is>
      </c>
      <c r="S44">
        <f>HYPERLINK("https://klasma.github.io/Logging_0860/artfynd/A 42773-2024 artfynd.xlsx", "A 42773-2024")</f>
        <v/>
      </c>
      <c r="T44">
        <f>HYPERLINK("https://klasma.github.io/Logging_0860/kartor/A 42773-2024 karta.png", "A 42773-2024")</f>
        <v/>
      </c>
      <c r="V44">
        <f>HYPERLINK("https://klasma.github.io/Logging_0860/klagomål/A 42773-2024 FSC-klagomål.docx", "A 42773-2024")</f>
        <v/>
      </c>
      <c r="W44">
        <f>HYPERLINK("https://klasma.github.io/Logging_0860/klagomålsmail/A 42773-2024 FSC-klagomål mail.docx", "A 42773-2024")</f>
        <v/>
      </c>
      <c r="X44">
        <f>HYPERLINK("https://klasma.github.io/Logging_0860/tillsyn/A 42773-2024 tillsynsbegäran.docx", "A 42773-2024")</f>
        <v/>
      </c>
      <c r="Y44">
        <f>HYPERLINK("https://klasma.github.io/Logging_0860/tillsynsmail/A 42773-2024 tillsynsbegäran mail.docx", "A 42773-2024")</f>
        <v/>
      </c>
    </row>
    <row r="45" ht="15" customHeight="1">
      <c r="A45" t="inlineStr">
        <is>
          <t>A 4963-2025</t>
        </is>
      </c>
      <c r="B45" s="1" t="n">
        <v>45690.4250925926</v>
      </c>
      <c r="C45" s="1" t="n">
        <v>45948</v>
      </c>
      <c r="D45" t="inlineStr">
        <is>
          <t>KALMAR LÄN</t>
        </is>
      </c>
      <c r="E45" t="inlineStr">
        <is>
          <t>HULTSFRED</t>
        </is>
      </c>
      <c r="F45" t="inlineStr">
        <is>
          <t>Sveaskog</t>
        </is>
      </c>
      <c r="G45" t="n">
        <v>5.1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HYPERLINK("https://klasma.github.io/Logging_0860/artfynd/A 4963-2025 artfynd.xlsx", "A 4963-2025")</f>
        <v/>
      </c>
      <c r="T45">
        <f>HYPERLINK("https://klasma.github.io/Logging_0860/kartor/A 4963-2025 karta.png", "A 4963-2025")</f>
        <v/>
      </c>
      <c r="V45">
        <f>HYPERLINK("https://klasma.github.io/Logging_0860/klagomål/A 4963-2025 FSC-klagomål.docx", "A 4963-2025")</f>
        <v/>
      </c>
      <c r="W45">
        <f>HYPERLINK("https://klasma.github.io/Logging_0860/klagomålsmail/A 4963-2025 FSC-klagomål mail.docx", "A 4963-2025")</f>
        <v/>
      </c>
      <c r="X45">
        <f>HYPERLINK("https://klasma.github.io/Logging_0860/tillsyn/A 4963-2025 tillsynsbegäran.docx", "A 4963-2025")</f>
        <v/>
      </c>
      <c r="Y45">
        <f>HYPERLINK("https://klasma.github.io/Logging_0860/tillsynsmail/A 4963-2025 tillsynsbegäran mail.docx", "A 4963-2025")</f>
        <v/>
      </c>
      <c r="Z45">
        <f>HYPERLINK("https://klasma.github.io/Logging_0860/fåglar/A 4963-2025 prioriterade fågelarter.docx", "A 4963-2025")</f>
        <v/>
      </c>
    </row>
    <row r="46" ht="15" customHeight="1">
      <c r="A46" t="inlineStr">
        <is>
          <t>A 52690-2023</t>
        </is>
      </c>
      <c r="B46" s="1" t="n">
        <v>45225.75832175926</v>
      </c>
      <c r="C46" s="1" t="n">
        <v>45948</v>
      </c>
      <c r="D46" t="inlineStr">
        <is>
          <t>KALMAR LÄN</t>
        </is>
      </c>
      <c r="E46" t="inlineStr">
        <is>
          <t>HULTSFRED</t>
        </is>
      </c>
      <c r="G46" t="n">
        <v>1.4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HYPERLINK("https://klasma.github.io/Logging_0860/artfynd/A 52690-2023 artfynd.xlsx", "A 52690-2023")</f>
        <v/>
      </c>
      <c r="T46">
        <f>HYPERLINK("https://klasma.github.io/Logging_0860/kartor/A 52690-2023 karta.png", "A 52690-2023")</f>
        <v/>
      </c>
      <c r="V46">
        <f>HYPERLINK("https://klasma.github.io/Logging_0860/klagomål/A 52690-2023 FSC-klagomål.docx", "A 52690-2023")</f>
        <v/>
      </c>
      <c r="W46">
        <f>HYPERLINK("https://klasma.github.io/Logging_0860/klagomålsmail/A 52690-2023 FSC-klagomål mail.docx", "A 52690-2023")</f>
        <v/>
      </c>
      <c r="X46">
        <f>HYPERLINK("https://klasma.github.io/Logging_0860/tillsyn/A 52690-2023 tillsynsbegäran.docx", "A 52690-2023")</f>
        <v/>
      </c>
      <c r="Y46">
        <f>HYPERLINK("https://klasma.github.io/Logging_0860/tillsynsmail/A 52690-2023 tillsynsbegäran mail.docx", "A 52690-2023")</f>
        <v/>
      </c>
    </row>
    <row r="47" ht="15" customHeight="1">
      <c r="A47" t="inlineStr">
        <is>
          <t>A 14290-2024</t>
        </is>
      </c>
      <c r="B47" s="1" t="n">
        <v>45393.63238425926</v>
      </c>
      <c r="C47" s="1" t="n">
        <v>45948</v>
      </c>
      <c r="D47" t="inlineStr">
        <is>
          <t>KALMAR LÄN</t>
        </is>
      </c>
      <c r="E47" t="inlineStr">
        <is>
          <t>HULTSFRED</t>
        </is>
      </c>
      <c r="G47" t="n">
        <v>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HYPERLINK("https://klasma.github.io/Logging_0860/artfynd/A 14290-2024 artfynd.xlsx", "A 14290-2024")</f>
        <v/>
      </c>
      <c r="T47">
        <f>HYPERLINK("https://klasma.github.io/Logging_0860/kartor/A 14290-2024 karta.png", "A 14290-2024")</f>
        <v/>
      </c>
      <c r="V47">
        <f>HYPERLINK("https://klasma.github.io/Logging_0860/klagomål/A 14290-2024 FSC-klagomål.docx", "A 14290-2024")</f>
        <v/>
      </c>
      <c r="W47">
        <f>HYPERLINK("https://klasma.github.io/Logging_0860/klagomålsmail/A 14290-2024 FSC-klagomål mail.docx", "A 14290-2024")</f>
        <v/>
      </c>
      <c r="X47">
        <f>HYPERLINK("https://klasma.github.io/Logging_0860/tillsyn/A 14290-2024 tillsynsbegäran.docx", "A 14290-2024")</f>
        <v/>
      </c>
      <c r="Y47">
        <f>HYPERLINK("https://klasma.github.io/Logging_0860/tillsynsmail/A 14290-2024 tillsynsbegäran mail.docx", "A 14290-2024")</f>
        <v/>
      </c>
    </row>
    <row r="48" ht="15" customHeight="1">
      <c r="A48" t="inlineStr">
        <is>
          <t>A 58470-2024</t>
        </is>
      </c>
      <c r="B48" s="1" t="n">
        <v>45635.37515046296</v>
      </c>
      <c r="C48" s="1" t="n">
        <v>45948</v>
      </c>
      <c r="D48" t="inlineStr">
        <is>
          <t>KALMAR LÄN</t>
        </is>
      </c>
      <c r="E48" t="inlineStr">
        <is>
          <t>HULTSFRED</t>
        </is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Guldlockmossa</t>
        </is>
      </c>
      <c r="S48">
        <f>HYPERLINK("https://klasma.github.io/Logging_0860/artfynd/A 58470-2024 artfynd.xlsx", "A 58470-2024")</f>
        <v/>
      </c>
      <c r="T48">
        <f>HYPERLINK("https://klasma.github.io/Logging_0860/kartor/A 58470-2024 karta.png", "A 58470-2024")</f>
        <v/>
      </c>
      <c r="V48">
        <f>HYPERLINK("https://klasma.github.io/Logging_0860/klagomål/A 58470-2024 FSC-klagomål.docx", "A 58470-2024")</f>
        <v/>
      </c>
      <c r="W48">
        <f>HYPERLINK("https://klasma.github.io/Logging_0860/klagomålsmail/A 58470-2024 FSC-klagomål mail.docx", "A 58470-2024")</f>
        <v/>
      </c>
      <c r="X48">
        <f>HYPERLINK("https://klasma.github.io/Logging_0860/tillsyn/A 58470-2024 tillsynsbegäran.docx", "A 58470-2024")</f>
        <v/>
      </c>
      <c r="Y48">
        <f>HYPERLINK("https://klasma.github.io/Logging_0860/tillsynsmail/A 58470-2024 tillsynsbegäran mail.docx", "A 58470-2024")</f>
        <v/>
      </c>
    </row>
    <row r="49" ht="15" customHeight="1">
      <c r="A49" t="inlineStr">
        <is>
          <t>A 23082-2024</t>
        </is>
      </c>
      <c r="B49" s="1" t="n">
        <v>45450</v>
      </c>
      <c r="C49" s="1" t="n">
        <v>45948</v>
      </c>
      <c r="D49" t="inlineStr">
        <is>
          <t>KALMAR LÄN</t>
        </is>
      </c>
      <c r="E49" t="inlineStr">
        <is>
          <t>HULTSFRED</t>
        </is>
      </c>
      <c r="G49" t="n">
        <v>1.8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Spillkråka</t>
        </is>
      </c>
      <c r="S49">
        <f>HYPERLINK("https://klasma.github.io/Logging_0860/artfynd/A 23082-2024 artfynd.xlsx", "A 23082-2024")</f>
        <v/>
      </c>
      <c r="T49">
        <f>HYPERLINK("https://klasma.github.io/Logging_0860/kartor/A 23082-2024 karta.png", "A 23082-2024")</f>
        <v/>
      </c>
      <c r="V49">
        <f>HYPERLINK("https://klasma.github.io/Logging_0860/klagomål/A 23082-2024 FSC-klagomål.docx", "A 23082-2024")</f>
        <v/>
      </c>
      <c r="W49">
        <f>HYPERLINK("https://klasma.github.io/Logging_0860/klagomålsmail/A 23082-2024 FSC-klagomål mail.docx", "A 23082-2024")</f>
        <v/>
      </c>
      <c r="X49">
        <f>HYPERLINK("https://klasma.github.io/Logging_0860/tillsyn/A 23082-2024 tillsynsbegäran.docx", "A 23082-2024")</f>
        <v/>
      </c>
      <c r="Y49">
        <f>HYPERLINK("https://klasma.github.io/Logging_0860/tillsynsmail/A 23082-2024 tillsynsbegäran mail.docx", "A 23082-2024")</f>
        <v/>
      </c>
      <c r="Z49">
        <f>HYPERLINK("https://klasma.github.io/Logging_0860/fåglar/A 23082-2024 prioriterade fågelarter.docx", "A 23082-2024")</f>
        <v/>
      </c>
    </row>
    <row r="50" ht="15" customHeight="1">
      <c r="A50" t="inlineStr">
        <is>
          <t>A 21107-2021</t>
        </is>
      </c>
      <c r="B50" s="1" t="n">
        <v>44319</v>
      </c>
      <c r="C50" s="1" t="n">
        <v>45948</v>
      </c>
      <c r="D50" t="inlineStr">
        <is>
          <t>KALMAR LÄN</t>
        </is>
      </c>
      <c r="E50" t="inlineStr">
        <is>
          <t>HULTSFRED</t>
        </is>
      </c>
      <c r="G50" t="n">
        <v>1.2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Orre</t>
        </is>
      </c>
      <c r="S50">
        <f>HYPERLINK("https://klasma.github.io/Logging_0860/artfynd/A 21107-2021 artfynd.xlsx", "A 21107-2021")</f>
        <v/>
      </c>
      <c r="T50">
        <f>HYPERLINK("https://klasma.github.io/Logging_0860/kartor/A 21107-2021 karta.png", "A 21107-2021")</f>
        <v/>
      </c>
      <c r="V50">
        <f>HYPERLINK("https://klasma.github.io/Logging_0860/klagomål/A 21107-2021 FSC-klagomål.docx", "A 21107-2021")</f>
        <v/>
      </c>
      <c r="W50">
        <f>HYPERLINK("https://klasma.github.io/Logging_0860/klagomålsmail/A 21107-2021 FSC-klagomål mail.docx", "A 21107-2021")</f>
        <v/>
      </c>
      <c r="X50">
        <f>HYPERLINK("https://klasma.github.io/Logging_0860/tillsyn/A 21107-2021 tillsynsbegäran.docx", "A 21107-2021")</f>
        <v/>
      </c>
      <c r="Y50">
        <f>HYPERLINK("https://klasma.github.io/Logging_0860/tillsynsmail/A 21107-2021 tillsynsbegäran mail.docx", "A 21107-2021")</f>
        <v/>
      </c>
      <c r="Z50">
        <f>HYPERLINK("https://klasma.github.io/Logging_0860/fåglar/A 21107-2021 prioriterade fågelarter.docx", "A 21107-2021")</f>
        <v/>
      </c>
    </row>
    <row r="51" ht="15" customHeight="1">
      <c r="A51" t="inlineStr">
        <is>
          <t>A 55758-2023</t>
        </is>
      </c>
      <c r="B51" s="1" t="n">
        <v>45239</v>
      </c>
      <c r="C51" s="1" t="n">
        <v>45948</v>
      </c>
      <c r="D51" t="inlineStr">
        <is>
          <t>KALMAR LÄN</t>
        </is>
      </c>
      <c r="E51" t="inlineStr">
        <is>
          <t>HULTSFRED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Korskovall</t>
        </is>
      </c>
      <c r="S51">
        <f>HYPERLINK("https://klasma.github.io/Logging_0860/artfynd/A 55758-2023 artfynd.xlsx", "A 55758-2023")</f>
        <v/>
      </c>
      <c r="T51">
        <f>HYPERLINK("https://klasma.github.io/Logging_0860/kartor/A 55758-2023 karta.png", "A 55758-2023")</f>
        <v/>
      </c>
      <c r="V51">
        <f>HYPERLINK("https://klasma.github.io/Logging_0860/klagomål/A 55758-2023 FSC-klagomål.docx", "A 55758-2023")</f>
        <v/>
      </c>
      <c r="W51">
        <f>HYPERLINK("https://klasma.github.io/Logging_0860/klagomålsmail/A 55758-2023 FSC-klagomål mail.docx", "A 55758-2023")</f>
        <v/>
      </c>
      <c r="X51">
        <f>HYPERLINK("https://klasma.github.io/Logging_0860/tillsyn/A 55758-2023 tillsynsbegäran.docx", "A 55758-2023")</f>
        <v/>
      </c>
      <c r="Y51">
        <f>HYPERLINK("https://klasma.github.io/Logging_0860/tillsynsmail/A 55758-2023 tillsynsbegäran mail.docx", "A 55758-2023")</f>
        <v/>
      </c>
    </row>
    <row r="52" ht="15" customHeight="1">
      <c r="A52" t="inlineStr">
        <is>
          <t>A 10333-2023</t>
        </is>
      </c>
      <c r="B52" s="1" t="n">
        <v>44980</v>
      </c>
      <c r="C52" s="1" t="n">
        <v>45948</v>
      </c>
      <c r="D52" t="inlineStr">
        <is>
          <t>KALMAR LÄN</t>
        </is>
      </c>
      <c r="E52" t="inlineStr">
        <is>
          <t>HULTSFRED</t>
        </is>
      </c>
      <c r="G52" t="n">
        <v>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HYPERLINK("https://klasma.github.io/Logging_0860/artfynd/A 10333-2023 artfynd.xlsx", "A 10333-2023")</f>
        <v/>
      </c>
      <c r="T52">
        <f>HYPERLINK("https://klasma.github.io/Logging_0860/kartor/A 10333-2023 karta.png", "A 10333-2023")</f>
        <v/>
      </c>
      <c r="V52">
        <f>HYPERLINK("https://klasma.github.io/Logging_0860/klagomål/A 10333-2023 FSC-klagomål.docx", "A 10333-2023")</f>
        <v/>
      </c>
      <c r="W52">
        <f>HYPERLINK("https://klasma.github.io/Logging_0860/klagomålsmail/A 10333-2023 FSC-klagomål mail.docx", "A 10333-2023")</f>
        <v/>
      </c>
      <c r="X52">
        <f>HYPERLINK("https://klasma.github.io/Logging_0860/tillsyn/A 10333-2023 tillsynsbegäran.docx", "A 10333-2023")</f>
        <v/>
      </c>
      <c r="Y52">
        <f>HYPERLINK("https://klasma.github.io/Logging_0860/tillsynsmail/A 10333-2023 tillsynsbegäran mail.docx", "A 10333-2023")</f>
        <v/>
      </c>
    </row>
    <row r="53" ht="15" customHeight="1">
      <c r="A53" t="inlineStr">
        <is>
          <t>A 49265-2024</t>
        </is>
      </c>
      <c r="B53" s="1" t="n">
        <v>45595</v>
      </c>
      <c r="C53" s="1" t="n">
        <v>45948</v>
      </c>
      <c r="D53" t="inlineStr">
        <is>
          <t>KALMAR LÄN</t>
        </is>
      </c>
      <c r="E53" t="inlineStr">
        <is>
          <t>HULTSFRED</t>
        </is>
      </c>
      <c r="G53" t="n">
        <v>4.9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Tennfibbla</t>
        </is>
      </c>
      <c r="S53">
        <f>HYPERLINK("https://klasma.github.io/Logging_0860/artfynd/A 49265-2024 artfynd.xlsx", "A 49265-2024")</f>
        <v/>
      </c>
      <c r="T53">
        <f>HYPERLINK("https://klasma.github.io/Logging_0860/kartor/A 49265-2024 karta.png", "A 49265-2024")</f>
        <v/>
      </c>
      <c r="V53">
        <f>HYPERLINK("https://klasma.github.io/Logging_0860/klagomål/A 49265-2024 FSC-klagomål.docx", "A 49265-2024")</f>
        <v/>
      </c>
      <c r="W53">
        <f>HYPERLINK("https://klasma.github.io/Logging_0860/klagomålsmail/A 49265-2024 FSC-klagomål mail.docx", "A 49265-2024")</f>
        <v/>
      </c>
      <c r="X53">
        <f>HYPERLINK("https://klasma.github.io/Logging_0860/tillsyn/A 49265-2024 tillsynsbegäran.docx", "A 49265-2024")</f>
        <v/>
      </c>
      <c r="Y53">
        <f>HYPERLINK("https://klasma.github.io/Logging_0860/tillsynsmail/A 49265-2024 tillsynsbegäran mail.docx", "A 49265-2024")</f>
        <v/>
      </c>
    </row>
    <row r="54" ht="15" customHeight="1">
      <c r="A54" t="inlineStr">
        <is>
          <t>A 45301-2023</t>
        </is>
      </c>
      <c r="B54" s="1" t="n">
        <v>45191</v>
      </c>
      <c r="C54" s="1" t="n">
        <v>45948</v>
      </c>
      <c r="D54" t="inlineStr">
        <is>
          <t>KALMAR LÄN</t>
        </is>
      </c>
      <c r="E54" t="inlineStr">
        <is>
          <t>HULTSFRED</t>
        </is>
      </c>
      <c r="F54" t="inlineStr">
        <is>
          <t>Övriga Aktiebolag</t>
        </is>
      </c>
      <c r="G54" t="n">
        <v>2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HYPERLINK("https://klasma.github.io/Logging_0860/artfynd/A 45301-2023 artfynd.xlsx", "A 45301-2023")</f>
        <v/>
      </c>
      <c r="T54">
        <f>HYPERLINK("https://klasma.github.io/Logging_0860/kartor/A 45301-2023 karta.png", "A 45301-2023")</f>
        <v/>
      </c>
      <c r="U54">
        <f>HYPERLINK("https://klasma.github.io/Logging_0860/knärot/A 45301-2023 karta knärot.png", "A 45301-2023")</f>
        <v/>
      </c>
      <c r="V54">
        <f>HYPERLINK("https://klasma.github.io/Logging_0860/klagomål/A 45301-2023 FSC-klagomål.docx", "A 45301-2023")</f>
        <v/>
      </c>
      <c r="W54">
        <f>HYPERLINK("https://klasma.github.io/Logging_0860/klagomålsmail/A 45301-2023 FSC-klagomål mail.docx", "A 45301-2023")</f>
        <v/>
      </c>
      <c r="X54">
        <f>HYPERLINK("https://klasma.github.io/Logging_0860/tillsyn/A 45301-2023 tillsynsbegäran.docx", "A 45301-2023")</f>
        <v/>
      </c>
      <c r="Y54">
        <f>HYPERLINK("https://klasma.github.io/Logging_0860/tillsynsmail/A 45301-2023 tillsynsbegäran mail.docx", "A 45301-2023")</f>
        <v/>
      </c>
    </row>
    <row r="55" ht="15" customHeight="1">
      <c r="A55" t="inlineStr">
        <is>
          <t>A 4964-2025</t>
        </is>
      </c>
      <c r="B55" s="1" t="n">
        <v>45690.42671296297</v>
      </c>
      <c r="C55" s="1" t="n">
        <v>45948</v>
      </c>
      <c r="D55" t="inlineStr">
        <is>
          <t>KALMAR LÄN</t>
        </is>
      </c>
      <c r="E55" t="inlineStr">
        <is>
          <t>HULTSFRED</t>
        </is>
      </c>
      <c r="F55" t="inlineStr">
        <is>
          <t>Sveaskog</t>
        </is>
      </c>
      <c r="G55" t="n">
        <v>12.2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Spillkråka</t>
        </is>
      </c>
      <c r="S55">
        <f>HYPERLINK("https://klasma.github.io/Logging_0860/artfynd/A 4964-2025 artfynd.xlsx", "A 4964-2025")</f>
        <v/>
      </c>
      <c r="T55">
        <f>HYPERLINK("https://klasma.github.io/Logging_0860/kartor/A 4964-2025 karta.png", "A 4964-2025")</f>
        <v/>
      </c>
      <c r="V55">
        <f>HYPERLINK("https://klasma.github.io/Logging_0860/klagomål/A 4964-2025 FSC-klagomål.docx", "A 4964-2025")</f>
        <v/>
      </c>
      <c r="W55">
        <f>HYPERLINK("https://klasma.github.io/Logging_0860/klagomålsmail/A 4964-2025 FSC-klagomål mail.docx", "A 4964-2025")</f>
        <v/>
      </c>
      <c r="X55">
        <f>HYPERLINK("https://klasma.github.io/Logging_0860/tillsyn/A 4964-2025 tillsynsbegäran.docx", "A 4964-2025")</f>
        <v/>
      </c>
      <c r="Y55">
        <f>HYPERLINK("https://klasma.github.io/Logging_0860/tillsynsmail/A 4964-2025 tillsynsbegäran mail.docx", "A 4964-2025")</f>
        <v/>
      </c>
      <c r="Z55">
        <f>HYPERLINK("https://klasma.github.io/Logging_0860/fåglar/A 4964-2025 prioriterade fågelarter.docx", "A 4964-2025")</f>
        <v/>
      </c>
    </row>
    <row r="56" ht="15" customHeight="1">
      <c r="A56" t="inlineStr">
        <is>
          <t>A 50296-2023</t>
        </is>
      </c>
      <c r="B56" s="1" t="n">
        <v>45216.47987268519</v>
      </c>
      <c r="C56" s="1" t="n">
        <v>45948</v>
      </c>
      <c r="D56" t="inlineStr">
        <is>
          <t>KALMAR LÄN</t>
        </is>
      </c>
      <c r="E56" t="inlineStr">
        <is>
          <t>HULTSFRED</t>
        </is>
      </c>
      <c r="G56" t="n">
        <v>8.5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HYPERLINK("https://klasma.github.io/Logging_0860/artfynd/A 50296-2023 artfynd.xlsx", "A 50296-2023")</f>
        <v/>
      </c>
      <c r="T56">
        <f>HYPERLINK("https://klasma.github.io/Logging_0860/kartor/A 50296-2023 karta.png", "A 50296-2023")</f>
        <v/>
      </c>
      <c r="U56">
        <f>HYPERLINK("https://klasma.github.io/Logging_0860/knärot/A 50296-2023 karta knärot.png", "A 50296-2023")</f>
        <v/>
      </c>
      <c r="V56">
        <f>HYPERLINK("https://klasma.github.io/Logging_0860/klagomål/A 50296-2023 FSC-klagomål.docx", "A 50296-2023")</f>
        <v/>
      </c>
      <c r="W56">
        <f>HYPERLINK("https://klasma.github.io/Logging_0860/klagomålsmail/A 50296-2023 FSC-klagomål mail.docx", "A 50296-2023")</f>
        <v/>
      </c>
      <c r="X56">
        <f>HYPERLINK("https://klasma.github.io/Logging_0860/tillsyn/A 50296-2023 tillsynsbegäran.docx", "A 50296-2023")</f>
        <v/>
      </c>
      <c r="Y56">
        <f>HYPERLINK("https://klasma.github.io/Logging_0860/tillsynsmail/A 50296-2023 tillsynsbegäran mail.docx", "A 50296-2023")</f>
        <v/>
      </c>
    </row>
    <row r="57" ht="15" customHeight="1">
      <c r="A57" t="inlineStr">
        <is>
          <t>A 16884-2025</t>
        </is>
      </c>
      <c r="B57" s="1" t="n">
        <v>45755.30336805555</v>
      </c>
      <c r="C57" s="1" t="n">
        <v>45948</v>
      </c>
      <c r="D57" t="inlineStr">
        <is>
          <t>KALMAR LÄN</t>
        </is>
      </c>
      <c r="E57" t="inlineStr">
        <is>
          <t>HULTSFRED</t>
        </is>
      </c>
      <c r="F57" t="inlineStr">
        <is>
          <t>Sveaskog</t>
        </is>
      </c>
      <c r="G57" t="n">
        <v>7.4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Åkerrödtoppa</t>
        </is>
      </c>
      <c r="S57">
        <f>HYPERLINK("https://klasma.github.io/Logging_0860/artfynd/A 16884-2025 artfynd.xlsx", "A 16884-2025")</f>
        <v/>
      </c>
      <c r="T57">
        <f>HYPERLINK("https://klasma.github.io/Logging_0860/kartor/A 16884-2025 karta.png", "A 16884-2025")</f>
        <v/>
      </c>
      <c r="V57">
        <f>HYPERLINK("https://klasma.github.io/Logging_0860/klagomål/A 16884-2025 FSC-klagomål.docx", "A 16884-2025")</f>
        <v/>
      </c>
      <c r="W57">
        <f>HYPERLINK("https://klasma.github.io/Logging_0860/klagomålsmail/A 16884-2025 FSC-klagomål mail.docx", "A 16884-2025")</f>
        <v/>
      </c>
      <c r="X57">
        <f>HYPERLINK("https://klasma.github.io/Logging_0860/tillsyn/A 16884-2025 tillsynsbegäran.docx", "A 16884-2025")</f>
        <v/>
      </c>
      <c r="Y57">
        <f>HYPERLINK("https://klasma.github.io/Logging_0860/tillsynsmail/A 16884-2025 tillsynsbegäran mail.docx", "A 16884-2025")</f>
        <v/>
      </c>
    </row>
    <row r="58" ht="15" customHeight="1">
      <c r="A58" t="inlineStr">
        <is>
          <t>A 16891-2025</t>
        </is>
      </c>
      <c r="B58" s="1" t="n">
        <v>45755.3155787037</v>
      </c>
      <c r="C58" s="1" t="n">
        <v>45948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Fyrflikig jordstjärna</t>
        </is>
      </c>
      <c r="S58">
        <f>HYPERLINK("https://klasma.github.io/Logging_0860/artfynd/A 16891-2025 artfynd.xlsx", "A 16891-2025")</f>
        <v/>
      </c>
      <c r="T58">
        <f>HYPERLINK("https://klasma.github.io/Logging_0860/kartor/A 16891-2025 karta.png", "A 16891-2025")</f>
        <v/>
      </c>
      <c r="V58">
        <f>HYPERLINK("https://klasma.github.io/Logging_0860/klagomål/A 16891-2025 FSC-klagomål.docx", "A 16891-2025")</f>
        <v/>
      </c>
      <c r="W58">
        <f>HYPERLINK("https://klasma.github.io/Logging_0860/klagomålsmail/A 16891-2025 FSC-klagomål mail.docx", "A 16891-2025")</f>
        <v/>
      </c>
      <c r="X58">
        <f>HYPERLINK("https://klasma.github.io/Logging_0860/tillsyn/A 16891-2025 tillsynsbegäran.docx", "A 16891-2025")</f>
        <v/>
      </c>
      <c r="Y58">
        <f>HYPERLINK("https://klasma.github.io/Logging_0860/tillsynsmail/A 16891-2025 tillsynsbegäran mail.docx", "A 16891-2025")</f>
        <v/>
      </c>
    </row>
    <row r="59" ht="15" customHeight="1">
      <c r="A59" t="inlineStr">
        <is>
          <t>A 53862-2022</t>
        </is>
      </c>
      <c r="B59" s="1" t="n">
        <v>44876</v>
      </c>
      <c r="C59" s="1" t="n">
        <v>45948</v>
      </c>
      <c r="D59" t="inlineStr">
        <is>
          <t>KALMAR LÄN</t>
        </is>
      </c>
      <c r="E59" t="inlineStr">
        <is>
          <t>HULTSFRED</t>
        </is>
      </c>
      <c r="F59" t="inlineStr">
        <is>
          <t>Kommuner</t>
        </is>
      </c>
      <c r="G59" t="n">
        <v>1.7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HYPERLINK("https://klasma.github.io/Logging_0860/artfynd/A 53862-2022 artfynd.xlsx", "A 53862-2022")</f>
        <v/>
      </c>
      <c r="T59">
        <f>HYPERLINK("https://klasma.github.io/Logging_0860/kartor/A 53862-2022 karta.png", "A 53862-2022")</f>
        <v/>
      </c>
      <c r="V59">
        <f>HYPERLINK("https://klasma.github.io/Logging_0860/klagomål/A 53862-2022 FSC-klagomål.docx", "A 53862-2022")</f>
        <v/>
      </c>
      <c r="W59">
        <f>HYPERLINK("https://klasma.github.io/Logging_0860/klagomålsmail/A 53862-2022 FSC-klagomål mail.docx", "A 53862-2022")</f>
        <v/>
      </c>
      <c r="X59">
        <f>HYPERLINK("https://klasma.github.io/Logging_0860/tillsyn/A 53862-2022 tillsynsbegäran.docx", "A 53862-2022")</f>
        <v/>
      </c>
      <c r="Y59">
        <f>HYPERLINK("https://klasma.github.io/Logging_0860/tillsynsmail/A 53862-2022 tillsynsbegäran mail.docx", "A 53862-2022")</f>
        <v/>
      </c>
    </row>
    <row r="60" ht="15" customHeight="1">
      <c r="A60" t="inlineStr">
        <is>
          <t>A 39875-2021</t>
        </is>
      </c>
      <c r="B60" s="1" t="n">
        <v>44417</v>
      </c>
      <c r="C60" s="1" t="n">
        <v>45948</v>
      </c>
      <c r="D60" t="inlineStr">
        <is>
          <t>KALMAR LÄN</t>
        </is>
      </c>
      <c r="E60" t="inlineStr">
        <is>
          <t>HULTSFRED</t>
        </is>
      </c>
      <c r="G60" t="n">
        <v>8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HYPERLINK("https://klasma.github.io/Logging_0860/artfynd/A 39875-2021 artfynd.xlsx", "A 39875-2021")</f>
        <v/>
      </c>
      <c r="T60">
        <f>HYPERLINK("https://klasma.github.io/Logging_0860/kartor/A 39875-2021 karta.png", "A 39875-2021")</f>
        <v/>
      </c>
      <c r="V60">
        <f>HYPERLINK("https://klasma.github.io/Logging_0860/klagomål/A 39875-2021 FSC-klagomål.docx", "A 39875-2021")</f>
        <v/>
      </c>
      <c r="W60">
        <f>HYPERLINK("https://klasma.github.io/Logging_0860/klagomålsmail/A 39875-2021 FSC-klagomål mail.docx", "A 39875-2021")</f>
        <v/>
      </c>
      <c r="X60">
        <f>HYPERLINK("https://klasma.github.io/Logging_0860/tillsyn/A 39875-2021 tillsynsbegäran.docx", "A 39875-2021")</f>
        <v/>
      </c>
      <c r="Y60">
        <f>HYPERLINK("https://klasma.github.io/Logging_0860/tillsynsmail/A 39875-2021 tillsynsbegäran mail.docx", "A 39875-2021")</f>
        <v/>
      </c>
      <c r="Z60">
        <f>HYPERLINK("https://klasma.github.io/Logging_0860/fåglar/A 39875-2021 prioriterade fågelarter.docx", "A 39875-2021")</f>
        <v/>
      </c>
    </row>
    <row r="61" ht="15" customHeight="1">
      <c r="A61" t="inlineStr">
        <is>
          <t>A 14095-2023</t>
        </is>
      </c>
      <c r="B61" s="1" t="n">
        <v>45009.35950231482</v>
      </c>
      <c r="C61" s="1" t="n">
        <v>45948</v>
      </c>
      <c r="D61" t="inlineStr">
        <is>
          <t>KALMAR LÄN</t>
        </is>
      </c>
      <c r="E61" t="inlineStr">
        <is>
          <t>HULTSFRED</t>
        </is>
      </c>
      <c r="G61" t="n">
        <v>5.7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Dvärgkällmossa</t>
        </is>
      </c>
      <c r="S61">
        <f>HYPERLINK("https://klasma.github.io/Logging_0860/artfynd/A 14095-2023 artfynd.xlsx", "A 14095-2023")</f>
        <v/>
      </c>
      <c r="T61">
        <f>HYPERLINK("https://klasma.github.io/Logging_0860/kartor/A 14095-2023 karta.png", "A 14095-2023")</f>
        <v/>
      </c>
      <c r="V61">
        <f>HYPERLINK("https://klasma.github.io/Logging_0860/klagomål/A 14095-2023 FSC-klagomål.docx", "A 14095-2023")</f>
        <v/>
      </c>
      <c r="W61">
        <f>HYPERLINK("https://klasma.github.io/Logging_0860/klagomålsmail/A 14095-2023 FSC-klagomål mail.docx", "A 14095-2023")</f>
        <v/>
      </c>
      <c r="X61">
        <f>HYPERLINK("https://klasma.github.io/Logging_0860/tillsyn/A 14095-2023 tillsynsbegäran.docx", "A 14095-2023")</f>
        <v/>
      </c>
      <c r="Y61">
        <f>HYPERLINK("https://klasma.github.io/Logging_0860/tillsynsmail/A 14095-2023 tillsynsbegäran mail.docx", "A 14095-2023")</f>
        <v/>
      </c>
    </row>
    <row r="62" ht="15" customHeight="1">
      <c r="A62" t="inlineStr">
        <is>
          <t>A 35517-2023</t>
        </is>
      </c>
      <c r="B62" s="1" t="n">
        <v>45147</v>
      </c>
      <c r="C62" s="1" t="n">
        <v>45948</v>
      </c>
      <c r="D62" t="inlineStr">
        <is>
          <t>KALMAR LÄN</t>
        </is>
      </c>
      <c r="E62" t="inlineStr">
        <is>
          <t>HULTSFRED</t>
        </is>
      </c>
      <c r="G62" t="n">
        <v>3.5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Revlummer</t>
        </is>
      </c>
      <c r="S62">
        <f>HYPERLINK("https://klasma.github.io/Logging_0860/artfynd/A 35517-2023 artfynd.xlsx", "A 35517-2023")</f>
        <v/>
      </c>
      <c r="T62">
        <f>HYPERLINK("https://klasma.github.io/Logging_0860/kartor/A 35517-2023 karta.png", "A 35517-2023")</f>
        <v/>
      </c>
      <c r="V62">
        <f>HYPERLINK("https://klasma.github.io/Logging_0860/klagomål/A 35517-2023 FSC-klagomål.docx", "A 35517-2023")</f>
        <v/>
      </c>
      <c r="W62">
        <f>HYPERLINK("https://klasma.github.io/Logging_0860/klagomålsmail/A 35517-2023 FSC-klagomål mail.docx", "A 35517-2023")</f>
        <v/>
      </c>
      <c r="X62">
        <f>HYPERLINK("https://klasma.github.io/Logging_0860/tillsyn/A 35517-2023 tillsynsbegäran.docx", "A 35517-2023")</f>
        <v/>
      </c>
      <c r="Y62">
        <f>HYPERLINK("https://klasma.github.io/Logging_0860/tillsynsmail/A 35517-2023 tillsynsbegäran mail.docx", "A 35517-2023")</f>
        <v/>
      </c>
    </row>
    <row r="63" ht="15" customHeight="1">
      <c r="A63" t="inlineStr">
        <is>
          <t>A 2637-2023</t>
        </is>
      </c>
      <c r="B63" s="1" t="n">
        <v>44942</v>
      </c>
      <c r="C63" s="1" t="n">
        <v>45948</v>
      </c>
      <c r="D63" t="inlineStr">
        <is>
          <t>KALMAR LÄN</t>
        </is>
      </c>
      <c r="E63" t="inlineStr">
        <is>
          <t>HULTSFRED</t>
        </is>
      </c>
      <c r="G63" t="n">
        <v>13.1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Björksplintborre</t>
        </is>
      </c>
      <c r="S63">
        <f>HYPERLINK("https://klasma.github.io/Logging_0860/artfynd/A 2637-2023 artfynd.xlsx", "A 2637-2023")</f>
        <v/>
      </c>
      <c r="T63">
        <f>HYPERLINK("https://klasma.github.io/Logging_0860/kartor/A 2637-2023 karta.png", "A 2637-2023")</f>
        <v/>
      </c>
      <c r="V63">
        <f>HYPERLINK("https://klasma.github.io/Logging_0860/klagomål/A 2637-2023 FSC-klagomål.docx", "A 2637-2023")</f>
        <v/>
      </c>
      <c r="W63">
        <f>HYPERLINK("https://klasma.github.io/Logging_0860/klagomålsmail/A 2637-2023 FSC-klagomål mail.docx", "A 2637-2023")</f>
        <v/>
      </c>
      <c r="X63">
        <f>HYPERLINK("https://klasma.github.io/Logging_0860/tillsyn/A 2637-2023 tillsynsbegäran.docx", "A 2637-2023")</f>
        <v/>
      </c>
      <c r="Y63">
        <f>HYPERLINK("https://klasma.github.io/Logging_0860/tillsynsmail/A 2637-2023 tillsynsbegäran mail.docx", "A 2637-2023")</f>
        <v/>
      </c>
    </row>
    <row r="64" ht="15" customHeight="1">
      <c r="A64" t="inlineStr">
        <is>
          <t>A 15110-2024</t>
        </is>
      </c>
      <c r="B64" s="1" t="n">
        <v>45399</v>
      </c>
      <c r="C64" s="1" t="n">
        <v>45948</v>
      </c>
      <c r="D64" t="inlineStr">
        <is>
          <t>KALMAR LÄN</t>
        </is>
      </c>
      <c r="E64" t="inlineStr">
        <is>
          <t>HULTSFRED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Grönsångare</t>
        </is>
      </c>
      <c r="S64">
        <f>HYPERLINK("https://klasma.github.io/Logging_0860/artfynd/A 15110-2024 artfynd.xlsx", "A 15110-2024")</f>
        <v/>
      </c>
      <c r="T64">
        <f>HYPERLINK("https://klasma.github.io/Logging_0860/kartor/A 15110-2024 karta.png", "A 15110-2024")</f>
        <v/>
      </c>
      <c r="V64">
        <f>HYPERLINK("https://klasma.github.io/Logging_0860/klagomål/A 15110-2024 FSC-klagomål.docx", "A 15110-2024")</f>
        <v/>
      </c>
      <c r="W64">
        <f>HYPERLINK("https://klasma.github.io/Logging_0860/klagomålsmail/A 15110-2024 FSC-klagomål mail.docx", "A 15110-2024")</f>
        <v/>
      </c>
      <c r="X64">
        <f>HYPERLINK("https://klasma.github.io/Logging_0860/tillsyn/A 15110-2024 tillsynsbegäran.docx", "A 15110-2024")</f>
        <v/>
      </c>
      <c r="Y64">
        <f>HYPERLINK("https://klasma.github.io/Logging_0860/tillsynsmail/A 15110-2024 tillsynsbegäran mail.docx", "A 15110-2024")</f>
        <v/>
      </c>
      <c r="Z64">
        <f>HYPERLINK("https://klasma.github.io/Logging_0860/fåglar/A 15110-2024 prioriterade fågelarter.docx", "A 15110-2024")</f>
        <v/>
      </c>
    </row>
    <row r="65" ht="15" customHeight="1">
      <c r="A65" t="inlineStr">
        <is>
          <t>A 24450-2025</t>
        </is>
      </c>
      <c r="B65" s="1" t="n">
        <v>45798.3421875</v>
      </c>
      <c r="C65" s="1" t="n">
        <v>45948</v>
      </c>
      <c r="D65" t="inlineStr">
        <is>
          <t>KALMAR LÄN</t>
        </is>
      </c>
      <c r="E65" t="inlineStr">
        <is>
          <t>HULTSFRED</t>
        </is>
      </c>
      <c r="F65" t="inlineStr">
        <is>
          <t>Kyrkan</t>
        </is>
      </c>
      <c r="G65" t="n">
        <v>10.9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Tjäder</t>
        </is>
      </c>
      <c r="S65">
        <f>HYPERLINK("https://klasma.github.io/Logging_0860/artfynd/A 24450-2025 artfynd.xlsx", "A 24450-2025")</f>
        <v/>
      </c>
      <c r="T65">
        <f>HYPERLINK("https://klasma.github.io/Logging_0860/kartor/A 24450-2025 karta.png", "A 24450-2025")</f>
        <v/>
      </c>
      <c r="V65">
        <f>HYPERLINK("https://klasma.github.io/Logging_0860/klagomål/A 24450-2025 FSC-klagomål.docx", "A 24450-2025")</f>
        <v/>
      </c>
      <c r="W65">
        <f>HYPERLINK("https://klasma.github.io/Logging_0860/klagomålsmail/A 24450-2025 FSC-klagomål mail.docx", "A 24450-2025")</f>
        <v/>
      </c>
      <c r="X65">
        <f>HYPERLINK("https://klasma.github.io/Logging_0860/tillsyn/A 24450-2025 tillsynsbegäran.docx", "A 24450-2025")</f>
        <v/>
      </c>
      <c r="Y65">
        <f>HYPERLINK("https://klasma.github.io/Logging_0860/tillsynsmail/A 24450-2025 tillsynsbegäran mail.docx", "A 24450-2025")</f>
        <v/>
      </c>
      <c r="Z65">
        <f>HYPERLINK("https://klasma.github.io/Logging_0860/fåglar/A 24450-2025 prioriterade fågelarter.docx", "A 24450-2025")</f>
        <v/>
      </c>
    </row>
    <row r="66" ht="15" customHeight="1">
      <c r="A66" t="inlineStr">
        <is>
          <t>A 41608-2025</t>
        </is>
      </c>
      <c r="B66" s="1" t="n">
        <v>45901.66907407407</v>
      </c>
      <c r="C66" s="1" t="n">
        <v>45948</v>
      </c>
      <c r="D66" t="inlineStr">
        <is>
          <t>KALMAR LÄN</t>
        </is>
      </c>
      <c r="E66" t="inlineStr">
        <is>
          <t>HULTSFRED</t>
        </is>
      </c>
      <c r="G66" t="n">
        <v>7.4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Tjäder</t>
        </is>
      </c>
      <c r="S66">
        <f>HYPERLINK("https://klasma.github.io/Logging_0860/artfynd/A 41608-2025 artfynd.xlsx", "A 41608-2025")</f>
        <v/>
      </c>
      <c r="T66">
        <f>HYPERLINK("https://klasma.github.io/Logging_0860/kartor/A 41608-2025 karta.png", "A 41608-2025")</f>
        <v/>
      </c>
      <c r="V66">
        <f>HYPERLINK("https://klasma.github.io/Logging_0860/klagomål/A 41608-2025 FSC-klagomål.docx", "A 41608-2025")</f>
        <v/>
      </c>
      <c r="W66">
        <f>HYPERLINK("https://klasma.github.io/Logging_0860/klagomålsmail/A 41608-2025 FSC-klagomål mail.docx", "A 41608-2025")</f>
        <v/>
      </c>
      <c r="X66">
        <f>HYPERLINK("https://klasma.github.io/Logging_0860/tillsyn/A 41608-2025 tillsynsbegäran.docx", "A 41608-2025")</f>
        <v/>
      </c>
      <c r="Y66">
        <f>HYPERLINK("https://klasma.github.io/Logging_0860/tillsynsmail/A 41608-2025 tillsynsbegäran mail.docx", "A 41608-2025")</f>
        <v/>
      </c>
      <c r="Z66">
        <f>HYPERLINK("https://klasma.github.io/Logging_0860/fåglar/A 41608-2025 prioriterade fågelarter.docx", "A 41608-2025")</f>
        <v/>
      </c>
    </row>
    <row r="67" ht="15" customHeight="1">
      <c r="A67" t="inlineStr">
        <is>
          <t>A 42240-2025</t>
        </is>
      </c>
      <c r="B67" s="1" t="n">
        <v>45904.5654050926</v>
      </c>
      <c r="C67" s="1" t="n">
        <v>45948</v>
      </c>
      <c r="D67" t="inlineStr">
        <is>
          <t>KALMAR LÄN</t>
        </is>
      </c>
      <c r="E67" t="inlineStr">
        <is>
          <t>HULTSFRED</t>
        </is>
      </c>
      <c r="G67" t="n">
        <v>6.9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Spindelört</t>
        </is>
      </c>
      <c r="S67">
        <f>HYPERLINK("https://klasma.github.io/Logging_0860/artfynd/A 42240-2025 artfynd.xlsx", "A 42240-2025")</f>
        <v/>
      </c>
      <c r="T67">
        <f>HYPERLINK("https://klasma.github.io/Logging_0860/kartor/A 42240-2025 karta.png", "A 42240-2025")</f>
        <v/>
      </c>
      <c r="V67">
        <f>HYPERLINK("https://klasma.github.io/Logging_0860/klagomål/A 42240-2025 FSC-klagomål.docx", "A 42240-2025")</f>
        <v/>
      </c>
      <c r="W67">
        <f>HYPERLINK("https://klasma.github.io/Logging_0860/klagomålsmail/A 42240-2025 FSC-klagomål mail.docx", "A 42240-2025")</f>
        <v/>
      </c>
      <c r="X67">
        <f>HYPERLINK("https://klasma.github.io/Logging_0860/tillsyn/A 42240-2025 tillsynsbegäran.docx", "A 42240-2025")</f>
        <v/>
      </c>
      <c r="Y67">
        <f>HYPERLINK("https://klasma.github.io/Logging_0860/tillsynsmail/A 42240-2025 tillsynsbegäran mail.docx", "A 42240-2025")</f>
        <v/>
      </c>
    </row>
    <row r="68" ht="15" customHeight="1">
      <c r="A68" t="inlineStr">
        <is>
          <t>A 41605-2025</t>
        </is>
      </c>
      <c r="B68" s="1" t="n">
        <v>45901.66547453704</v>
      </c>
      <c r="C68" s="1" t="n">
        <v>45948</v>
      </c>
      <c r="D68" t="inlineStr">
        <is>
          <t>KALMAR LÄN</t>
        </is>
      </c>
      <c r="E68" t="inlineStr">
        <is>
          <t>HULTSFRED</t>
        </is>
      </c>
      <c r="G68" t="n">
        <v>4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HYPERLINK("https://klasma.github.io/Logging_0860/artfynd/A 41605-2025 artfynd.xlsx", "A 41605-2025")</f>
        <v/>
      </c>
      <c r="T68">
        <f>HYPERLINK("https://klasma.github.io/Logging_0860/kartor/A 41605-2025 karta.png", "A 41605-2025")</f>
        <v/>
      </c>
      <c r="U68">
        <f>HYPERLINK("https://klasma.github.io/Logging_0860/knärot/A 41605-2025 karta knärot.png", "A 41605-2025")</f>
        <v/>
      </c>
      <c r="V68">
        <f>HYPERLINK("https://klasma.github.io/Logging_0860/klagomål/A 41605-2025 FSC-klagomål.docx", "A 41605-2025")</f>
        <v/>
      </c>
      <c r="W68">
        <f>HYPERLINK("https://klasma.github.io/Logging_0860/klagomålsmail/A 41605-2025 FSC-klagomål mail.docx", "A 41605-2025")</f>
        <v/>
      </c>
      <c r="X68">
        <f>HYPERLINK("https://klasma.github.io/Logging_0860/tillsyn/A 41605-2025 tillsynsbegäran.docx", "A 41605-2025")</f>
        <v/>
      </c>
      <c r="Y68">
        <f>HYPERLINK("https://klasma.github.io/Logging_0860/tillsynsmail/A 41605-2025 tillsynsbegäran mail.docx", "A 41605-2025")</f>
        <v/>
      </c>
    </row>
    <row r="69" ht="15" customHeight="1">
      <c r="A69" t="inlineStr">
        <is>
          <t>A 26669-2025</t>
        </is>
      </c>
      <c r="B69" s="1" t="n">
        <v>45810.41100694444</v>
      </c>
      <c r="C69" s="1" t="n">
        <v>45948</v>
      </c>
      <c r="D69" t="inlineStr">
        <is>
          <t>KALMAR LÄN</t>
        </is>
      </c>
      <c r="E69" t="inlineStr">
        <is>
          <t>HULTSFRED</t>
        </is>
      </c>
      <c r="G69" t="n">
        <v>3.1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Gulnål</t>
        </is>
      </c>
      <c r="S69">
        <f>HYPERLINK("https://klasma.github.io/Logging_0860/artfynd/A 26669-2025 artfynd.xlsx", "A 26669-2025")</f>
        <v/>
      </c>
      <c r="T69">
        <f>HYPERLINK("https://klasma.github.io/Logging_0860/kartor/A 26669-2025 karta.png", "A 26669-2025")</f>
        <v/>
      </c>
      <c r="V69">
        <f>HYPERLINK("https://klasma.github.io/Logging_0860/klagomål/A 26669-2025 FSC-klagomål.docx", "A 26669-2025")</f>
        <v/>
      </c>
      <c r="W69">
        <f>HYPERLINK("https://klasma.github.io/Logging_0860/klagomålsmail/A 26669-2025 FSC-klagomål mail.docx", "A 26669-2025")</f>
        <v/>
      </c>
      <c r="X69">
        <f>HYPERLINK("https://klasma.github.io/Logging_0860/tillsyn/A 26669-2025 tillsynsbegäran.docx", "A 26669-2025")</f>
        <v/>
      </c>
      <c r="Y69">
        <f>HYPERLINK("https://klasma.github.io/Logging_0860/tillsynsmail/A 26669-2025 tillsynsbegäran mail.docx", "A 26669-2025")</f>
        <v/>
      </c>
    </row>
    <row r="70" ht="15" customHeight="1">
      <c r="A70" t="inlineStr">
        <is>
          <t>A 26686-2025</t>
        </is>
      </c>
      <c r="B70" s="1" t="n">
        <v>45810.43359953703</v>
      </c>
      <c r="C70" s="1" t="n">
        <v>45948</v>
      </c>
      <c r="D70" t="inlineStr">
        <is>
          <t>KALMAR LÄN</t>
        </is>
      </c>
      <c r="E70" t="inlineStr">
        <is>
          <t>HULTSFRED</t>
        </is>
      </c>
      <c r="G70" t="n">
        <v>4.1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HYPERLINK("https://klasma.github.io/Logging_0860/artfynd/A 26686-2025 artfynd.xlsx", "A 26686-2025")</f>
        <v/>
      </c>
      <c r="T70">
        <f>HYPERLINK("https://klasma.github.io/Logging_0860/kartor/A 26686-2025 karta.png", "A 26686-2025")</f>
        <v/>
      </c>
      <c r="V70">
        <f>HYPERLINK("https://klasma.github.io/Logging_0860/klagomål/A 26686-2025 FSC-klagomål.docx", "A 26686-2025")</f>
        <v/>
      </c>
      <c r="W70">
        <f>HYPERLINK("https://klasma.github.io/Logging_0860/klagomålsmail/A 26686-2025 FSC-klagomål mail.docx", "A 26686-2025")</f>
        <v/>
      </c>
      <c r="X70">
        <f>HYPERLINK("https://klasma.github.io/Logging_0860/tillsyn/A 26686-2025 tillsynsbegäran.docx", "A 26686-2025")</f>
        <v/>
      </c>
      <c r="Y70">
        <f>HYPERLINK("https://klasma.github.io/Logging_0860/tillsynsmail/A 26686-2025 tillsynsbegäran mail.docx", "A 26686-2025")</f>
        <v/>
      </c>
    </row>
    <row r="71" ht="15" customHeight="1">
      <c r="A71" t="inlineStr">
        <is>
          <t>A 51587-2024</t>
        </is>
      </c>
      <c r="B71" s="1" t="n">
        <v>45604.64533564815</v>
      </c>
      <c r="C71" s="1" t="n">
        <v>45948</v>
      </c>
      <c r="D71" t="inlineStr">
        <is>
          <t>KALMAR LÄN</t>
        </is>
      </c>
      <c r="E71" t="inlineStr">
        <is>
          <t>HULTSFRED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Ryl</t>
        </is>
      </c>
      <c r="S71">
        <f>HYPERLINK("https://klasma.github.io/Logging_0860/artfynd/A 51587-2024 artfynd.xlsx", "A 51587-2024")</f>
        <v/>
      </c>
      <c r="T71">
        <f>HYPERLINK("https://klasma.github.io/Logging_0860/kartor/A 51587-2024 karta.png", "A 51587-2024")</f>
        <v/>
      </c>
      <c r="V71">
        <f>HYPERLINK("https://klasma.github.io/Logging_0860/klagomål/A 51587-2024 FSC-klagomål.docx", "A 51587-2024")</f>
        <v/>
      </c>
      <c r="W71">
        <f>HYPERLINK("https://klasma.github.io/Logging_0860/klagomålsmail/A 51587-2024 FSC-klagomål mail.docx", "A 51587-2024")</f>
        <v/>
      </c>
      <c r="X71">
        <f>HYPERLINK("https://klasma.github.io/Logging_0860/tillsyn/A 51587-2024 tillsynsbegäran.docx", "A 51587-2024")</f>
        <v/>
      </c>
      <c r="Y71">
        <f>HYPERLINK("https://klasma.github.io/Logging_0860/tillsynsmail/A 51587-2024 tillsynsbegäran mail.docx", "A 51587-2024")</f>
        <v/>
      </c>
    </row>
    <row r="72" ht="15" customHeight="1">
      <c r="A72" t="inlineStr">
        <is>
          <t>A 15173-2024</t>
        </is>
      </c>
      <c r="B72" s="1" t="n">
        <v>45400</v>
      </c>
      <c r="C72" s="1" t="n">
        <v>45948</v>
      </c>
      <c r="D72" t="inlineStr">
        <is>
          <t>KALMAR LÄN</t>
        </is>
      </c>
      <c r="E72" t="inlineStr">
        <is>
          <t>HULTSFRED</t>
        </is>
      </c>
      <c r="G72" t="n">
        <v>1.7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Vanlig groda</t>
        </is>
      </c>
      <c r="S72">
        <f>HYPERLINK("https://klasma.github.io/Logging_0860/artfynd/A 15173-2024 artfynd.xlsx", "A 15173-2024")</f>
        <v/>
      </c>
      <c r="T72">
        <f>HYPERLINK("https://klasma.github.io/Logging_0860/kartor/A 15173-2024 karta.png", "A 15173-2024")</f>
        <v/>
      </c>
      <c r="V72">
        <f>HYPERLINK("https://klasma.github.io/Logging_0860/klagomål/A 15173-2024 FSC-klagomål.docx", "A 15173-2024")</f>
        <v/>
      </c>
      <c r="W72">
        <f>HYPERLINK("https://klasma.github.io/Logging_0860/klagomålsmail/A 15173-2024 FSC-klagomål mail.docx", "A 15173-2024")</f>
        <v/>
      </c>
      <c r="X72">
        <f>HYPERLINK("https://klasma.github.io/Logging_0860/tillsyn/A 15173-2024 tillsynsbegäran.docx", "A 15173-2024")</f>
        <v/>
      </c>
      <c r="Y72">
        <f>HYPERLINK("https://klasma.github.io/Logging_0860/tillsynsmail/A 15173-2024 tillsynsbegäran mail.docx", "A 15173-2024")</f>
        <v/>
      </c>
    </row>
    <row r="73" ht="15" customHeight="1">
      <c r="A73" t="inlineStr">
        <is>
          <t>A 15094-2024</t>
        </is>
      </c>
      <c r="B73" s="1" t="n">
        <v>45399</v>
      </c>
      <c r="C73" s="1" t="n">
        <v>45948</v>
      </c>
      <c r="D73" t="inlineStr">
        <is>
          <t>KALMAR LÄN</t>
        </is>
      </c>
      <c r="E73" t="inlineStr">
        <is>
          <t>HULTSFRED</t>
        </is>
      </c>
      <c r="G73" t="n">
        <v>2.3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HYPERLINK("https://klasma.github.io/Logging_0860/artfynd/A 15094-2024 artfynd.xlsx", "A 15094-2024")</f>
        <v/>
      </c>
      <c r="T73">
        <f>HYPERLINK("https://klasma.github.io/Logging_0860/kartor/A 15094-2024 karta.png", "A 15094-2024")</f>
        <v/>
      </c>
      <c r="U73">
        <f>HYPERLINK("https://klasma.github.io/Logging_0860/knärot/A 15094-2024 karta knärot.png", "A 15094-2024")</f>
        <v/>
      </c>
      <c r="V73">
        <f>HYPERLINK("https://klasma.github.io/Logging_0860/klagomål/A 15094-2024 FSC-klagomål.docx", "A 15094-2024")</f>
        <v/>
      </c>
      <c r="W73">
        <f>HYPERLINK("https://klasma.github.io/Logging_0860/klagomålsmail/A 15094-2024 FSC-klagomål mail.docx", "A 15094-2024")</f>
        <v/>
      </c>
      <c r="X73">
        <f>HYPERLINK("https://klasma.github.io/Logging_0860/tillsyn/A 15094-2024 tillsynsbegäran.docx", "A 15094-2024")</f>
        <v/>
      </c>
      <c r="Y73">
        <f>HYPERLINK("https://klasma.github.io/Logging_0860/tillsynsmail/A 15094-2024 tillsynsbegäran mail.docx", "A 15094-2024")</f>
        <v/>
      </c>
    </row>
    <row r="74" ht="15" customHeight="1">
      <c r="A74" t="inlineStr">
        <is>
          <t>A 68096-2021</t>
        </is>
      </c>
      <c r="B74" s="1" t="n">
        <v>44526</v>
      </c>
      <c r="C74" s="1" t="n">
        <v>45948</v>
      </c>
      <c r="D74" t="inlineStr">
        <is>
          <t>KALMAR LÄN</t>
        </is>
      </c>
      <c r="E74" t="inlineStr">
        <is>
          <t>HULTSFRED</t>
        </is>
      </c>
      <c r="G74" t="n">
        <v>5.8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HYPERLINK("https://klasma.github.io/Logging_0860/artfynd/A 68096-2021 artfynd.xlsx", "A 68096-2021")</f>
        <v/>
      </c>
      <c r="T74">
        <f>HYPERLINK("https://klasma.github.io/Logging_0860/kartor/A 68096-2021 karta.png", "A 68096-2021")</f>
        <v/>
      </c>
      <c r="U74">
        <f>HYPERLINK("https://klasma.github.io/Logging_0860/knärot/A 68096-2021 karta knärot.png", "A 68096-2021")</f>
        <v/>
      </c>
      <c r="V74">
        <f>HYPERLINK("https://klasma.github.io/Logging_0860/klagomål/A 68096-2021 FSC-klagomål.docx", "A 68096-2021")</f>
        <v/>
      </c>
      <c r="W74">
        <f>HYPERLINK("https://klasma.github.io/Logging_0860/klagomålsmail/A 68096-2021 FSC-klagomål mail.docx", "A 68096-2021")</f>
        <v/>
      </c>
      <c r="X74">
        <f>HYPERLINK("https://klasma.github.io/Logging_0860/tillsyn/A 68096-2021 tillsynsbegäran.docx", "A 68096-2021")</f>
        <v/>
      </c>
      <c r="Y74">
        <f>HYPERLINK("https://klasma.github.io/Logging_0860/tillsynsmail/A 68096-2021 tillsynsbegäran mail.docx", "A 68096-2021")</f>
        <v/>
      </c>
    </row>
    <row r="75" ht="15" customHeight="1">
      <c r="A75" t="inlineStr">
        <is>
          <t>A 32003-2025</t>
        </is>
      </c>
      <c r="B75" s="1" t="n">
        <v>45835.38121527778</v>
      </c>
      <c r="C75" s="1" t="n">
        <v>45948</v>
      </c>
      <c r="D75" t="inlineStr">
        <is>
          <t>KALMAR LÄN</t>
        </is>
      </c>
      <c r="E75" t="inlineStr">
        <is>
          <t>HULTSFRED</t>
        </is>
      </c>
      <c r="G75" t="n">
        <v>9.6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HYPERLINK("https://klasma.github.io/Logging_0860/artfynd/A 32003-2025 artfynd.xlsx", "A 32003-2025")</f>
        <v/>
      </c>
      <c r="T75">
        <f>HYPERLINK("https://klasma.github.io/Logging_0860/kartor/A 32003-2025 karta.png", "A 32003-2025")</f>
        <v/>
      </c>
      <c r="V75">
        <f>HYPERLINK("https://klasma.github.io/Logging_0860/klagomål/A 32003-2025 FSC-klagomål.docx", "A 32003-2025")</f>
        <v/>
      </c>
      <c r="W75">
        <f>HYPERLINK("https://klasma.github.io/Logging_0860/klagomålsmail/A 32003-2025 FSC-klagomål mail.docx", "A 32003-2025")</f>
        <v/>
      </c>
      <c r="X75">
        <f>HYPERLINK("https://klasma.github.io/Logging_0860/tillsyn/A 32003-2025 tillsynsbegäran.docx", "A 32003-2025")</f>
        <v/>
      </c>
      <c r="Y75">
        <f>HYPERLINK("https://klasma.github.io/Logging_0860/tillsynsmail/A 32003-2025 tillsynsbegäran mail.docx", "A 32003-2025")</f>
        <v/>
      </c>
    </row>
    <row r="76" ht="15" customHeight="1">
      <c r="A76" t="inlineStr">
        <is>
          <t>A 40256-2023</t>
        </is>
      </c>
      <c r="B76" s="1" t="n">
        <v>45169.50775462963</v>
      </c>
      <c r="C76" s="1" t="n">
        <v>45948</v>
      </c>
      <c r="D76" t="inlineStr">
        <is>
          <t>KALMAR LÄN</t>
        </is>
      </c>
      <c r="E76" t="inlineStr">
        <is>
          <t>HULTSFRED</t>
        </is>
      </c>
      <c r="G76" t="n">
        <v>2.2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Tofsvipa</t>
        </is>
      </c>
      <c r="S76">
        <f>HYPERLINK("https://klasma.github.io/Logging_0860/artfynd/A 40256-2023 artfynd.xlsx", "A 40256-2023")</f>
        <v/>
      </c>
      <c r="T76">
        <f>HYPERLINK("https://klasma.github.io/Logging_0860/kartor/A 40256-2023 karta.png", "A 40256-2023")</f>
        <v/>
      </c>
      <c r="V76">
        <f>HYPERLINK("https://klasma.github.io/Logging_0860/klagomål/A 40256-2023 FSC-klagomål.docx", "A 40256-2023")</f>
        <v/>
      </c>
      <c r="W76">
        <f>HYPERLINK("https://klasma.github.io/Logging_0860/klagomålsmail/A 40256-2023 FSC-klagomål mail.docx", "A 40256-2023")</f>
        <v/>
      </c>
      <c r="X76">
        <f>HYPERLINK("https://klasma.github.io/Logging_0860/tillsyn/A 40256-2023 tillsynsbegäran.docx", "A 40256-2023")</f>
        <v/>
      </c>
      <c r="Y76">
        <f>HYPERLINK("https://klasma.github.io/Logging_0860/tillsynsmail/A 40256-2023 tillsynsbegäran mail.docx", "A 40256-2023")</f>
        <v/>
      </c>
    </row>
    <row r="77" ht="15" customHeight="1">
      <c r="A77" t="inlineStr">
        <is>
          <t>A 44562-2025</t>
        </is>
      </c>
      <c r="B77" s="1" t="n">
        <v>45917.35021990741</v>
      </c>
      <c r="C77" s="1" t="n">
        <v>45948</v>
      </c>
      <c r="D77" t="inlineStr">
        <is>
          <t>KALMAR LÄN</t>
        </is>
      </c>
      <c r="E77" t="inlineStr">
        <is>
          <t>HULTSFRED</t>
        </is>
      </c>
      <c r="G77" t="n">
        <v>1.9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Ekticka</t>
        </is>
      </c>
      <c r="S77">
        <f>HYPERLINK("https://klasma.github.io/Logging_0860/artfynd/A 44562-2025 artfynd.xlsx", "A 44562-2025")</f>
        <v/>
      </c>
      <c r="T77">
        <f>HYPERLINK("https://klasma.github.io/Logging_0860/kartor/A 44562-2025 karta.png", "A 44562-2025")</f>
        <v/>
      </c>
      <c r="V77">
        <f>HYPERLINK("https://klasma.github.io/Logging_0860/klagomål/A 44562-2025 FSC-klagomål.docx", "A 44562-2025")</f>
        <v/>
      </c>
      <c r="W77">
        <f>HYPERLINK("https://klasma.github.io/Logging_0860/klagomålsmail/A 44562-2025 FSC-klagomål mail.docx", "A 44562-2025")</f>
        <v/>
      </c>
      <c r="X77">
        <f>HYPERLINK("https://klasma.github.io/Logging_0860/tillsyn/A 44562-2025 tillsynsbegäran.docx", "A 44562-2025")</f>
        <v/>
      </c>
      <c r="Y77">
        <f>HYPERLINK("https://klasma.github.io/Logging_0860/tillsynsmail/A 44562-2025 tillsynsbegäran mail.docx", "A 44562-2025")</f>
        <v/>
      </c>
    </row>
    <row r="78" ht="15" customHeight="1">
      <c r="A78" t="inlineStr">
        <is>
          <t>A 12717-2021</t>
        </is>
      </c>
      <c r="B78" s="1" t="n">
        <v>44270.60216435185</v>
      </c>
      <c r="C78" s="1" t="n">
        <v>45948</v>
      </c>
      <c r="D78" t="inlineStr">
        <is>
          <t>KALMAR LÄN</t>
        </is>
      </c>
      <c r="E78" t="inlineStr">
        <is>
          <t>HULTSFRED</t>
        </is>
      </c>
      <c r="F78" t="inlineStr">
        <is>
          <t>Sveaskog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69413-2020</t>
        </is>
      </c>
      <c r="B79" s="1" t="n">
        <v>44193.83646990741</v>
      </c>
      <c r="C79" s="1" t="n">
        <v>45948</v>
      </c>
      <c r="D79" t="inlineStr">
        <is>
          <t>KALMAR LÄN</t>
        </is>
      </c>
      <c r="E79" t="inlineStr">
        <is>
          <t>HULTSFRED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5423-2021</t>
        </is>
      </c>
      <c r="B80" s="1" t="n">
        <v>44229</v>
      </c>
      <c r="C80" s="1" t="n">
        <v>45948</v>
      </c>
      <c r="D80" t="inlineStr">
        <is>
          <t>KALMAR LÄN</t>
        </is>
      </c>
      <c r="E80" t="inlineStr">
        <is>
          <t>HULTSFRED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635-2021</t>
        </is>
      </c>
      <c r="B81" s="1" t="n">
        <v>44203.65149305556</v>
      </c>
      <c r="C81" s="1" t="n">
        <v>45948</v>
      </c>
      <c r="D81" t="inlineStr">
        <is>
          <t>KALMAR LÄN</t>
        </is>
      </c>
      <c r="E81" t="inlineStr">
        <is>
          <t>HULTSFRED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27570-2021</t>
        </is>
      </c>
      <c r="B82" s="1" t="n">
        <v>44353</v>
      </c>
      <c r="C82" s="1" t="n">
        <v>45948</v>
      </c>
      <c r="D82" t="inlineStr">
        <is>
          <t>KALMAR LÄN</t>
        </is>
      </c>
      <c r="E82" t="inlineStr">
        <is>
          <t>HULTSFRED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24307-2021</t>
        </is>
      </c>
      <c r="B83" s="1" t="n">
        <v>44337</v>
      </c>
      <c r="C83" s="1" t="n">
        <v>45948</v>
      </c>
      <c r="D83" t="inlineStr">
        <is>
          <t>KALMAR LÄN</t>
        </is>
      </c>
      <c r="E83" t="inlineStr">
        <is>
          <t>HULTSFRED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8199-2022</t>
        </is>
      </c>
      <c r="B84" s="1" t="n">
        <v>44609.71396990741</v>
      </c>
      <c r="C84" s="1" t="n">
        <v>45948</v>
      </c>
      <c r="D84" t="inlineStr">
        <is>
          <t>KALMAR LÄN</t>
        </is>
      </c>
      <c r="E84" t="inlineStr">
        <is>
          <t>HULTSFRED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38971-2021</t>
        </is>
      </c>
      <c r="B85" s="1" t="n">
        <v>44411</v>
      </c>
      <c r="C85" s="1" t="n">
        <v>45948</v>
      </c>
      <c r="D85" t="inlineStr">
        <is>
          <t>KALMAR LÄN</t>
        </is>
      </c>
      <c r="E85" t="inlineStr">
        <is>
          <t>HULTSFRED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35387-2021</t>
        </is>
      </c>
      <c r="B86" s="1" t="n">
        <v>44385.34373842592</v>
      </c>
      <c r="C86" s="1" t="n">
        <v>45948</v>
      </c>
      <c r="D86" t="inlineStr">
        <is>
          <t>KALMAR LÄN</t>
        </is>
      </c>
      <c r="E86" t="inlineStr">
        <is>
          <t>HULTSFRED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56140-2021</t>
        </is>
      </c>
      <c r="B87" s="1" t="n">
        <v>44477</v>
      </c>
      <c r="C87" s="1" t="n">
        <v>45948</v>
      </c>
      <c r="D87" t="inlineStr">
        <is>
          <t>KALMAR LÄN</t>
        </is>
      </c>
      <c r="E87" t="inlineStr">
        <is>
          <t>HULTSFRED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48249-2021</t>
        </is>
      </c>
      <c r="B88" s="1" t="n">
        <v>44449</v>
      </c>
      <c r="C88" s="1" t="n">
        <v>45948</v>
      </c>
      <c r="D88" t="inlineStr">
        <is>
          <t>KALMAR LÄN</t>
        </is>
      </c>
      <c r="E88" t="inlineStr">
        <is>
          <t>HULTSFRED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298-2022</t>
        </is>
      </c>
      <c r="B89" s="1" t="n">
        <v>44564</v>
      </c>
      <c r="C89" s="1" t="n">
        <v>45948</v>
      </c>
      <c r="D89" t="inlineStr">
        <is>
          <t>KALMAR LÄN</t>
        </is>
      </c>
      <c r="E89" t="inlineStr">
        <is>
          <t>HULTSFRED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41728-2022</t>
        </is>
      </c>
      <c r="B90" s="1" t="n">
        <v>44827</v>
      </c>
      <c r="C90" s="1" t="n">
        <v>45948</v>
      </c>
      <c r="D90" t="inlineStr">
        <is>
          <t>KALMAR LÄN</t>
        </is>
      </c>
      <c r="E90" t="inlineStr">
        <is>
          <t>HULTSFRED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41729-2022</t>
        </is>
      </c>
      <c r="B91" s="1" t="n">
        <v>44827.63002314815</v>
      </c>
      <c r="C91" s="1" t="n">
        <v>45948</v>
      </c>
      <c r="D91" t="inlineStr">
        <is>
          <t>KALMAR LÄN</t>
        </is>
      </c>
      <c r="E91" t="inlineStr">
        <is>
          <t>HULTSFRED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43108-2022</t>
        </is>
      </c>
      <c r="B92" s="1" t="n">
        <v>44833</v>
      </c>
      <c r="C92" s="1" t="n">
        <v>45948</v>
      </c>
      <c r="D92" t="inlineStr">
        <is>
          <t>KALMAR LÄN</t>
        </is>
      </c>
      <c r="E92" t="inlineStr">
        <is>
          <t>HULTSFRED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2629-2021</t>
        </is>
      </c>
      <c r="B93" s="1" t="n">
        <v>44215</v>
      </c>
      <c r="C93" s="1" t="n">
        <v>45948</v>
      </c>
      <c r="D93" t="inlineStr">
        <is>
          <t>KALMAR LÄN</t>
        </is>
      </c>
      <c r="E93" t="inlineStr">
        <is>
          <t>HULTSFRED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69363-2020</t>
        </is>
      </c>
      <c r="B94" s="1" t="n">
        <v>44193</v>
      </c>
      <c r="C94" s="1" t="n">
        <v>45948</v>
      </c>
      <c r="D94" t="inlineStr">
        <is>
          <t>KALMAR LÄN</t>
        </is>
      </c>
      <c r="E94" t="inlineStr">
        <is>
          <t>HULTSFRED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66729-2021</t>
        </is>
      </c>
      <c r="B95" s="1" t="n">
        <v>44520.0127662037</v>
      </c>
      <c r="C95" s="1" t="n">
        <v>45948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59757-2020</t>
        </is>
      </c>
      <c r="B96" s="1" t="n">
        <v>44151</v>
      </c>
      <c r="C96" s="1" t="n">
        <v>45948</v>
      </c>
      <c r="D96" t="inlineStr">
        <is>
          <t>KALMAR LÄN</t>
        </is>
      </c>
      <c r="E96" t="inlineStr">
        <is>
          <t>HULTSFRED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69311-2020</t>
        </is>
      </c>
      <c r="B97" s="1" t="n">
        <v>44193</v>
      </c>
      <c r="C97" s="1" t="n">
        <v>45948</v>
      </c>
      <c r="D97" t="inlineStr">
        <is>
          <t>KALMAR LÄN</t>
        </is>
      </c>
      <c r="E97" t="inlineStr">
        <is>
          <t>HULTSFRED</t>
        </is>
      </c>
      <c r="F97" t="inlineStr">
        <is>
          <t>Sveaskog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28399-2021</t>
        </is>
      </c>
      <c r="B98" s="1" t="n">
        <v>44356.47372685185</v>
      </c>
      <c r="C98" s="1" t="n">
        <v>45948</v>
      </c>
      <c r="D98" t="inlineStr">
        <is>
          <t>KALMAR LÄN</t>
        </is>
      </c>
      <c r="E98" t="inlineStr">
        <is>
          <t>HULTSFRED</t>
        </is>
      </c>
      <c r="G98" t="n">
        <v>7.3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56571-2020</t>
        </is>
      </c>
      <c r="B99" s="1" t="n">
        <v>44137</v>
      </c>
      <c r="C99" s="1" t="n">
        <v>45948</v>
      </c>
      <c r="D99" t="inlineStr">
        <is>
          <t>KALMAR LÄN</t>
        </is>
      </c>
      <c r="E99" t="inlineStr">
        <is>
          <t>HULTSFRED</t>
        </is>
      </c>
      <c r="F99" t="inlineStr">
        <is>
          <t>Sveaskog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48732-2021</t>
        </is>
      </c>
      <c r="B100" s="1" t="n">
        <v>44452.60662037037</v>
      </c>
      <c r="C100" s="1" t="n">
        <v>45948</v>
      </c>
      <c r="D100" t="inlineStr">
        <is>
          <t>KALMAR LÄN</t>
        </is>
      </c>
      <c r="E100" t="inlineStr">
        <is>
          <t>HULTSFRED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299-2022</t>
        </is>
      </c>
      <c r="B101" s="1" t="n">
        <v>44564</v>
      </c>
      <c r="C101" s="1" t="n">
        <v>45948</v>
      </c>
      <c r="D101" t="inlineStr">
        <is>
          <t>KALMAR LÄN</t>
        </is>
      </c>
      <c r="E101" t="inlineStr">
        <is>
          <t>HULTSFRED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9654-2021</t>
        </is>
      </c>
      <c r="B102" s="1" t="n">
        <v>44252</v>
      </c>
      <c r="C102" s="1" t="n">
        <v>45948</v>
      </c>
      <c r="D102" t="inlineStr">
        <is>
          <t>KALMAR LÄN</t>
        </is>
      </c>
      <c r="E102" t="inlineStr">
        <is>
          <t>HULTSFRED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8997-2021</t>
        </is>
      </c>
      <c r="B103" s="1" t="n">
        <v>44249</v>
      </c>
      <c r="C103" s="1" t="n">
        <v>45948</v>
      </c>
      <c r="D103" t="inlineStr">
        <is>
          <t>KALMAR LÄN</t>
        </is>
      </c>
      <c r="E103" t="inlineStr">
        <is>
          <t>HULTSFRED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7843-2022</t>
        </is>
      </c>
      <c r="B104" s="1" t="n">
        <v>44608</v>
      </c>
      <c r="C104" s="1" t="n">
        <v>45948</v>
      </c>
      <c r="D104" t="inlineStr">
        <is>
          <t>KALMAR LÄN</t>
        </is>
      </c>
      <c r="E104" t="inlineStr">
        <is>
          <t>HULTSFRED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35392-2021</t>
        </is>
      </c>
      <c r="B105" s="1" t="n">
        <v>44385.36721064815</v>
      </c>
      <c r="C105" s="1" t="n">
        <v>45948</v>
      </c>
      <c r="D105" t="inlineStr">
        <is>
          <t>KALMAR LÄN</t>
        </is>
      </c>
      <c r="E105" t="inlineStr">
        <is>
          <t>HULTSFRED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16902-2022</t>
        </is>
      </c>
      <c r="B106" s="1" t="n">
        <v>44676</v>
      </c>
      <c r="C106" s="1" t="n">
        <v>45948</v>
      </c>
      <c r="D106" t="inlineStr">
        <is>
          <t>KALMAR LÄN</t>
        </is>
      </c>
      <c r="E106" t="inlineStr">
        <is>
          <t>HULTSFRED</t>
        </is>
      </c>
      <c r="G106" t="n">
        <v>11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32777-2021</t>
        </is>
      </c>
      <c r="B107" s="1" t="n">
        <v>44375</v>
      </c>
      <c r="C107" s="1" t="n">
        <v>45948</v>
      </c>
      <c r="D107" t="inlineStr">
        <is>
          <t>KALMAR LÄN</t>
        </is>
      </c>
      <c r="E107" t="inlineStr">
        <is>
          <t>HULTSFRED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56368-2021</t>
        </is>
      </c>
      <c r="B108" s="1" t="n">
        <v>44480</v>
      </c>
      <c r="C108" s="1" t="n">
        <v>45948</v>
      </c>
      <c r="D108" t="inlineStr">
        <is>
          <t>KALMAR LÄN</t>
        </is>
      </c>
      <c r="E108" t="inlineStr">
        <is>
          <t>HULTSFRED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56321-2020</t>
        </is>
      </c>
      <c r="B109" s="1" t="n">
        <v>44134</v>
      </c>
      <c r="C109" s="1" t="n">
        <v>45948</v>
      </c>
      <c r="D109" t="inlineStr">
        <is>
          <t>KALMAR LÄN</t>
        </is>
      </c>
      <c r="E109" t="inlineStr">
        <is>
          <t>HULTSFRED</t>
        </is>
      </c>
      <c r="G109" t="n">
        <v>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22233-2022</t>
        </is>
      </c>
      <c r="B110" s="1" t="n">
        <v>44712.57193287037</v>
      </c>
      <c r="C110" s="1" t="n">
        <v>45948</v>
      </c>
      <c r="D110" t="inlineStr">
        <is>
          <t>KALMAR LÄN</t>
        </is>
      </c>
      <c r="E110" t="inlineStr">
        <is>
          <t>HULTSFRED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4407-2021</t>
        </is>
      </c>
      <c r="B111" s="1" t="n">
        <v>44223</v>
      </c>
      <c r="C111" s="1" t="n">
        <v>45948</v>
      </c>
      <c r="D111" t="inlineStr">
        <is>
          <t>KALMAR LÄN</t>
        </is>
      </c>
      <c r="E111" t="inlineStr">
        <is>
          <t>HULTSFRED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37377-2022</t>
        </is>
      </c>
      <c r="B112" s="1" t="n">
        <v>44809.4018287037</v>
      </c>
      <c r="C112" s="1" t="n">
        <v>45948</v>
      </c>
      <c r="D112" t="inlineStr">
        <is>
          <t>KALMAR LÄN</t>
        </is>
      </c>
      <c r="E112" t="inlineStr">
        <is>
          <t>HULTSFRED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35380-2021</t>
        </is>
      </c>
      <c r="B113" s="1" t="n">
        <v>44385.31377314815</v>
      </c>
      <c r="C113" s="1" t="n">
        <v>45948</v>
      </c>
      <c r="D113" t="inlineStr">
        <is>
          <t>KALMAR LÄN</t>
        </is>
      </c>
      <c r="E113" t="inlineStr">
        <is>
          <t>HULTSFRED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42436-2022</t>
        </is>
      </c>
      <c r="B114" s="1" t="n">
        <v>44831</v>
      </c>
      <c r="C114" s="1" t="n">
        <v>45948</v>
      </c>
      <c r="D114" t="inlineStr">
        <is>
          <t>KALMAR LÄN</t>
        </is>
      </c>
      <c r="E114" t="inlineStr">
        <is>
          <t>HULTSFRED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69830-2021</t>
        </is>
      </c>
      <c r="B115" s="1" t="n">
        <v>44532.64408564815</v>
      </c>
      <c r="C115" s="1" t="n">
        <v>45948</v>
      </c>
      <c r="D115" t="inlineStr">
        <is>
          <t>KALMAR LÄN</t>
        </is>
      </c>
      <c r="E115" t="inlineStr">
        <is>
          <t>HULTSFRED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70376-2021</t>
        </is>
      </c>
      <c r="B116" s="1" t="n">
        <v>44536</v>
      </c>
      <c r="C116" s="1" t="n">
        <v>45948</v>
      </c>
      <c r="D116" t="inlineStr">
        <is>
          <t>KALMAR LÄN</t>
        </is>
      </c>
      <c r="E116" t="inlineStr">
        <is>
          <t>HULTSFRED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44200-2022</t>
        </is>
      </c>
      <c r="B117" s="1" t="n">
        <v>44839.48378472222</v>
      </c>
      <c r="C117" s="1" t="n">
        <v>45948</v>
      </c>
      <c r="D117" t="inlineStr">
        <is>
          <t>KALMAR LÄN</t>
        </is>
      </c>
      <c r="E117" t="inlineStr">
        <is>
          <t>HULTSFRED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59150-2021</t>
        </is>
      </c>
      <c r="B118" s="1" t="n">
        <v>44490.51148148148</v>
      </c>
      <c r="C118" s="1" t="n">
        <v>45948</v>
      </c>
      <c r="D118" t="inlineStr">
        <is>
          <t>KALMAR LÄN</t>
        </is>
      </c>
      <c r="E118" t="inlineStr">
        <is>
          <t>HULTSFRED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53296-2021</t>
        </is>
      </c>
      <c r="B119" s="1" t="n">
        <v>44468</v>
      </c>
      <c r="C119" s="1" t="n">
        <v>45948</v>
      </c>
      <c r="D119" t="inlineStr">
        <is>
          <t>KALMAR LÄN</t>
        </is>
      </c>
      <c r="E119" t="inlineStr">
        <is>
          <t>HULTSFRED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57186-2021</t>
        </is>
      </c>
      <c r="B120" s="1" t="n">
        <v>44482</v>
      </c>
      <c r="C120" s="1" t="n">
        <v>45948</v>
      </c>
      <c r="D120" t="inlineStr">
        <is>
          <t>KALMAR LÄN</t>
        </is>
      </c>
      <c r="E120" t="inlineStr">
        <is>
          <t>HULTSFRED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20566-2022</t>
        </is>
      </c>
      <c r="B121" s="1" t="n">
        <v>44700.38892361111</v>
      </c>
      <c r="C121" s="1" t="n">
        <v>45948</v>
      </c>
      <c r="D121" t="inlineStr">
        <is>
          <t>KALMAR LÄN</t>
        </is>
      </c>
      <c r="E121" t="inlineStr">
        <is>
          <t>HULTSFRED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16813-2022</t>
        </is>
      </c>
      <c r="B122" s="1" t="n">
        <v>44673</v>
      </c>
      <c r="C122" s="1" t="n">
        <v>45948</v>
      </c>
      <c r="D122" t="inlineStr">
        <is>
          <t>KALMAR LÄN</t>
        </is>
      </c>
      <c r="E122" t="inlineStr">
        <is>
          <t>HULTSFRED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21337-2022</t>
        </is>
      </c>
      <c r="B123" s="1" t="n">
        <v>44705</v>
      </c>
      <c r="C123" s="1" t="n">
        <v>45948</v>
      </c>
      <c r="D123" t="inlineStr">
        <is>
          <t>KALMAR LÄN</t>
        </is>
      </c>
      <c r="E123" t="inlineStr">
        <is>
          <t>HULTSFRED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11566-2022</t>
        </is>
      </c>
      <c r="B124" s="1" t="n">
        <v>44631.46762731481</v>
      </c>
      <c r="C124" s="1" t="n">
        <v>45948</v>
      </c>
      <c r="D124" t="inlineStr">
        <is>
          <t>KALMAR LÄN</t>
        </is>
      </c>
      <c r="E124" t="inlineStr">
        <is>
          <t>HULTSFRED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32783-2021</t>
        </is>
      </c>
      <c r="B125" s="1" t="n">
        <v>44375</v>
      </c>
      <c r="C125" s="1" t="n">
        <v>45948</v>
      </c>
      <c r="D125" t="inlineStr">
        <is>
          <t>KALMAR LÄN</t>
        </is>
      </c>
      <c r="E125" t="inlineStr">
        <is>
          <t>HULTSFRED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59134-2021</t>
        </is>
      </c>
      <c r="B126" s="1" t="n">
        <v>44490</v>
      </c>
      <c r="C126" s="1" t="n">
        <v>45948</v>
      </c>
      <c r="D126" t="inlineStr">
        <is>
          <t>KALMAR LÄN</t>
        </is>
      </c>
      <c r="E126" t="inlineStr">
        <is>
          <t>HULTSFRED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42597-2022</t>
        </is>
      </c>
      <c r="B127" s="1" t="n">
        <v>44831</v>
      </c>
      <c r="C127" s="1" t="n">
        <v>45948</v>
      </c>
      <c r="D127" t="inlineStr">
        <is>
          <t>KALMAR LÄN</t>
        </is>
      </c>
      <c r="E127" t="inlineStr">
        <is>
          <t>HULTSFRED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42598-2022</t>
        </is>
      </c>
      <c r="B128" s="1" t="n">
        <v>44831.75778935185</v>
      </c>
      <c r="C128" s="1" t="n">
        <v>45948</v>
      </c>
      <c r="D128" t="inlineStr">
        <is>
          <t>KALMAR LÄN</t>
        </is>
      </c>
      <c r="E128" t="inlineStr">
        <is>
          <t>HULTSFRED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66559-2020</t>
        </is>
      </c>
      <c r="B129" s="1" t="n">
        <v>44179</v>
      </c>
      <c r="C129" s="1" t="n">
        <v>45948</v>
      </c>
      <c r="D129" t="inlineStr">
        <is>
          <t>KALMAR LÄN</t>
        </is>
      </c>
      <c r="E129" t="inlineStr">
        <is>
          <t>HULTSFRED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49989-2021</t>
        </is>
      </c>
      <c r="B130" s="1" t="n">
        <v>44456</v>
      </c>
      <c r="C130" s="1" t="n">
        <v>45948</v>
      </c>
      <c r="D130" t="inlineStr">
        <is>
          <t>KALMAR LÄN</t>
        </is>
      </c>
      <c r="E130" t="inlineStr">
        <is>
          <t>HULTSFRED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16865-2021</t>
        </is>
      </c>
      <c r="B131" s="1" t="n">
        <v>44295</v>
      </c>
      <c r="C131" s="1" t="n">
        <v>45948</v>
      </c>
      <c r="D131" t="inlineStr">
        <is>
          <t>KALMAR LÄN</t>
        </is>
      </c>
      <c r="E131" t="inlineStr">
        <is>
          <t>HULTSFRED</t>
        </is>
      </c>
      <c r="F131" t="inlineStr">
        <is>
          <t>Sveaskog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19118-2021</t>
        </is>
      </c>
      <c r="B132" s="1" t="n">
        <v>44308</v>
      </c>
      <c r="C132" s="1" t="n">
        <v>45948</v>
      </c>
      <c r="D132" t="inlineStr">
        <is>
          <t>KALMAR LÄN</t>
        </is>
      </c>
      <c r="E132" t="inlineStr">
        <is>
          <t>HULTSFRED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58348-2021</t>
        </is>
      </c>
      <c r="B133" s="1" t="n">
        <v>44488.42239583333</v>
      </c>
      <c r="C133" s="1" t="n">
        <v>45948</v>
      </c>
      <c r="D133" t="inlineStr">
        <is>
          <t>KALMAR LÄN</t>
        </is>
      </c>
      <c r="E133" t="inlineStr">
        <is>
          <t>HULTSFRED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68351-2020</t>
        </is>
      </c>
      <c r="B134" s="1" t="n">
        <v>44186.34966435185</v>
      </c>
      <c r="C134" s="1" t="n">
        <v>45948</v>
      </c>
      <c r="D134" t="inlineStr">
        <is>
          <t>KALMAR LÄN</t>
        </is>
      </c>
      <c r="E134" t="inlineStr">
        <is>
          <t>HULTSFRED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2875-2021</t>
        </is>
      </c>
      <c r="B135" s="1" t="n">
        <v>44216</v>
      </c>
      <c r="C135" s="1" t="n">
        <v>45948</v>
      </c>
      <c r="D135" t="inlineStr">
        <is>
          <t>KALMAR LÄN</t>
        </is>
      </c>
      <c r="E135" t="inlineStr">
        <is>
          <t>HULTSFRED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3102-2022</t>
        </is>
      </c>
      <c r="B136" s="1" t="n">
        <v>44582</v>
      </c>
      <c r="C136" s="1" t="n">
        <v>45948</v>
      </c>
      <c r="D136" t="inlineStr">
        <is>
          <t>KALMAR LÄN</t>
        </is>
      </c>
      <c r="E136" t="inlineStr">
        <is>
          <t>HULTSFRED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69295-2020</t>
        </is>
      </c>
      <c r="B137" s="1" t="n">
        <v>44186</v>
      </c>
      <c r="C137" s="1" t="n">
        <v>45948</v>
      </c>
      <c r="D137" t="inlineStr">
        <is>
          <t>KALMAR LÄN</t>
        </is>
      </c>
      <c r="E137" t="inlineStr">
        <is>
          <t>HULTSFRED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54489-2020</t>
        </is>
      </c>
      <c r="B138" s="1" t="n">
        <v>44126</v>
      </c>
      <c r="C138" s="1" t="n">
        <v>45948</v>
      </c>
      <c r="D138" t="inlineStr">
        <is>
          <t>KALMAR LÄN</t>
        </is>
      </c>
      <c r="E138" t="inlineStr">
        <is>
          <t>HULTSFRED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58836-2020</t>
        </is>
      </c>
      <c r="B139" s="1" t="n">
        <v>44146</v>
      </c>
      <c r="C139" s="1" t="n">
        <v>45948</v>
      </c>
      <c r="D139" t="inlineStr">
        <is>
          <t>KALMAR LÄN</t>
        </is>
      </c>
      <c r="E139" t="inlineStr">
        <is>
          <t>HULTSFRED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67857-2020</t>
        </is>
      </c>
      <c r="B140" s="1" t="n">
        <v>44182.55774305556</v>
      </c>
      <c r="C140" s="1" t="n">
        <v>45948</v>
      </c>
      <c r="D140" t="inlineStr">
        <is>
          <t>KALMAR LÄN</t>
        </is>
      </c>
      <c r="E140" t="inlineStr">
        <is>
          <t>HULTSFRED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43096-2022</t>
        </is>
      </c>
      <c r="B141" s="1" t="n">
        <v>44833</v>
      </c>
      <c r="C141" s="1" t="n">
        <v>45948</v>
      </c>
      <c r="D141" t="inlineStr">
        <is>
          <t>KALMAR LÄN</t>
        </is>
      </c>
      <c r="E141" t="inlineStr">
        <is>
          <t>HULTSFRED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13732-2021</t>
        </is>
      </c>
      <c r="B142" s="1" t="n">
        <v>44274</v>
      </c>
      <c r="C142" s="1" t="n">
        <v>45948</v>
      </c>
      <c r="D142" t="inlineStr">
        <is>
          <t>KALMAR LÄN</t>
        </is>
      </c>
      <c r="E142" t="inlineStr">
        <is>
          <t>HULTSFRED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65682-2020</t>
        </is>
      </c>
      <c r="B143" s="1" t="n">
        <v>44172</v>
      </c>
      <c r="C143" s="1" t="n">
        <v>45948</v>
      </c>
      <c r="D143" t="inlineStr">
        <is>
          <t>KALMAR LÄN</t>
        </is>
      </c>
      <c r="E143" t="inlineStr">
        <is>
          <t>HULTSFRED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4413-2021</t>
        </is>
      </c>
      <c r="B144" s="1" t="n">
        <v>44223</v>
      </c>
      <c r="C144" s="1" t="n">
        <v>45948</v>
      </c>
      <c r="D144" t="inlineStr">
        <is>
          <t>KALMAR LÄN</t>
        </is>
      </c>
      <c r="E144" t="inlineStr">
        <is>
          <t>HULTSFRED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31053-2021</t>
        </is>
      </c>
      <c r="B145" s="1" t="n">
        <v>44368.45892361111</v>
      </c>
      <c r="C145" s="1" t="n">
        <v>45948</v>
      </c>
      <c r="D145" t="inlineStr">
        <is>
          <t>KALMAR LÄN</t>
        </is>
      </c>
      <c r="E145" t="inlineStr">
        <is>
          <t>HULTSFRED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12157-2021</t>
        </is>
      </c>
      <c r="B146" s="1" t="n">
        <v>44266.58711805556</v>
      </c>
      <c r="C146" s="1" t="n">
        <v>45948</v>
      </c>
      <c r="D146" t="inlineStr">
        <is>
          <t>KALMAR LÄN</t>
        </is>
      </c>
      <c r="E146" t="inlineStr">
        <is>
          <t>HULTSFRED</t>
        </is>
      </c>
      <c r="G146" t="n">
        <v>6.4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40617-2021</t>
        </is>
      </c>
      <c r="B147" s="1" t="n">
        <v>44420</v>
      </c>
      <c r="C147" s="1" t="n">
        <v>45948</v>
      </c>
      <c r="D147" t="inlineStr">
        <is>
          <t>KALMAR LÄN</t>
        </is>
      </c>
      <c r="E147" t="inlineStr">
        <is>
          <t>HULTSFRED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32786-2021</t>
        </is>
      </c>
      <c r="B148" s="1" t="n">
        <v>44375</v>
      </c>
      <c r="C148" s="1" t="n">
        <v>45948</v>
      </c>
      <c r="D148" t="inlineStr">
        <is>
          <t>KALMAR LÄN</t>
        </is>
      </c>
      <c r="E148" t="inlineStr">
        <is>
          <t>HULTSFRED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5269-2022</t>
        </is>
      </c>
      <c r="B149" s="1" t="n">
        <v>44594</v>
      </c>
      <c r="C149" s="1" t="n">
        <v>45948</v>
      </c>
      <c r="D149" t="inlineStr">
        <is>
          <t>KALMAR LÄN</t>
        </is>
      </c>
      <c r="E149" t="inlineStr">
        <is>
          <t>HULTSFRED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5278-2022</t>
        </is>
      </c>
      <c r="B150" s="1" t="n">
        <v>44594</v>
      </c>
      <c r="C150" s="1" t="n">
        <v>45948</v>
      </c>
      <c r="D150" t="inlineStr">
        <is>
          <t>KALMAR LÄN</t>
        </is>
      </c>
      <c r="E150" t="inlineStr">
        <is>
          <t>HULTSFRED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42315-2022</t>
        </is>
      </c>
      <c r="B151" s="1" t="n">
        <v>44831.31585648148</v>
      </c>
      <c r="C151" s="1" t="n">
        <v>45948</v>
      </c>
      <c r="D151" t="inlineStr">
        <is>
          <t>KALMAR LÄN</t>
        </is>
      </c>
      <c r="E151" t="inlineStr">
        <is>
          <t>HULTSFRED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547-2021</t>
        </is>
      </c>
      <c r="B152" s="1" t="n">
        <v>44203</v>
      </c>
      <c r="C152" s="1" t="n">
        <v>45948</v>
      </c>
      <c r="D152" t="inlineStr">
        <is>
          <t>KALMAR LÄN</t>
        </is>
      </c>
      <c r="E152" t="inlineStr">
        <is>
          <t>HULTSFRED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43344-2021</t>
        </is>
      </c>
      <c r="B153" s="1" t="n">
        <v>44432</v>
      </c>
      <c r="C153" s="1" t="n">
        <v>45948</v>
      </c>
      <c r="D153" t="inlineStr">
        <is>
          <t>KALMAR LÄN</t>
        </is>
      </c>
      <c r="E153" t="inlineStr">
        <is>
          <t>HULTSFRED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4318-2021</t>
        </is>
      </c>
      <c r="B154" s="1" t="n">
        <v>44223</v>
      </c>
      <c r="C154" s="1" t="n">
        <v>45948</v>
      </c>
      <c r="D154" t="inlineStr">
        <is>
          <t>KALMAR LÄN</t>
        </is>
      </c>
      <c r="E154" t="inlineStr">
        <is>
          <t>HULTSFRED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48729-2021</t>
        </is>
      </c>
      <c r="B155" s="1" t="n">
        <v>44452.59549768519</v>
      </c>
      <c r="C155" s="1" t="n">
        <v>45948</v>
      </c>
      <c r="D155" t="inlineStr">
        <is>
          <t>KALMAR LÄN</t>
        </is>
      </c>
      <c r="E155" t="inlineStr">
        <is>
          <t>HULTSFRED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67881-2020</t>
        </is>
      </c>
      <c r="B156" s="1" t="n">
        <v>44182</v>
      </c>
      <c r="C156" s="1" t="n">
        <v>45948</v>
      </c>
      <c r="D156" t="inlineStr">
        <is>
          <t>KALMAR LÄN</t>
        </is>
      </c>
      <c r="E156" t="inlineStr">
        <is>
          <t>HULTSFRED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51585-2021</t>
        </is>
      </c>
      <c r="B157" s="1" t="n">
        <v>44462.45162037037</v>
      </c>
      <c r="C157" s="1" t="n">
        <v>45948</v>
      </c>
      <c r="D157" t="inlineStr">
        <is>
          <t>KALMAR LÄN</t>
        </is>
      </c>
      <c r="E157" t="inlineStr">
        <is>
          <t>HULTSFRED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59203-2021</t>
        </is>
      </c>
      <c r="B158" s="1" t="n">
        <v>44490.5975925926</v>
      </c>
      <c r="C158" s="1" t="n">
        <v>45948</v>
      </c>
      <c r="D158" t="inlineStr">
        <is>
          <t>KALMAR LÄN</t>
        </is>
      </c>
      <c r="E158" t="inlineStr">
        <is>
          <t>HULTSFRED</t>
        </is>
      </c>
      <c r="F158" t="inlineStr">
        <is>
          <t>Sveaskog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68091-2021</t>
        </is>
      </c>
      <c r="B159" s="1" t="n">
        <v>44526.35113425926</v>
      </c>
      <c r="C159" s="1" t="n">
        <v>45948</v>
      </c>
      <c r="D159" t="inlineStr">
        <is>
          <t>KALMAR LÄN</t>
        </is>
      </c>
      <c r="E159" t="inlineStr">
        <is>
          <t>HULTSFRED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55748-2020</t>
        </is>
      </c>
      <c r="B160" s="1" t="n">
        <v>44132.38440972222</v>
      </c>
      <c r="C160" s="1" t="n">
        <v>45948</v>
      </c>
      <c r="D160" t="inlineStr">
        <is>
          <t>KALMAR LÄN</t>
        </is>
      </c>
      <c r="E160" t="inlineStr">
        <is>
          <t>HULTSFRED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40598-2021</t>
        </is>
      </c>
      <c r="B161" s="1" t="n">
        <v>44420</v>
      </c>
      <c r="C161" s="1" t="n">
        <v>45948</v>
      </c>
      <c r="D161" t="inlineStr">
        <is>
          <t>KALMAR LÄN</t>
        </is>
      </c>
      <c r="E161" t="inlineStr">
        <is>
          <t>HULTSFRED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47371-2021</t>
        </is>
      </c>
      <c r="B162" s="1" t="n">
        <v>44447</v>
      </c>
      <c r="C162" s="1" t="n">
        <v>45948</v>
      </c>
      <c r="D162" t="inlineStr">
        <is>
          <t>KALMAR LÄN</t>
        </is>
      </c>
      <c r="E162" t="inlineStr">
        <is>
          <t>HULTSFRED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44803-2021</t>
        </is>
      </c>
      <c r="B163" s="1" t="n">
        <v>44438</v>
      </c>
      <c r="C163" s="1" t="n">
        <v>45948</v>
      </c>
      <c r="D163" t="inlineStr">
        <is>
          <t>KALMAR LÄN</t>
        </is>
      </c>
      <c r="E163" t="inlineStr">
        <is>
          <t>HULTSFRED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37960-2022</t>
        </is>
      </c>
      <c r="B164" s="1" t="n">
        <v>44811</v>
      </c>
      <c r="C164" s="1" t="n">
        <v>45948</v>
      </c>
      <c r="D164" t="inlineStr">
        <is>
          <t>KALMAR LÄN</t>
        </is>
      </c>
      <c r="E164" t="inlineStr">
        <is>
          <t>HULTSFRED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28669-2021</t>
        </is>
      </c>
      <c r="B165" s="1" t="n">
        <v>44357.37903935185</v>
      </c>
      <c r="C165" s="1" t="n">
        <v>45948</v>
      </c>
      <c r="D165" t="inlineStr">
        <is>
          <t>KALMAR LÄN</t>
        </is>
      </c>
      <c r="E165" t="inlineStr">
        <is>
          <t>HULTSFRED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42792-2021</t>
        </is>
      </c>
      <c r="B166" s="1" t="n">
        <v>44428.88928240741</v>
      </c>
      <c r="C166" s="1" t="n">
        <v>45948</v>
      </c>
      <c r="D166" t="inlineStr">
        <is>
          <t>KALMAR LÄN</t>
        </is>
      </c>
      <c r="E166" t="inlineStr">
        <is>
          <t>HULTSFRED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17059-2021</t>
        </is>
      </c>
      <c r="B167" s="1" t="n">
        <v>44296.53390046296</v>
      </c>
      <c r="C167" s="1" t="n">
        <v>45948</v>
      </c>
      <c r="D167" t="inlineStr">
        <is>
          <t>KALMAR LÄN</t>
        </is>
      </c>
      <c r="E167" t="inlineStr">
        <is>
          <t>HULTSFRED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41731-2022</t>
        </is>
      </c>
      <c r="B168" s="1" t="n">
        <v>44827</v>
      </c>
      <c r="C168" s="1" t="n">
        <v>45948</v>
      </c>
      <c r="D168" t="inlineStr">
        <is>
          <t>KALMAR LÄN</t>
        </is>
      </c>
      <c r="E168" t="inlineStr">
        <is>
          <t>HULTSFRED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69764-2021</t>
        </is>
      </c>
      <c r="B169" s="1" t="n">
        <v>44532.58314814815</v>
      </c>
      <c r="C169" s="1" t="n">
        <v>45948</v>
      </c>
      <c r="D169" t="inlineStr">
        <is>
          <t>KALMAR LÄN</t>
        </is>
      </c>
      <c r="E169" t="inlineStr">
        <is>
          <t>HULTSFRED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55011-2020</t>
        </is>
      </c>
      <c r="B170" s="1" t="n">
        <v>44130.37449074074</v>
      </c>
      <c r="C170" s="1" t="n">
        <v>45948</v>
      </c>
      <c r="D170" t="inlineStr">
        <is>
          <t>KALMAR LÄN</t>
        </is>
      </c>
      <c r="E170" t="inlineStr">
        <is>
          <t>HULTSFRED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68090-2021</t>
        </is>
      </c>
      <c r="B171" s="1" t="n">
        <v>44526</v>
      </c>
      <c r="C171" s="1" t="n">
        <v>45948</v>
      </c>
      <c r="D171" t="inlineStr">
        <is>
          <t>KALMAR LÄN</t>
        </is>
      </c>
      <c r="E171" t="inlineStr">
        <is>
          <t>HULTSFRED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22443-2022</t>
        </is>
      </c>
      <c r="B172" s="1" t="n">
        <v>44713</v>
      </c>
      <c r="C172" s="1" t="n">
        <v>45948</v>
      </c>
      <c r="D172" t="inlineStr">
        <is>
          <t>KALMAR LÄN</t>
        </is>
      </c>
      <c r="E172" t="inlineStr">
        <is>
          <t>HULTSFRED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520-2021</t>
        </is>
      </c>
      <c r="B173" s="1" t="n">
        <v>44201</v>
      </c>
      <c r="C173" s="1" t="n">
        <v>45948</v>
      </c>
      <c r="D173" t="inlineStr">
        <is>
          <t>KALMAR LÄN</t>
        </is>
      </c>
      <c r="E173" t="inlineStr">
        <is>
          <t>HULTSFRED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12976-2022</t>
        </is>
      </c>
      <c r="B174" s="1" t="n">
        <v>44643</v>
      </c>
      <c r="C174" s="1" t="n">
        <v>45948</v>
      </c>
      <c r="D174" t="inlineStr">
        <is>
          <t>KALMAR LÄN</t>
        </is>
      </c>
      <c r="E174" t="inlineStr">
        <is>
          <t>HULTSFRED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11436-2021</t>
        </is>
      </c>
      <c r="B175" s="1" t="n">
        <v>44263</v>
      </c>
      <c r="C175" s="1" t="n">
        <v>45948</v>
      </c>
      <c r="D175" t="inlineStr">
        <is>
          <t>KALMAR LÄN</t>
        </is>
      </c>
      <c r="E175" t="inlineStr">
        <is>
          <t>HULTSFRED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17966-2022</t>
        </is>
      </c>
      <c r="B176" s="1" t="n">
        <v>44683</v>
      </c>
      <c r="C176" s="1" t="n">
        <v>45948</v>
      </c>
      <c r="D176" t="inlineStr">
        <is>
          <t>KALMAR LÄN</t>
        </is>
      </c>
      <c r="E176" t="inlineStr">
        <is>
          <t>HULTSFRED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14280-2021</t>
        </is>
      </c>
      <c r="B177" s="1" t="n">
        <v>44278</v>
      </c>
      <c r="C177" s="1" t="n">
        <v>45948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21280-2021</t>
        </is>
      </c>
      <c r="B178" s="1" t="n">
        <v>44320</v>
      </c>
      <c r="C178" s="1" t="n">
        <v>45948</v>
      </c>
      <c r="D178" t="inlineStr">
        <is>
          <t>KALMAR LÄN</t>
        </is>
      </c>
      <c r="E178" t="inlineStr">
        <is>
          <t>HULTSFRED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59032-2021</t>
        </is>
      </c>
      <c r="B179" s="1" t="n">
        <v>44490.34951388889</v>
      </c>
      <c r="C179" s="1" t="n">
        <v>45948</v>
      </c>
      <c r="D179" t="inlineStr">
        <is>
          <t>KALMAR LÄN</t>
        </is>
      </c>
      <c r="E179" t="inlineStr">
        <is>
          <t>HULTSFRED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42055-2021</t>
        </is>
      </c>
      <c r="B180" s="1" t="n">
        <v>44426</v>
      </c>
      <c r="C180" s="1" t="n">
        <v>45948</v>
      </c>
      <c r="D180" t="inlineStr">
        <is>
          <t>KALMAR LÄN</t>
        </is>
      </c>
      <c r="E180" t="inlineStr">
        <is>
          <t>HULTSFRED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9571-2022</t>
        </is>
      </c>
      <c r="B181" s="1" t="n">
        <v>44617.44810185185</v>
      </c>
      <c r="C181" s="1" t="n">
        <v>45948</v>
      </c>
      <c r="D181" t="inlineStr">
        <is>
          <t>KALMAR LÄN</t>
        </is>
      </c>
      <c r="E181" t="inlineStr">
        <is>
          <t>HULTSFRED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22229-2022</t>
        </is>
      </c>
      <c r="B182" s="1" t="n">
        <v>44712</v>
      </c>
      <c r="C182" s="1" t="n">
        <v>45948</v>
      </c>
      <c r="D182" t="inlineStr">
        <is>
          <t>KALMAR LÄN</t>
        </is>
      </c>
      <c r="E182" t="inlineStr">
        <is>
          <t>HULTSFRED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40428-2021</t>
        </is>
      </c>
      <c r="B183" s="1" t="n">
        <v>44419</v>
      </c>
      <c r="C183" s="1" t="n">
        <v>45948</v>
      </c>
      <c r="D183" t="inlineStr">
        <is>
          <t>KALMAR LÄN</t>
        </is>
      </c>
      <c r="E183" t="inlineStr">
        <is>
          <t>HULTSFRED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8439-2022</t>
        </is>
      </c>
      <c r="B184" s="1" t="n">
        <v>44612</v>
      </c>
      <c r="C184" s="1" t="n">
        <v>45948</v>
      </c>
      <c r="D184" t="inlineStr">
        <is>
          <t>KALMAR LÄN</t>
        </is>
      </c>
      <c r="E184" t="inlineStr">
        <is>
          <t>HULTSFRED</t>
        </is>
      </c>
      <c r="F184" t="inlineStr">
        <is>
          <t>Sveaskog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13473-2022</t>
        </is>
      </c>
      <c r="B185" s="1" t="n">
        <v>44645</v>
      </c>
      <c r="C185" s="1" t="n">
        <v>45948</v>
      </c>
      <c r="D185" t="inlineStr">
        <is>
          <t>KALMAR LÄN</t>
        </is>
      </c>
      <c r="E185" t="inlineStr">
        <is>
          <t>HULTSFRED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27226-2021</t>
        </is>
      </c>
      <c r="B186" s="1" t="n">
        <v>44350.91193287037</v>
      </c>
      <c r="C186" s="1" t="n">
        <v>45948</v>
      </c>
      <c r="D186" t="inlineStr">
        <is>
          <t>KALMAR LÄN</t>
        </is>
      </c>
      <c r="E186" t="inlineStr">
        <is>
          <t>HULTSFRED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44139-2021</t>
        </is>
      </c>
      <c r="B187" s="1" t="n">
        <v>44434</v>
      </c>
      <c r="C187" s="1" t="n">
        <v>45948</v>
      </c>
      <c r="D187" t="inlineStr">
        <is>
          <t>KALMAR LÄN</t>
        </is>
      </c>
      <c r="E187" t="inlineStr">
        <is>
          <t>HULTSFRED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57184-2021</t>
        </is>
      </c>
      <c r="B188" s="1" t="n">
        <v>44482</v>
      </c>
      <c r="C188" s="1" t="n">
        <v>45948</v>
      </c>
      <c r="D188" t="inlineStr">
        <is>
          <t>KALMAR LÄN</t>
        </is>
      </c>
      <c r="E188" t="inlineStr">
        <is>
          <t>HULTSFRED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27810-2022</t>
        </is>
      </c>
      <c r="B189" s="1" t="n">
        <v>44743.57672453704</v>
      </c>
      <c r="C189" s="1" t="n">
        <v>45948</v>
      </c>
      <c r="D189" t="inlineStr">
        <is>
          <t>KALMAR LÄN</t>
        </is>
      </c>
      <c r="E189" t="inlineStr">
        <is>
          <t>HULTSFRED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34564-2022</t>
        </is>
      </c>
      <c r="B190" s="1" t="n">
        <v>44794</v>
      </c>
      <c r="C190" s="1" t="n">
        <v>45948</v>
      </c>
      <c r="D190" t="inlineStr">
        <is>
          <t>KALMAR LÄN</t>
        </is>
      </c>
      <c r="E190" t="inlineStr">
        <is>
          <t>HULTSFRED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69653-2021</t>
        </is>
      </c>
      <c r="B191" s="1" t="n">
        <v>44532</v>
      </c>
      <c r="C191" s="1" t="n">
        <v>45948</v>
      </c>
      <c r="D191" t="inlineStr">
        <is>
          <t>KALMAR LÄN</t>
        </is>
      </c>
      <c r="E191" t="inlineStr">
        <is>
          <t>HULTSFRED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13449-2025</t>
        </is>
      </c>
      <c r="B192" s="1" t="n">
        <v>45736</v>
      </c>
      <c r="C192" s="1" t="n">
        <v>45948</v>
      </c>
      <c r="D192" t="inlineStr">
        <is>
          <t>KALMAR LÄN</t>
        </is>
      </c>
      <c r="E192" t="inlineStr">
        <is>
          <t>HULTSFRED</t>
        </is>
      </c>
      <c r="G192" t="n">
        <v>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73949-2021</t>
        </is>
      </c>
      <c r="B193" s="1" t="n">
        <v>44552</v>
      </c>
      <c r="C193" s="1" t="n">
        <v>45948</v>
      </c>
      <c r="D193" t="inlineStr">
        <is>
          <t>KALMAR LÄN</t>
        </is>
      </c>
      <c r="E193" t="inlineStr">
        <is>
          <t>HULTSFRED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34565-2022</t>
        </is>
      </c>
      <c r="B194" s="1" t="n">
        <v>44794</v>
      </c>
      <c r="C194" s="1" t="n">
        <v>45948</v>
      </c>
      <c r="D194" t="inlineStr">
        <is>
          <t>KALMAR LÄN</t>
        </is>
      </c>
      <c r="E194" t="inlineStr">
        <is>
          <t>HULTSFRED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28224-2024</t>
        </is>
      </c>
      <c r="B195" s="1" t="n">
        <v>45477.37200231481</v>
      </c>
      <c r="C195" s="1" t="n">
        <v>45948</v>
      </c>
      <c r="D195" t="inlineStr">
        <is>
          <t>KALMAR LÄN</t>
        </is>
      </c>
      <c r="E195" t="inlineStr">
        <is>
          <t>HULTSFRED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69212-2021</t>
        </is>
      </c>
      <c r="B196" s="1" t="n">
        <v>44531.36721064815</v>
      </c>
      <c r="C196" s="1" t="n">
        <v>45948</v>
      </c>
      <c r="D196" t="inlineStr">
        <is>
          <t>KALMAR LÄN</t>
        </is>
      </c>
      <c r="E196" t="inlineStr">
        <is>
          <t>HULTSFRED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21619-2023</t>
        </is>
      </c>
      <c r="B197" s="1" t="n">
        <v>45063</v>
      </c>
      <c r="C197" s="1" t="n">
        <v>45948</v>
      </c>
      <c r="D197" t="inlineStr">
        <is>
          <t>KALMAR LÄN</t>
        </is>
      </c>
      <c r="E197" t="inlineStr">
        <is>
          <t>HULTSFRED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32791-2021</t>
        </is>
      </c>
      <c r="B198" s="1" t="n">
        <v>44375</v>
      </c>
      <c r="C198" s="1" t="n">
        <v>45948</v>
      </c>
      <c r="D198" t="inlineStr">
        <is>
          <t>KALMAR LÄN</t>
        </is>
      </c>
      <c r="E198" t="inlineStr">
        <is>
          <t>HULTSFRED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27259-2022</t>
        </is>
      </c>
      <c r="B199" s="1" t="n">
        <v>44741</v>
      </c>
      <c r="C199" s="1" t="n">
        <v>45948</v>
      </c>
      <c r="D199" t="inlineStr">
        <is>
          <t>KALMAR LÄN</t>
        </is>
      </c>
      <c r="E199" t="inlineStr">
        <is>
          <t>HULTSFRED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73794-2021</t>
        </is>
      </c>
      <c r="B200" s="1" t="n">
        <v>44552.67385416666</v>
      </c>
      <c r="C200" s="1" t="n">
        <v>45948</v>
      </c>
      <c r="D200" t="inlineStr">
        <is>
          <t>KALMAR LÄN</t>
        </is>
      </c>
      <c r="E200" t="inlineStr">
        <is>
          <t>HULTSFRED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35623-2021</t>
        </is>
      </c>
      <c r="B201" s="1" t="n">
        <v>44386</v>
      </c>
      <c r="C201" s="1" t="n">
        <v>45948</v>
      </c>
      <c r="D201" t="inlineStr">
        <is>
          <t>KALMAR LÄN</t>
        </is>
      </c>
      <c r="E201" t="inlineStr">
        <is>
          <t>HULTSFRED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11235-2023</t>
        </is>
      </c>
      <c r="B202" s="1" t="n">
        <v>44992.64321759259</v>
      </c>
      <c r="C202" s="1" t="n">
        <v>45948</v>
      </c>
      <c r="D202" t="inlineStr">
        <is>
          <t>KALMAR LÄN</t>
        </is>
      </c>
      <c r="E202" t="inlineStr">
        <is>
          <t>HULTSFRED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40596-2021</t>
        </is>
      </c>
      <c r="B203" s="1" t="n">
        <v>44420</v>
      </c>
      <c r="C203" s="1" t="n">
        <v>45948</v>
      </c>
      <c r="D203" t="inlineStr">
        <is>
          <t>KALMAR LÄN</t>
        </is>
      </c>
      <c r="E203" t="inlineStr">
        <is>
          <t>HULTSFRED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69158-2020</t>
        </is>
      </c>
      <c r="B204" s="1" t="n">
        <v>44188</v>
      </c>
      <c r="C204" s="1" t="n">
        <v>45948</v>
      </c>
      <c r="D204" t="inlineStr">
        <is>
          <t>KALMAR LÄN</t>
        </is>
      </c>
      <c r="E204" t="inlineStr">
        <is>
          <t>HULTSFRED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36638-2024</t>
        </is>
      </c>
      <c r="B205" s="1" t="n">
        <v>45537.59931712963</v>
      </c>
      <c r="C205" s="1" t="n">
        <v>45948</v>
      </c>
      <c r="D205" t="inlineStr">
        <is>
          <t>KALMAR LÄN</t>
        </is>
      </c>
      <c r="E205" t="inlineStr">
        <is>
          <t>HULTSFRED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29741-2022</t>
        </is>
      </c>
      <c r="B206" s="1" t="n">
        <v>44755</v>
      </c>
      <c r="C206" s="1" t="n">
        <v>45948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13704-2021</t>
        </is>
      </c>
      <c r="B207" s="1" t="n">
        <v>44274.57768518518</v>
      </c>
      <c r="C207" s="1" t="n">
        <v>45948</v>
      </c>
      <c r="D207" t="inlineStr">
        <is>
          <t>KALMAR LÄN</t>
        </is>
      </c>
      <c r="E207" t="inlineStr">
        <is>
          <t>HULTSFRED</t>
        </is>
      </c>
      <c r="G207" t="n">
        <v>7.2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18536-2022</t>
        </is>
      </c>
      <c r="B208" s="1" t="n">
        <v>44686</v>
      </c>
      <c r="C208" s="1" t="n">
        <v>45948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60188-2020</t>
        </is>
      </c>
      <c r="B209" s="1" t="n">
        <v>44151</v>
      </c>
      <c r="C209" s="1" t="n">
        <v>45948</v>
      </c>
      <c r="D209" t="inlineStr">
        <is>
          <t>KALMAR LÄN</t>
        </is>
      </c>
      <c r="E209" t="inlineStr">
        <is>
          <t>HULTSFRED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57689-2021</t>
        </is>
      </c>
      <c r="B210" s="1" t="n">
        <v>44484</v>
      </c>
      <c r="C210" s="1" t="n">
        <v>45948</v>
      </c>
      <c r="D210" t="inlineStr">
        <is>
          <t>KALMAR LÄN</t>
        </is>
      </c>
      <c r="E210" t="inlineStr">
        <is>
          <t>HULTSFRED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33601-2023</t>
        </is>
      </c>
      <c r="B211" s="1" t="n">
        <v>45132</v>
      </c>
      <c r="C211" s="1" t="n">
        <v>45948</v>
      </c>
      <c r="D211" t="inlineStr">
        <is>
          <t>KALMAR LÄN</t>
        </is>
      </c>
      <c r="E211" t="inlineStr">
        <is>
          <t>HULTSFRED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21697-2024</t>
        </is>
      </c>
      <c r="B212" s="1" t="n">
        <v>45442.46103009259</v>
      </c>
      <c r="C212" s="1" t="n">
        <v>45948</v>
      </c>
      <c r="D212" t="inlineStr">
        <is>
          <t>KALMAR LÄN</t>
        </is>
      </c>
      <c r="E212" t="inlineStr">
        <is>
          <t>HULTSFRED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40877-2022</t>
        </is>
      </c>
      <c r="B213" s="1" t="n">
        <v>44825.34015046297</v>
      </c>
      <c r="C213" s="1" t="n">
        <v>45948</v>
      </c>
      <c r="D213" t="inlineStr">
        <is>
          <t>KALMAR LÄN</t>
        </is>
      </c>
      <c r="E213" t="inlineStr">
        <is>
          <t>HULTSFRED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8198-2022</t>
        </is>
      </c>
      <c r="B214" s="1" t="n">
        <v>44609.71230324074</v>
      </c>
      <c r="C214" s="1" t="n">
        <v>45948</v>
      </c>
      <c r="D214" t="inlineStr">
        <is>
          <t>KALMAR LÄN</t>
        </is>
      </c>
      <c r="E214" t="inlineStr">
        <is>
          <t>HULTSFRED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21228-2021</t>
        </is>
      </c>
      <c r="B215" s="1" t="n">
        <v>44314</v>
      </c>
      <c r="C215" s="1" t="n">
        <v>45948</v>
      </c>
      <c r="D215" t="inlineStr">
        <is>
          <t>KALMAR LÄN</t>
        </is>
      </c>
      <c r="E215" t="inlineStr">
        <is>
          <t>HULTSFRED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6235-2021</t>
        </is>
      </c>
      <c r="B216" s="1" t="n">
        <v>44235.39321759259</v>
      </c>
      <c r="C216" s="1" t="n">
        <v>45948</v>
      </c>
      <c r="D216" t="inlineStr">
        <is>
          <t>KALMAR LÄN</t>
        </is>
      </c>
      <c r="E216" t="inlineStr">
        <is>
          <t>HULTSFRED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51243-2022</t>
        </is>
      </c>
      <c r="B217" s="1" t="n">
        <v>44868.66078703704</v>
      </c>
      <c r="C217" s="1" t="n">
        <v>45948</v>
      </c>
      <c r="D217" t="inlineStr">
        <is>
          <t>KALMAR LÄN</t>
        </is>
      </c>
      <c r="E217" t="inlineStr">
        <is>
          <t>HULTSFRED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6547-2021</t>
        </is>
      </c>
      <c r="B218" s="1" t="n">
        <v>44236</v>
      </c>
      <c r="C218" s="1" t="n">
        <v>45948</v>
      </c>
      <c r="D218" t="inlineStr">
        <is>
          <t>KALMAR LÄN</t>
        </is>
      </c>
      <c r="E218" t="inlineStr">
        <is>
          <t>HULTSFRED</t>
        </is>
      </c>
      <c r="F218" t="inlineStr">
        <is>
          <t>Sveaskog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11645-2023</t>
        </is>
      </c>
      <c r="B219" s="1" t="n">
        <v>44994.45324074074</v>
      </c>
      <c r="C219" s="1" t="n">
        <v>45948</v>
      </c>
      <c r="D219" t="inlineStr">
        <is>
          <t>KALMAR LÄN</t>
        </is>
      </c>
      <c r="E219" t="inlineStr">
        <is>
          <t>HULTSFRED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4998-2022</t>
        </is>
      </c>
      <c r="B220" s="1" t="n">
        <v>44593</v>
      </c>
      <c r="C220" s="1" t="n">
        <v>45948</v>
      </c>
      <c r="D220" t="inlineStr">
        <is>
          <t>KALMAR LÄN</t>
        </is>
      </c>
      <c r="E220" t="inlineStr">
        <is>
          <t>HULTSFRED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9891-2024</t>
        </is>
      </c>
      <c r="B221" s="1" t="n">
        <v>45363.47704861111</v>
      </c>
      <c r="C221" s="1" t="n">
        <v>45948</v>
      </c>
      <c r="D221" t="inlineStr">
        <is>
          <t>KALMAR LÄN</t>
        </is>
      </c>
      <c r="E221" t="inlineStr">
        <is>
          <t>HULTSFRED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6510-2024</t>
        </is>
      </c>
      <c r="B222" s="1" t="n">
        <v>45340.86449074074</v>
      </c>
      <c r="C222" s="1" t="n">
        <v>45948</v>
      </c>
      <c r="D222" t="inlineStr">
        <is>
          <t>KALMAR LÄN</t>
        </is>
      </c>
      <c r="E222" t="inlineStr">
        <is>
          <t>HULTSFRED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15236-2023</t>
        </is>
      </c>
      <c r="B223" s="1" t="n">
        <v>45019.36079861111</v>
      </c>
      <c r="C223" s="1" t="n">
        <v>45948</v>
      </c>
      <c r="D223" t="inlineStr">
        <is>
          <t>KALMAR LÄN</t>
        </is>
      </c>
      <c r="E223" t="inlineStr">
        <is>
          <t>HULTSFRED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46060-2021</t>
        </is>
      </c>
      <c r="B224" s="1" t="n">
        <v>44441</v>
      </c>
      <c r="C224" s="1" t="n">
        <v>45948</v>
      </c>
      <c r="D224" t="inlineStr">
        <is>
          <t>KALMAR LÄN</t>
        </is>
      </c>
      <c r="E224" t="inlineStr">
        <is>
          <t>HULTSFRED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60719-2021</t>
        </is>
      </c>
      <c r="B225" s="1" t="n">
        <v>44496</v>
      </c>
      <c r="C225" s="1" t="n">
        <v>45948</v>
      </c>
      <c r="D225" t="inlineStr">
        <is>
          <t>KALMAR LÄN</t>
        </is>
      </c>
      <c r="E225" t="inlineStr">
        <is>
          <t>HULTSFRED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5989-2025</t>
        </is>
      </c>
      <c r="B226" s="1" t="n">
        <v>45695.56203703704</v>
      </c>
      <c r="C226" s="1" t="n">
        <v>45948</v>
      </c>
      <c r="D226" t="inlineStr">
        <is>
          <t>KALMAR LÄN</t>
        </is>
      </c>
      <c r="E226" t="inlineStr">
        <is>
          <t>HULTSFRED</t>
        </is>
      </c>
      <c r="F226" t="inlineStr">
        <is>
          <t>Sveaskog</t>
        </is>
      </c>
      <c r="G226" t="n">
        <v>5.9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5996-2025</t>
        </is>
      </c>
      <c r="B227" s="1" t="n">
        <v>45695.5696875</v>
      </c>
      <c r="C227" s="1" t="n">
        <v>45948</v>
      </c>
      <c r="D227" t="inlineStr">
        <is>
          <t>KALMAR LÄN</t>
        </is>
      </c>
      <c r="E227" t="inlineStr">
        <is>
          <t>HULTSFRED</t>
        </is>
      </c>
      <c r="F227" t="inlineStr">
        <is>
          <t>Sveaskog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16541-2024</t>
        </is>
      </c>
      <c r="B228" s="1" t="n">
        <v>45408.4359837963</v>
      </c>
      <c r="C228" s="1" t="n">
        <v>45948</v>
      </c>
      <c r="D228" t="inlineStr">
        <is>
          <t>KALMAR LÄN</t>
        </is>
      </c>
      <c r="E228" t="inlineStr">
        <is>
          <t>HULTSFRED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4972-2023</t>
        </is>
      </c>
      <c r="B229" s="1" t="n">
        <v>44958.45609953703</v>
      </c>
      <c r="C229" s="1" t="n">
        <v>45948</v>
      </c>
      <c r="D229" t="inlineStr">
        <is>
          <t>KALMAR LÄN</t>
        </is>
      </c>
      <c r="E229" t="inlineStr">
        <is>
          <t>HULTSFRED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40006-2023</t>
        </is>
      </c>
      <c r="B230" s="1" t="n">
        <v>45168</v>
      </c>
      <c r="C230" s="1" t="n">
        <v>45948</v>
      </c>
      <c r="D230" t="inlineStr">
        <is>
          <t>KALMAR LÄN</t>
        </is>
      </c>
      <c r="E230" t="inlineStr">
        <is>
          <t>HULTSFRED</t>
        </is>
      </c>
      <c r="F230" t="inlineStr">
        <is>
          <t>Sveaskog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46341-2023</t>
        </is>
      </c>
      <c r="B231" s="1" t="n">
        <v>45197.40341435185</v>
      </c>
      <c r="C231" s="1" t="n">
        <v>45948</v>
      </c>
      <c r="D231" t="inlineStr">
        <is>
          <t>KALMAR LÄN</t>
        </is>
      </c>
      <c r="E231" t="inlineStr">
        <is>
          <t>HULTSFRED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18055-2024</t>
        </is>
      </c>
      <c r="B232" s="1" t="n">
        <v>45420.39489583333</v>
      </c>
      <c r="C232" s="1" t="n">
        <v>45948</v>
      </c>
      <c r="D232" t="inlineStr">
        <is>
          <t>KALMAR LÄN</t>
        </is>
      </c>
      <c r="E232" t="inlineStr">
        <is>
          <t>HULTSFRED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7336-2025</t>
        </is>
      </c>
      <c r="B233" s="1" t="n">
        <v>45703.40883101852</v>
      </c>
      <c r="C233" s="1" t="n">
        <v>45948</v>
      </c>
      <c r="D233" t="inlineStr">
        <is>
          <t>KALMAR LÄN</t>
        </is>
      </c>
      <c r="E233" t="inlineStr">
        <is>
          <t>HULTSFRED</t>
        </is>
      </c>
      <c r="F233" t="inlineStr">
        <is>
          <t>Sveaskog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58862-2023</t>
        </is>
      </c>
      <c r="B234" s="1" t="n">
        <v>45247</v>
      </c>
      <c r="C234" s="1" t="n">
        <v>45948</v>
      </c>
      <c r="D234" t="inlineStr">
        <is>
          <t>KALMAR LÄN</t>
        </is>
      </c>
      <c r="E234" t="inlineStr">
        <is>
          <t>HULTSFRED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14094-2022</t>
        </is>
      </c>
      <c r="B235" s="1" t="n">
        <v>44651</v>
      </c>
      <c r="C235" s="1" t="n">
        <v>45948</v>
      </c>
      <c r="D235" t="inlineStr">
        <is>
          <t>KALMAR LÄN</t>
        </is>
      </c>
      <c r="E235" t="inlineStr">
        <is>
          <t>HULTSFRED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52897-2024</t>
        </is>
      </c>
      <c r="B236" s="1" t="n">
        <v>45610.67653935185</v>
      </c>
      <c r="C236" s="1" t="n">
        <v>45948</v>
      </c>
      <c r="D236" t="inlineStr">
        <is>
          <t>KALMAR LÄN</t>
        </is>
      </c>
      <c r="E236" t="inlineStr">
        <is>
          <t>HULTSFRED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24257-2022</t>
        </is>
      </c>
      <c r="B237" s="1" t="n">
        <v>44725</v>
      </c>
      <c r="C237" s="1" t="n">
        <v>45948</v>
      </c>
      <c r="D237" t="inlineStr">
        <is>
          <t>KALMAR LÄN</t>
        </is>
      </c>
      <c r="E237" t="inlineStr">
        <is>
          <t>HULTSFRED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2824-2021</t>
        </is>
      </c>
      <c r="B238" s="1" t="n">
        <v>44215</v>
      </c>
      <c r="C238" s="1" t="n">
        <v>45948</v>
      </c>
      <c r="D238" t="inlineStr">
        <is>
          <t>KALMAR LÄN</t>
        </is>
      </c>
      <c r="E238" t="inlineStr">
        <is>
          <t>HULTSFRED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8332-2024</t>
        </is>
      </c>
      <c r="B239" s="1" t="n">
        <v>45352.49944444445</v>
      </c>
      <c r="C239" s="1" t="n">
        <v>45948</v>
      </c>
      <c r="D239" t="inlineStr">
        <is>
          <t>KALMAR LÄN</t>
        </is>
      </c>
      <c r="E239" t="inlineStr">
        <is>
          <t>HULTSFRED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13157-2025</t>
        </is>
      </c>
      <c r="B240" s="1" t="n">
        <v>45735.35653935185</v>
      </c>
      <c r="C240" s="1" t="n">
        <v>45948</v>
      </c>
      <c r="D240" t="inlineStr">
        <is>
          <t>KALMAR LÄN</t>
        </is>
      </c>
      <c r="E240" t="inlineStr">
        <is>
          <t>HULTSFRED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33235-2023</t>
        </is>
      </c>
      <c r="B241" s="1" t="n">
        <v>45127</v>
      </c>
      <c r="C241" s="1" t="n">
        <v>45948</v>
      </c>
      <c r="D241" t="inlineStr">
        <is>
          <t>KALMAR LÄN</t>
        </is>
      </c>
      <c r="E241" t="inlineStr">
        <is>
          <t>HULTSFRED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5993-2025</t>
        </is>
      </c>
      <c r="B242" s="1" t="n">
        <v>45695.56664351852</v>
      </c>
      <c r="C242" s="1" t="n">
        <v>45948</v>
      </c>
      <c r="D242" t="inlineStr">
        <is>
          <t>KALMAR LÄN</t>
        </is>
      </c>
      <c r="E242" t="inlineStr">
        <is>
          <t>HULTSFRED</t>
        </is>
      </c>
      <c r="F242" t="inlineStr">
        <is>
          <t>Sveaskog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12394-2023</t>
        </is>
      </c>
      <c r="B243" s="1" t="n">
        <v>44999</v>
      </c>
      <c r="C243" s="1" t="n">
        <v>45948</v>
      </c>
      <c r="D243" t="inlineStr">
        <is>
          <t>KALMAR LÄN</t>
        </is>
      </c>
      <c r="E243" t="inlineStr">
        <is>
          <t>HULTSFRED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60361-2023</t>
        </is>
      </c>
      <c r="B244" s="1" t="n">
        <v>45259.37826388889</v>
      </c>
      <c r="C244" s="1" t="n">
        <v>45948</v>
      </c>
      <c r="D244" t="inlineStr">
        <is>
          <t>KALMAR LÄN</t>
        </is>
      </c>
      <c r="E244" t="inlineStr">
        <is>
          <t>HULTSFRED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54733-2021</t>
        </is>
      </c>
      <c r="B245" s="1" t="n">
        <v>44473</v>
      </c>
      <c r="C245" s="1" t="n">
        <v>45948</v>
      </c>
      <c r="D245" t="inlineStr">
        <is>
          <t>KALMAR LÄN</t>
        </is>
      </c>
      <c r="E245" t="inlineStr">
        <is>
          <t>HULTSFRED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13974-2023</t>
        </is>
      </c>
      <c r="B246" s="1" t="n">
        <v>45008.48836805556</v>
      </c>
      <c r="C246" s="1" t="n">
        <v>45948</v>
      </c>
      <c r="D246" t="inlineStr">
        <is>
          <t>KALMAR LÄN</t>
        </is>
      </c>
      <c r="E246" t="inlineStr">
        <is>
          <t>HULTSFRED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66721-2021</t>
        </is>
      </c>
      <c r="B247" s="1" t="n">
        <v>44519.98100694444</v>
      </c>
      <c r="C247" s="1" t="n">
        <v>45948</v>
      </c>
      <c r="D247" t="inlineStr">
        <is>
          <t>KALMAR LÄN</t>
        </is>
      </c>
      <c r="E247" t="inlineStr">
        <is>
          <t>HULTSFRED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66725-2021</t>
        </is>
      </c>
      <c r="B248" s="1" t="n">
        <v>44519.99180555555</v>
      </c>
      <c r="C248" s="1" t="n">
        <v>45948</v>
      </c>
      <c r="D248" t="inlineStr">
        <is>
          <t>KALMAR LÄN</t>
        </is>
      </c>
      <c r="E248" t="inlineStr">
        <is>
          <t>HULTSFRED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66728-2021</t>
        </is>
      </c>
      <c r="B249" s="1" t="n">
        <v>44520.006875</v>
      </c>
      <c r="C249" s="1" t="n">
        <v>45948</v>
      </c>
      <c r="D249" t="inlineStr">
        <is>
          <t>KALMAR LÄN</t>
        </is>
      </c>
      <c r="E249" t="inlineStr">
        <is>
          <t>HULTSFRED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15875-2025</t>
        </is>
      </c>
      <c r="B250" s="1" t="n">
        <v>45749.37798611111</v>
      </c>
      <c r="C250" s="1" t="n">
        <v>45948</v>
      </c>
      <c r="D250" t="inlineStr">
        <is>
          <t>KALMAR LÄN</t>
        </is>
      </c>
      <c r="E250" t="inlineStr">
        <is>
          <t>HULTSFRED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15271-2025</t>
        </is>
      </c>
      <c r="B251" s="1" t="n">
        <v>45744</v>
      </c>
      <c r="C251" s="1" t="n">
        <v>45948</v>
      </c>
      <c r="D251" t="inlineStr">
        <is>
          <t>KALMAR LÄN</t>
        </is>
      </c>
      <c r="E251" t="inlineStr">
        <is>
          <t>HULTSFRED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8930-2022</t>
        </is>
      </c>
      <c r="B252" s="1" t="n">
        <v>44614</v>
      </c>
      <c r="C252" s="1" t="n">
        <v>45948</v>
      </c>
      <c r="D252" t="inlineStr">
        <is>
          <t>KALMAR LÄN</t>
        </is>
      </c>
      <c r="E252" t="inlineStr">
        <is>
          <t>HULTSFRED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33441-2023</t>
        </is>
      </c>
      <c r="B253" s="1" t="n">
        <v>45129.80059027778</v>
      </c>
      <c r="C253" s="1" t="n">
        <v>45948</v>
      </c>
      <c r="D253" t="inlineStr">
        <is>
          <t>KALMAR LÄN</t>
        </is>
      </c>
      <c r="E253" t="inlineStr">
        <is>
          <t>HULTSFRED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69566-2021</t>
        </is>
      </c>
      <c r="B254" s="1" t="n">
        <v>44532</v>
      </c>
      <c r="C254" s="1" t="n">
        <v>45948</v>
      </c>
      <c r="D254" t="inlineStr">
        <is>
          <t>KALMAR LÄN</t>
        </is>
      </c>
      <c r="E254" t="inlineStr">
        <is>
          <t>HULTSFRED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45934-2025</t>
        </is>
      </c>
      <c r="B255" s="1" t="n">
        <v>45923.90313657407</v>
      </c>
      <c r="C255" s="1" t="n">
        <v>45948</v>
      </c>
      <c r="D255" t="inlineStr">
        <is>
          <t>KALMAR LÄN</t>
        </is>
      </c>
      <c r="E255" t="inlineStr">
        <is>
          <t>HULTSFRED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26437-2023</t>
        </is>
      </c>
      <c r="B256" s="1" t="n">
        <v>45092</v>
      </c>
      <c r="C256" s="1" t="n">
        <v>45948</v>
      </c>
      <c r="D256" t="inlineStr">
        <is>
          <t>KALMAR LÄN</t>
        </is>
      </c>
      <c r="E256" t="inlineStr">
        <is>
          <t>HULTSFRED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25475-2022</t>
        </is>
      </c>
      <c r="B257" s="1" t="n">
        <v>44732</v>
      </c>
      <c r="C257" s="1" t="n">
        <v>45948</v>
      </c>
      <c r="D257" t="inlineStr">
        <is>
          <t>KALMAR LÄN</t>
        </is>
      </c>
      <c r="E257" t="inlineStr">
        <is>
          <t>HULTSFRED</t>
        </is>
      </c>
      <c r="F257" t="inlineStr">
        <is>
          <t>Kyrkan</t>
        </is>
      </c>
      <c r="G257" t="n">
        <v>6.3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17660-2021</t>
        </is>
      </c>
      <c r="B258" s="1" t="n">
        <v>44300</v>
      </c>
      <c r="C258" s="1" t="n">
        <v>45948</v>
      </c>
      <c r="D258" t="inlineStr">
        <is>
          <t>KALMAR LÄN</t>
        </is>
      </c>
      <c r="E258" t="inlineStr">
        <is>
          <t>HULTSFRED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52886-2024</t>
        </is>
      </c>
      <c r="B259" s="1" t="n">
        <v>45610.65568287037</v>
      </c>
      <c r="C259" s="1" t="n">
        <v>45948</v>
      </c>
      <c r="D259" t="inlineStr">
        <is>
          <t>KALMAR LÄN</t>
        </is>
      </c>
      <c r="E259" t="inlineStr">
        <is>
          <t>HULTSFRED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16890-2025</t>
        </is>
      </c>
      <c r="B260" s="1" t="n">
        <v>45755.31439814815</v>
      </c>
      <c r="C260" s="1" t="n">
        <v>45948</v>
      </c>
      <c r="D260" t="inlineStr">
        <is>
          <t>KALMAR LÄN</t>
        </is>
      </c>
      <c r="E260" t="inlineStr">
        <is>
          <t>HULTSFRED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11938-2023</t>
        </is>
      </c>
      <c r="B261" s="1" t="n">
        <v>44995</v>
      </c>
      <c r="C261" s="1" t="n">
        <v>45948</v>
      </c>
      <c r="D261" t="inlineStr">
        <is>
          <t>KALMAR LÄN</t>
        </is>
      </c>
      <c r="E261" t="inlineStr">
        <is>
          <t>HULTSFRED</t>
        </is>
      </c>
      <c r="G261" t="n">
        <v>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6128-2023</t>
        </is>
      </c>
      <c r="B262" s="1" t="n">
        <v>44964.61778935185</v>
      </c>
      <c r="C262" s="1" t="n">
        <v>45948</v>
      </c>
      <c r="D262" t="inlineStr">
        <is>
          <t>KALMAR LÄN</t>
        </is>
      </c>
      <c r="E262" t="inlineStr">
        <is>
          <t>HULTSFRED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8402-2022</t>
        </is>
      </c>
      <c r="B263" s="1" t="n">
        <v>44610</v>
      </c>
      <c r="C263" s="1" t="n">
        <v>45948</v>
      </c>
      <c r="D263" t="inlineStr">
        <is>
          <t>KALMAR LÄN</t>
        </is>
      </c>
      <c r="E263" t="inlineStr">
        <is>
          <t>HULTSFRED</t>
        </is>
      </c>
      <c r="F263" t="inlineStr">
        <is>
          <t>Kommuner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14824-2025</t>
        </is>
      </c>
      <c r="B264" s="1" t="n">
        <v>45743.36407407407</v>
      </c>
      <c r="C264" s="1" t="n">
        <v>45948</v>
      </c>
      <c r="D264" t="inlineStr">
        <is>
          <t>KALMAR LÄN</t>
        </is>
      </c>
      <c r="E264" t="inlineStr">
        <is>
          <t>HULTSFRED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14839-2025</t>
        </is>
      </c>
      <c r="B265" s="1" t="n">
        <v>45743.38579861111</v>
      </c>
      <c r="C265" s="1" t="n">
        <v>45948</v>
      </c>
      <c r="D265" t="inlineStr">
        <is>
          <t>KALMAR LÄN</t>
        </is>
      </c>
      <c r="E265" t="inlineStr">
        <is>
          <t>HULTSFRED</t>
        </is>
      </c>
      <c r="F265" t="inlineStr">
        <is>
          <t>Sveaskog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5788-2024</t>
        </is>
      </c>
      <c r="B266" s="1" t="n">
        <v>45335</v>
      </c>
      <c r="C266" s="1" t="n">
        <v>45948</v>
      </c>
      <c r="D266" t="inlineStr">
        <is>
          <t>KALMAR LÄN</t>
        </is>
      </c>
      <c r="E266" t="inlineStr">
        <is>
          <t>HULTSFRED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60678-2023</t>
        </is>
      </c>
      <c r="B267" s="1" t="n">
        <v>45260.47619212963</v>
      </c>
      <c r="C267" s="1" t="n">
        <v>45948</v>
      </c>
      <c r="D267" t="inlineStr">
        <is>
          <t>KALMAR LÄN</t>
        </is>
      </c>
      <c r="E267" t="inlineStr">
        <is>
          <t>HULTSFRED</t>
        </is>
      </c>
      <c r="F267" t="inlineStr">
        <is>
          <t>Sveaskog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60681-2023</t>
        </is>
      </c>
      <c r="B268" s="1" t="n">
        <v>45260.47771990741</v>
      </c>
      <c r="C268" s="1" t="n">
        <v>45948</v>
      </c>
      <c r="D268" t="inlineStr">
        <is>
          <t>KALMAR LÄN</t>
        </is>
      </c>
      <c r="E268" t="inlineStr">
        <is>
          <t>HULTSFRED</t>
        </is>
      </c>
      <c r="F268" t="inlineStr">
        <is>
          <t>Sveaskog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35721-2023</t>
        </is>
      </c>
      <c r="B269" s="1" t="n">
        <v>45147.70241898148</v>
      </c>
      <c r="C269" s="1" t="n">
        <v>45948</v>
      </c>
      <c r="D269" t="inlineStr">
        <is>
          <t>KALMAR LÄN</t>
        </is>
      </c>
      <c r="E269" t="inlineStr">
        <is>
          <t>HULTSFRED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40865-2022</t>
        </is>
      </c>
      <c r="B270" s="1" t="n">
        <v>44825.32336805556</v>
      </c>
      <c r="C270" s="1" t="n">
        <v>45948</v>
      </c>
      <c r="D270" t="inlineStr">
        <is>
          <t>KALMAR LÄN</t>
        </is>
      </c>
      <c r="E270" t="inlineStr">
        <is>
          <t>HULTSFRED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62120-2023</t>
        </is>
      </c>
      <c r="B271" s="1" t="n">
        <v>45267.28141203704</v>
      </c>
      <c r="C271" s="1" t="n">
        <v>45948</v>
      </c>
      <c r="D271" t="inlineStr">
        <is>
          <t>KALMAR LÄN</t>
        </is>
      </c>
      <c r="E271" t="inlineStr">
        <is>
          <t>HULTSFRED</t>
        </is>
      </c>
      <c r="F271" t="inlineStr">
        <is>
          <t>Sveaskog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60101-2024</t>
        </is>
      </c>
      <c r="B272" s="1" t="n">
        <v>45642.5578125</v>
      </c>
      <c r="C272" s="1" t="n">
        <v>45948</v>
      </c>
      <c r="D272" t="inlineStr">
        <is>
          <t>KALMAR LÄN</t>
        </is>
      </c>
      <c r="E272" t="inlineStr">
        <is>
          <t>HULTSFRED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27351-2023</t>
        </is>
      </c>
      <c r="B273" s="1" t="n">
        <v>45096.90421296296</v>
      </c>
      <c r="C273" s="1" t="n">
        <v>45948</v>
      </c>
      <c r="D273" t="inlineStr">
        <is>
          <t>KALMAR LÄN</t>
        </is>
      </c>
      <c r="E273" t="inlineStr">
        <is>
          <t>HULTSFRED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63212-2023</t>
        </is>
      </c>
      <c r="B274" s="1" t="n">
        <v>45273</v>
      </c>
      <c r="C274" s="1" t="n">
        <v>45948</v>
      </c>
      <c r="D274" t="inlineStr">
        <is>
          <t>KALMAR LÄN</t>
        </is>
      </c>
      <c r="E274" t="inlineStr">
        <is>
          <t>HULTSFRED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52880-2024</t>
        </is>
      </c>
      <c r="B275" s="1" t="n">
        <v>45610.63998842592</v>
      </c>
      <c r="C275" s="1" t="n">
        <v>45948</v>
      </c>
      <c r="D275" t="inlineStr">
        <is>
          <t>KALMAR LÄN</t>
        </is>
      </c>
      <c r="E275" t="inlineStr">
        <is>
          <t>HULTSFRED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57173-2024</t>
        </is>
      </c>
      <c r="B276" s="1" t="n">
        <v>45629.43613425926</v>
      </c>
      <c r="C276" s="1" t="n">
        <v>45948</v>
      </c>
      <c r="D276" t="inlineStr">
        <is>
          <t>KALMAR LÄN</t>
        </is>
      </c>
      <c r="E276" t="inlineStr">
        <is>
          <t>HULTSFRED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39948-2023</t>
        </is>
      </c>
      <c r="B277" s="1" t="n">
        <v>45168</v>
      </c>
      <c r="C277" s="1" t="n">
        <v>45948</v>
      </c>
      <c r="D277" t="inlineStr">
        <is>
          <t>KALMAR LÄN</t>
        </is>
      </c>
      <c r="E277" t="inlineStr">
        <is>
          <t>HULTSFRED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5578-2023</t>
        </is>
      </c>
      <c r="B278" s="1" t="n">
        <v>44960.49487268519</v>
      </c>
      <c r="C278" s="1" t="n">
        <v>45948</v>
      </c>
      <c r="D278" t="inlineStr">
        <is>
          <t>KALMAR LÄN</t>
        </is>
      </c>
      <c r="E278" t="inlineStr">
        <is>
          <t>HULTSFRED</t>
        </is>
      </c>
      <c r="F278" t="inlineStr">
        <is>
          <t>Sveaskog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38568-2025</t>
        </is>
      </c>
      <c r="B279" s="1" t="n">
        <v>45884.45627314815</v>
      </c>
      <c r="C279" s="1" t="n">
        <v>45948</v>
      </c>
      <c r="D279" t="inlineStr">
        <is>
          <t>KALMAR LÄN</t>
        </is>
      </c>
      <c r="E279" t="inlineStr">
        <is>
          <t>HULTSFRED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9328-2025</t>
        </is>
      </c>
      <c r="B280" s="1" t="n">
        <v>45714.74952546296</v>
      </c>
      <c r="C280" s="1" t="n">
        <v>45948</v>
      </c>
      <c r="D280" t="inlineStr">
        <is>
          <t>KALMAR LÄN</t>
        </is>
      </c>
      <c r="E280" t="inlineStr">
        <is>
          <t>HULTSFRED</t>
        </is>
      </c>
      <c r="F280" t="inlineStr">
        <is>
          <t>Sveaskog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56554-2022</t>
        </is>
      </c>
      <c r="B281" s="1" t="n">
        <v>44893</v>
      </c>
      <c r="C281" s="1" t="n">
        <v>45948</v>
      </c>
      <c r="D281" t="inlineStr">
        <is>
          <t>KALMAR LÄN</t>
        </is>
      </c>
      <c r="E281" t="inlineStr">
        <is>
          <t>HULTSFRED</t>
        </is>
      </c>
      <c r="F281" t="inlineStr">
        <is>
          <t>Kyrkan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8807-2024</t>
        </is>
      </c>
      <c r="B282" s="1" t="n">
        <v>45355</v>
      </c>
      <c r="C282" s="1" t="n">
        <v>45948</v>
      </c>
      <c r="D282" t="inlineStr">
        <is>
          <t>KALMAR LÄN</t>
        </is>
      </c>
      <c r="E282" t="inlineStr">
        <is>
          <t>HULTSFRED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11232-2023</t>
        </is>
      </c>
      <c r="B283" s="1" t="n">
        <v>44992.63921296296</v>
      </c>
      <c r="C283" s="1" t="n">
        <v>45948</v>
      </c>
      <c r="D283" t="inlineStr">
        <is>
          <t>KALMAR LÄN</t>
        </is>
      </c>
      <c r="E283" t="inlineStr">
        <is>
          <t>HULTSFRED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20969-2024</t>
        </is>
      </c>
      <c r="B284" s="1" t="n">
        <v>45439.58288194444</v>
      </c>
      <c r="C284" s="1" t="n">
        <v>45948</v>
      </c>
      <c r="D284" t="inlineStr">
        <is>
          <t>KALMAR LÄN</t>
        </is>
      </c>
      <c r="E284" t="inlineStr">
        <is>
          <t>HULTSFRED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10546-2021</t>
        </is>
      </c>
      <c r="B285" s="1" t="n">
        <v>44258</v>
      </c>
      <c r="C285" s="1" t="n">
        <v>45948</v>
      </c>
      <c r="D285" t="inlineStr">
        <is>
          <t>KALMAR LÄN</t>
        </is>
      </c>
      <c r="E285" t="inlineStr">
        <is>
          <t>HULTSFRED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16495-2023</t>
        </is>
      </c>
      <c r="B286" s="1" t="n">
        <v>45026</v>
      </c>
      <c r="C286" s="1" t="n">
        <v>45948</v>
      </c>
      <c r="D286" t="inlineStr">
        <is>
          <t>KALMAR LÄN</t>
        </is>
      </c>
      <c r="E286" t="inlineStr">
        <is>
          <t>HULTSFRED</t>
        </is>
      </c>
      <c r="G286" t="n">
        <v>12.6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38193-2023</t>
        </is>
      </c>
      <c r="B287" s="1" t="n">
        <v>45161.48927083334</v>
      </c>
      <c r="C287" s="1" t="n">
        <v>45948</v>
      </c>
      <c r="D287" t="inlineStr">
        <is>
          <t>KALMAR LÄN</t>
        </is>
      </c>
      <c r="E287" t="inlineStr">
        <is>
          <t>HULTSFRED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5755-2023</t>
        </is>
      </c>
      <c r="B288" s="1" t="n">
        <v>44963.33652777778</v>
      </c>
      <c r="C288" s="1" t="n">
        <v>45948</v>
      </c>
      <c r="D288" t="inlineStr">
        <is>
          <t>KALMAR LÄN</t>
        </is>
      </c>
      <c r="E288" t="inlineStr">
        <is>
          <t>HULTSFRED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42434-2023</t>
        </is>
      </c>
      <c r="B289" s="1" t="n">
        <v>45180</v>
      </c>
      <c r="C289" s="1" t="n">
        <v>45948</v>
      </c>
      <c r="D289" t="inlineStr">
        <is>
          <t>KALMAR LÄN</t>
        </is>
      </c>
      <c r="E289" t="inlineStr">
        <is>
          <t>HULTSFRED</t>
        </is>
      </c>
      <c r="F289" t="inlineStr">
        <is>
          <t>Sveaskog</t>
        </is>
      </c>
      <c r="G289" t="n">
        <v>0.3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17131-2024</t>
        </is>
      </c>
      <c r="B290" s="1" t="n">
        <v>45412.60458333333</v>
      </c>
      <c r="C290" s="1" t="n">
        <v>45948</v>
      </c>
      <c r="D290" t="inlineStr">
        <is>
          <t>KALMAR LÄN</t>
        </is>
      </c>
      <c r="E290" t="inlineStr">
        <is>
          <t>HULTSFRED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22645-2023</t>
        </is>
      </c>
      <c r="B291" s="1" t="n">
        <v>45071</v>
      </c>
      <c r="C291" s="1" t="n">
        <v>45948</v>
      </c>
      <c r="D291" t="inlineStr">
        <is>
          <t>KALMAR LÄN</t>
        </is>
      </c>
      <c r="E291" t="inlineStr">
        <is>
          <t>HULTSFRED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55129-2024</t>
        </is>
      </c>
      <c r="B292" s="1" t="n">
        <v>45618</v>
      </c>
      <c r="C292" s="1" t="n">
        <v>45948</v>
      </c>
      <c r="D292" t="inlineStr">
        <is>
          <t>KALMAR LÄN</t>
        </is>
      </c>
      <c r="E292" t="inlineStr">
        <is>
          <t>HULTSFRED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58094-2023</t>
        </is>
      </c>
      <c r="B293" s="1" t="n">
        <v>45248</v>
      </c>
      <c r="C293" s="1" t="n">
        <v>45948</v>
      </c>
      <c r="D293" t="inlineStr">
        <is>
          <t>KALMAR LÄN</t>
        </is>
      </c>
      <c r="E293" t="inlineStr">
        <is>
          <t>HULTSFRED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18274-2022</t>
        </is>
      </c>
      <c r="B294" s="1" t="n">
        <v>44685.48431712963</v>
      </c>
      <c r="C294" s="1" t="n">
        <v>45948</v>
      </c>
      <c r="D294" t="inlineStr">
        <is>
          <t>KALMAR LÄN</t>
        </is>
      </c>
      <c r="E294" t="inlineStr">
        <is>
          <t>HULTSFRED</t>
        </is>
      </c>
      <c r="G294" t="n">
        <v>5.8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24341-2023</t>
        </is>
      </c>
      <c r="B295" s="1" t="n">
        <v>45081.91804398148</v>
      </c>
      <c r="C295" s="1" t="n">
        <v>45948</v>
      </c>
      <c r="D295" t="inlineStr">
        <is>
          <t>KALMAR LÄN</t>
        </is>
      </c>
      <c r="E295" t="inlineStr">
        <is>
          <t>HULTSFRED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2212-2024</t>
        </is>
      </c>
      <c r="B296" s="1" t="n">
        <v>45309.80746527778</v>
      </c>
      <c r="C296" s="1" t="n">
        <v>45948</v>
      </c>
      <c r="D296" t="inlineStr">
        <is>
          <t>KALMAR LÄN</t>
        </is>
      </c>
      <c r="E296" t="inlineStr">
        <is>
          <t>HULTSFRED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19932-2023</t>
        </is>
      </c>
      <c r="B297" s="1" t="n">
        <v>45054</v>
      </c>
      <c r="C297" s="1" t="n">
        <v>45948</v>
      </c>
      <c r="D297" t="inlineStr">
        <is>
          <t>KALMAR LÄN</t>
        </is>
      </c>
      <c r="E297" t="inlineStr">
        <is>
          <t>HULTSFRED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4223-2025</t>
        </is>
      </c>
      <c r="B298" s="1" t="n">
        <v>45685.52724537037</v>
      </c>
      <c r="C298" s="1" t="n">
        <v>45948</v>
      </c>
      <c r="D298" t="inlineStr">
        <is>
          <t>KALMAR LÄN</t>
        </is>
      </c>
      <c r="E298" t="inlineStr">
        <is>
          <t>HULTSFRED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26308-2023</t>
        </is>
      </c>
      <c r="B299" s="1" t="n">
        <v>45091.65386574074</v>
      </c>
      <c r="C299" s="1" t="n">
        <v>45948</v>
      </c>
      <c r="D299" t="inlineStr">
        <is>
          <t>KALMAR LÄN</t>
        </is>
      </c>
      <c r="E299" t="inlineStr">
        <is>
          <t>HULTSFRED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9594-2025</t>
        </is>
      </c>
      <c r="B300" s="1" t="n">
        <v>45715.64556712963</v>
      </c>
      <c r="C300" s="1" t="n">
        <v>45948</v>
      </c>
      <c r="D300" t="inlineStr">
        <is>
          <t>KALMAR LÄN</t>
        </is>
      </c>
      <c r="E300" t="inlineStr">
        <is>
          <t>HULTSFRED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42770-2024</t>
        </is>
      </c>
      <c r="B301" s="1" t="n">
        <v>45566</v>
      </c>
      <c r="C301" s="1" t="n">
        <v>45948</v>
      </c>
      <c r="D301" t="inlineStr">
        <is>
          <t>KALMAR LÄN</t>
        </is>
      </c>
      <c r="E301" t="inlineStr">
        <is>
          <t>HULTSFRED</t>
        </is>
      </c>
      <c r="G301" t="n">
        <v>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54712-2021</t>
        </is>
      </c>
      <c r="B302" s="1" t="n">
        <v>44473</v>
      </c>
      <c r="C302" s="1" t="n">
        <v>45948</v>
      </c>
      <c r="D302" t="inlineStr">
        <is>
          <t>KALMAR LÄN</t>
        </is>
      </c>
      <c r="E302" t="inlineStr">
        <is>
          <t>HULTSFRED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5801-2024</t>
        </is>
      </c>
      <c r="B303" s="1" t="n">
        <v>45335.48046296297</v>
      </c>
      <c r="C303" s="1" t="n">
        <v>45948</v>
      </c>
      <c r="D303" t="inlineStr">
        <is>
          <t>KALMAR LÄN</t>
        </is>
      </c>
      <c r="E303" t="inlineStr">
        <is>
          <t>HULTSFRED</t>
        </is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29569-2024</t>
        </is>
      </c>
      <c r="B304" s="1" t="n">
        <v>45484.55672453704</v>
      </c>
      <c r="C304" s="1" t="n">
        <v>45948</v>
      </c>
      <c r="D304" t="inlineStr">
        <is>
          <t>KALMAR LÄN</t>
        </is>
      </c>
      <c r="E304" t="inlineStr">
        <is>
          <t>HULTSFRED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36931-2024</t>
        </is>
      </c>
      <c r="B305" s="1" t="n">
        <v>45538</v>
      </c>
      <c r="C305" s="1" t="n">
        <v>45948</v>
      </c>
      <c r="D305" t="inlineStr">
        <is>
          <t>KALMAR LÄN</t>
        </is>
      </c>
      <c r="E305" t="inlineStr">
        <is>
          <t>HULTSFRED</t>
        </is>
      </c>
      <c r="G305" t="n">
        <v>0.3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40330-2023</t>
        </is>
      </c>
      <c r="B306" s="1" t="n">
        <v>45169.62340277778</v>
      </c>
      <c r="C306" s="1" t="n">
        <v>45948</v>
      </c>
      <c r="D306" t="inlineStr">
        <is>
          <t>KALMAR LÄN</t>
        </is>
      </c>
      <c r="E306" t="inlineStr">
        <is>
          <t>HULTSFRED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21268-2022</t>
        </is>
      </c>
      <c r="B307" s="1" t="n">
        <v>44705.43685185185</v>
      </c>
      <c r="C307" s="1" t="n">
        <v>45948</v>
      </c>
      <c r="D307" t="inlineStr">
        <is>
          <t>KALMAR LÄN</t>
        </is>
      </c>
      <c r="E307" t="inlineStr">
        <is>
          <t>HULTSFRED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43633-2023</t>
        </is>
      </c>
      <c r="B308" s="1" t="n">
        <v>45185.6368287037</v>
      </c>
      <c r="C308" s="1" t="n">
        <v>45948</v>
      </c>
      <c r="D308" t="inlineStr">
        <is>
          <t>KALMAR LÄN</t>
        </is>
      </c>
      <c r="E308" t="inlineStr">
        <is>
          <t>HULTSFRED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19072-2023</t>
        </is>
      </c>
      <c r="B309" s="1" t="n">
        <v>45048.37384259259</v>
      </c>
      <c r="C309" s="1" t="n">
        <v>45948</v>
      </c>
      <c r="D309" t="inlineStr">
        <is>
          <t>KALMAR LÄN</t>
        </is>
      </c>
      <c r="E309" t="inlineStr">
        <is>
          <t>HULTSFRED</t>
        </is>
      </c>
      <c r="G309" t="n">
        <v>23.7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5002-2025</t>
        </is>
      </c>
      <c r="B310" s="1" t="n">
        <v>45691.36478009259</v>
      </c>
      <c r="C310" s="1" t="n">
        <v>45948</v>
      </c>
      <c r="D310" t="inlineStr">
        <is>
          <t>KALMAR LÄN</t>
        </is>
      </c>
      <c r="E310" t="inlineStr">
        <is>
          <t>HULTSFRED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6649-2023</t>
        </is>
      </c>
      <c r="B311" s="1" t="n">
        <v>44966</v>
      </c>
      <c r="C311" s="1" t="n">
        <v>45948</v>
      </c>
      <c r="D311" t="inlineStr">
        <is>
          <t>KALMAR LÄN</t>
        </is>
      </c>
      <c r="E311" t="inlineStr">
        <is>
          <t>HULTSFRED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36698-2023</t>
        </is>
      </c>
      <c r="B312" s="1" t="n">
        <v>45153</v>
      </c>
      <c r="C312" s="1" t="n">
        <v>45948</v>
      </c>
      <c r="D312" t="inlineStr">
        <is>
          <t>KALMAR LÄN</t>
        </is>
      </c>
      <c r="E312" t="inlineStr">
        <is>
          <t>HULTSFRED</t>
        </is>
      </c>
      <c r="G312" t="n">
        <v>7.4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5987-2025</t>
        </is>
      </c>
      <c r="B313" s="1" t="n">
        <v>45695.55989583334</v>
      </c>
      <c r="C313" s="1" t="n">
        <v>45948</v>
      </c>
      <c r="D313" t="inlineStr">
        <is>
          <t>KALMAR LÄN</t>
        </is>
      </c>
      <c r="E313" t="inlineStr">
        <is>
          <t>HULTSFRED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57479-2022</t>
        </is>
      </c>
      <c r="B314" s="1" t="n">
        <v>44896.59528935186</v>
      </c>
      <c r="C314" s="1" t="n">
        <v>45948</v>
      </c>
      <c r="D314" t="inlineStr">
        <is>
          <t>KALMAR LÄN</t>
        </is>
      </c>
      <c r="E314" t="inlineStr">
        <is>
          <t>HULTSFRED</t>
        </is>
      </c>
      <c r="G314" t="n">
        <v>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37280-2023</t>
        </is>
      </c>
      <c r="B315" s="1" t="n">
        <v>45156</v>
      </c>
      <c r="C315" s="1" t="n">
        <v>45948</v>
      </c>
      <c r="D315" t="inlineStr">
        <is>
          <t>KALMAR LÄN</t>
        </is>
      </c>
      <c r="E315" t="inlineStr">
        <is>
          <t>HULTSFRED</t>
        </is>
      </c>
      <c r="G315" t="n">
        <v>10.8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52691-2023</t>
        </is>
      </c>
      <c r="B316" s="1" t="n">
        <v>45225.76035879629</v>
      </c>
      <c r="C316" s="1" t="n">
        <v>45948</v>
      </c>
      <c r="D316" t="inlineStr">
        <is>
          <t>KALMAR LÄN</t>
        </is>
      </c>
      <c r="E316" t="inlineStr">
        <is>
          <t>HULTSFRED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49703-2022</t>
        </is>
      </c>
      <c r="B317" s="1" t="n">
        <v>44862</v>
      </c>
      <c r="C317" s="1" t="n">
        <v>45948</v>
      </c>
      <c r="D317" t="inlineStr">
        <is>
          <t>KALMAR LÄN</t>
        </is>
      </c>
      <c r="E317" t="inlineStr">
        <is>
          <t>HULTSFRED</t>
        </is>
      </c>
      <c r="F317" t="inlineStr">
        <is>
          <t>Kyrkan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3530-2025</t>
        </is>
      </c>
      <c r="B318" s="1" t="n">
        <v>45680</v>
      </c>
      <c r="C318" s="1" t="n">
        <v>45948</v>
      </c>
      <c r="D318" t="inlineStr">
        <is>
          <t>KALMAR LÄN</t>
        </is>
      </c>
      <c r="E318" t="inlineStr">
        <is>
          <t>HULTSFRED</t>
        </is>
      </c>
      <c r="F318" t="inlineStr">
        <is>
          <t>Sveaskog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15780-2025</t>
        </is>
      </c>
      <c r="B319" s="1" t="n">
        <v>45748.61495370371</v>
      </c>
      <c r="C319" s="1" t="n">
        <v>45948</v>
      </c>
      <c r="D319" t="inlineStr">
        <is>
          <t>KALMAR LÄN</t>
        </is>
      </c>
      <c r="E319" t="inlineStr">
        <is>
          <t>HULTSFRED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46563-2025</t>
        </is>
      </c>
      <c r="B320" s="1" t="n">
        <v>45926.35856481481</v>
      </c>
      <c r="C320" s="1" t="n">
        <v>45948</v>
      </c>
      <c r="D320" t="inlineStr">
        <is>
          <t>KALMAR LÄN</t>
        </is>
      </c>
      <c r="E320" t="inlineStr">
        <is>
          <t>HULTSFRED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11648-2023</t>
        </is>
      </c>
      <c r="B321" s="1" t="n">
        <v>44994.45459490741</v>
      </c>
      <c r="C321" s="1" t="n">
        <v>45948</v>
      </c>
      <c r="D321" t="inlineStr">
        <is>
          <t>KALMAR LÄN</t>
        </is>
      </c>
      <c r="E321" t="inlineStr">
        <is>
          <t>HULTSFRED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63074-2023</t>
        </is>
      </c>
      <c r="B322" s="1" t="n">
        <v>45273.28496527778</v>
      </c>
      <c r="C322" s="1" t="n">
        <v>45948</v>
      </c>
      <c r="D322" t="inlineStr">
        <is>
          <t>KALMAR LÄN</t>
        </is>
      </c>
      <c r="E322" t="inlineStr">
        <is>
          <t>HULTSFRED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11325-2025</t>
        </is>
      </c>
      <c r="B323" s="1" t="n">
        <v>45726.47065972222</v>
      </c>
      <c r="C323" s="1" t="n">
        <v>45948</v>
      </c>
      <c r="D323" t="inlineStr">
        <is>
          <t>KALMAR LÄN</t>
        </is>
      </c>
      <c r="E323" t="inlineStr">
        <is>
          <t>HULTSFRED</t>
        </is>
      </c>
      <c r="F323" t="inlineStr">
        <is>
          <t>Sveaskog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11383-2025</t>
        </is>
      </c>
      <c r="B324" s="1" t="n">
        <v>45726.56298611111</v>
      </c>
      <c r="C324" s="1" t="n">
        <v>45948</v>
      </c>
      <c r="D324" t="inlineStr">
        <is>
          <t>KALMAR LÄN</t>
        </is>
      </c>
      <c r="E324" t="inlineStr">
        <is>
          <t>HULTSFRED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262-2022</t>
        </is>
      </c>
      <c r="B325" s="1" t="n">
        <v>44565</v>
      </c>
      <c r="C325" s="1" t="n">
        <v>45948</v>
      </c>
      <c r="D325" t="inlineStr">
        <is>
          <t>KALMAR LÄN</t>
        </is>
      </c>
      <c r="E325" t="inlineStr">
        <is>
          <t>HULTSFRED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38943-2025</t>
        </is>
      </c>
      <c r="B326" s="1" t="n">
        <v>45887.65018518519</v>
      </c>
      <c r="C326" s="1" t="n">
        <v>45948</v>
      </c>
      <c r="D326" t="inlineStr">
        <is>
          <t>KALMAR LÄN</t>
        </is>
      </c>
      <c r="E326" t="inlineStr">
        <is>
          <t>HULTSFRED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57808-2023</t>
        </is>
      </c>
      <c r="B327" s="1" t="n">
        <v>45247</v>
      </c>
      <c r="C327" s="1" t="n">
        <v>45948</v>
      </c>
      <c r="D327" t="inlineStr">
        <is>
          <t>KALMAR LÄN</t>
        </is>
      </c>
      <c r="E327" t="inlineStr">
        <is>
          <t>HULTSFRED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44977-2021</t>
        </is>
      </c>
      <c r="B328" s="1" t="n">
        <v>44438</v>
      </c>
      <c r="C328" s="1" t="n">
        <v>45948</v>
      </c>
      <c r="D328" t="inlineStr">
        <is>
          <t>KALMAR LÄN</t>
        </is>
      </c>
      <c r="E328" t="inlineStr">
        <is>
          <t>HULTSFRED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14539-2023</t>
        </is>
      </c>
      <c r="B329" s="1" t="n">
        <v>45013.3293287037</v>
      </c>
      <c r="C329" s="1" t="n">
        <v>45948</v>
      </c>
      <c r="D329" t="inlineStr">
        <is>
          <t>KALMAR LÄN</t>
        </is>
      </c>
      <c r="E329" t="inlineStr">
        <is>
          <t>HULTSFRED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15244-2023</t>
        </is>
      </c>
      <c r="B330" s="1" t="n">
        <v>45019.37908564815</v>
      </c>
      <c r="C330" s="1" t="n">
        <v>45948</v>
      </c>
      <c r="D330" t="inlineStr">
        <is>
          <t>KALMAR LÄN</t>
        </is>
      </c>
      <c r="E330" t="inlineStr">
        <is>
          <t>HULTSFRED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68803-2021</t>
        </is>
      </c>
      <c r="B331" s="1" t="n">
        <v>44530</v>
      </c>
      <c r="C331" s="1" t="n">
        <v>45948</v>
      </c>
      <c r="D331" t="inlineStr">
        <is>
          <t>KALMAR LÄN</t>
        </is>
      </c>
      <c r="E331" t="inlineStr">
        <is>
          <t>HULTSFRED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17058-2024</t>
        </is>
      </c>
      <c r="B332" s="1" t="n">
        <v>45412.45262731481</v>
      </c>
      <c r="C332" s="1" t="n">
        <v>45948</v>
      </c>
      <c r="D332" t="inlineStr">
        <is>
          <t>KALMAR LÄN</t>
        </is>
      </c>
      <c r="E332" t="inlineStr">
        <is>
          <t>HULTSFRED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9325-2025</t>
        </is>
      </c>
      <c r="B333" s="1" t="n">
        <v>45714.74612268519</v>
      </c>
      <c r="C333" s="1" t="n">
        <v>45948</v>
      </c>
      <c r="D333" t="inlineStr">
        <is>
          <t>KALMAR LÄN</t>
        </is>
      </c>
      <c r="E333" t="inlineStr">
        <is>
          <t>HULTSFRED</t>
        </is>
      </c>
      <c r="F333" t="inlineStr">
        <is>
          <t>Sveaskog</t>
        </is>
      </c>
      <c r="G333" t="n">
        <v>4.8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16723-2025</t>
        </is>
      </c>
      <c r="B334" s="1" t="n">
        <v>45754.50134259259</v>
      </c>
      <c r="C334" s="1" t="n">
        <v>45948</v>
      </c>
      <c r="D334" t="inlineStr">
        <is>
          <t>KALMAR LÄN</t>
        </is>
      </c>
      <c r="E334" t="inlineStr">
        <is>
          <t>HULTSFRED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20035-2023</t>
        </is>
      </c>
      <c r="B335" s="1" t="n">
        <v>45054</v>
      </c>
      <c r="C335" s="1" t="n">
        <v>45948</v>
      </c>
      <c r="D335" t="inlineStr">
        <is>
          <t>KALMAR LÄN</t>
        </is>
      </c>
      <c r="E335" t="inlineStr">
        <is>
          <t>HULTSFRED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19187-2025</t>
        </is>
      </c>
      <c r="B336" s="1" t="n">
        <v>45769.41255787037</v>
      </c>
      <c r="C336" s="1" t="n">
        <v>45948</v>
      </c>
      <c r="D336" t="inlineStr">
        <is>
          <t>KALMAR LÄN</t>
        </is>
      </c>
      <c r="E336" t="inlineStr">
        <is>
          <t>HULTSFRED</t>
        </is>
      </c>
      <c r="F336" t="inlineStr">
        <is>
          <t>Kyrkan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58208-2023</t>
        </is>
      </c>
      <c r="B337" s="1" t="n">
        <v>45250.44482638889</v>
      </c>
      <c r="C337" s="1" t="n">
        <v>45948</v>
      </c>
      <c r="D337" t="inlineStr">
        <is>
          <t>KALMAR LÄN</t>
        </is>
      </c>
      <c r="E337" t="inlineStr">
        <is>
          <t>HULTSFRED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56358-2024</t>
        </is>
      </c>
      <c r="B338" s="1" t="n">
        <v>45624.98180555556</v>
      </c>
      <c r="C338" s="1" t="n">
        <v>45948</v>
      </c>
      <c r="D338" t="inlineStr">
        <is>
          <t>KALMAR LÄN</t>
        </is>
      </c>
      <c r="E338" t="inlineStr">
        <is>
          <t>HULTSFRED</t>
        </is>
      </c>
      <c r="G338" t="n">
        <v>5.1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19836-2025</t>
        </is>
      </c>
      <c r="B339" s="1" t="n">
        <v>45771.4725925926</v>
      </c>
      <c r="C339" s="1" t="n">
        <v>45948</v>
      </c>
      <c r="D339" t="inlineStr">
        <is>
          <t>KALMAR LÄN</t>
        </is>
      </c>
      <c r="E339" t="inlineStr">
        <is>
          <t>HULTSFRED</t>
        </is>
      </c>
      <c r="F339" t="inlineStr">
        <is>
          <t>Sveaskog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41976-2022</t>
        </is>
      </c>
      <c r="B340" s="1" t="n">
        <v>44830.4331712963</v>
      </c>
      <c r="C340" s="1" t="n">
        <v>45948</v>
      </c>
      <c r="D340" t="inlineStr">
        <is>
          <t>KALMAR LÄN</t>
        </is>
      </c>
      <c r="E340" t="inlineStr">
        <is>
          <t>HULTSFRED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38705-2024</t>
        </is>
      </c>
      <c r="B341" s="1" t="n">
        <v>45547.37052083333</v>
      </c>
      <c r="C341" s="1" t="n">
        <v>45948</v>
      </c>
      <c r="D341" t="inlineStr">
        <is>
          <t>KALMAR LÄN</t>
        </is>
      </c>
      <c r="E341" t="inlineStr">
        <is>
          <t>HULTSFRED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54209-2021</t>
        </is>
      </c>
      <c r="B342" s="1" t="n">
        <v>44470</v>
      </c>
      <c r="C342" s="1" t="n">
        <v>45948</v>
      </c>
      <c r="D342" t="inlineStr">
        <is>
          <t>KALMAR LÄN</t>
        </is>
      </c>
      <c r="E342" t="inlineStr">
        <is>
          <t>HULTSFRED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55501-2023</t>
        </is>
      </c>
      <c r="B343" s="1" t="n">
        <v>45238</v>
      </c>
      <c r="C343" s="1" t="n">
        <v>45948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15270-2025</t>
        </is>
      </c>
      <c r="B344" s="1" t="n">
        <v>45744</v>
      </c>
      <c r="C344" s="1" t="n">
        <v>45948</v>
      </c>
      <c r="D344" t="inlineStr">
        <is>
          <t>KALMAR LÄN</t>
        </is>
      </c>
      <c r="E344" t="inlineStr">
        <is>
          <t>HULTSFRED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28254-2024</t>
        </is>
      </c>
      <c r="B345" s="1" t="n">
        <v>45477.42023148148</v>
      </c>
      <c r="C345" s="1" t="n">
        <v>45948</v>
      </c>
      <c r="D345" t="inlineStr">
        <is>
          <t>KALMAR LÄN</t>
        </is>
      </c>
      <c r="E345" t="inlineStr">
        <is>
          <t>HULTSFRED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44257-2024</t>
        </is>
      </c>
      <c r="B346" s="1" t="n">
        <v>45573.46162037037</v>
      </c>
      <c r="C346" s="1" t="n">
        <v>45948</v>
      </c>
      <c r="D346" t="inlineStr">
        <is>
          <t>KALMAR LÄN</t>
        </is>
      </c>
      <c r="E346" t="inlineStr">
        <is>
          <t>HULTSFRED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18321-2023</t>
        </is>
      </c>
      <c r="B347" s="1" t="n">
        <v>45041.6187037037</v>
      </c>
      <c r="C347" s="1" t="n">
        <v>45948</v>
      </c>
      <c r="D347" t="inlineStr">
        <is>
          <t>KALMAR LÄN</t>
        </is>
      </c>
      <c r="E347" t="inlineStr">
        <is>
          <t>HULTSFRED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25020-2023</t>
        </is>
      </c>
      <c r="B348" s="1" t="n">
        <v>45085</v>
      </c>
      <c r="C348" s="1" t="n">
        <v>45948</v>
      </c>
      <c r="D348" t="inlineStr">
        <is>
          <t>KALMAR LÄN</t>
        </is>
      </c>
      <c r="E348" t="inlineStr">
        <is>
          <t>HULTSFRED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3753-2025</t>
        </is>
      </c>
      <c r="B349" s="1" t="n">
        <v>45681.58489583333</v>
      </c>
      <c r="C349" s="1" t="n">
        <v>45948</v>
      </c>
      <c r="D349" t="inlineStr">
        <is>
          <t>KALMAR LÄN</t>
        </is>
      </c>
      <c r="E349" t="inlineStr">
        <is>
          <t>HULTSFRED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3762-2025</t>
        </is>
      </c>
      <c r="B350" s="1" t="n">
        <v>45681.59599537037</v>
      </c>
      <c r="C350" s="1" t="n">
        <v>45948</v>
      </c>
      <c r="D350" t="inlineStr">
        <is>
          <t>KALMAR LÄN</t>
        </is>
      </c>
      <c r="E350" t="inlineStr">
        <is>
          <t>HULTSFRED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14822-2025</t>
        </is>
      </c>
      <c r="B351" s="1" t="n">
        <v>45743.3609375</v>
      </c>
      <c r="C351" s="1" t="n">
        <v>45948</v>
      </c>
      <c r="D351" t="inlineStr">
        <is>
          <t>KALMAR LÄN</t>
        </is>
      </c>
      <c r="E351" t="inlineStr">
        <is>
          <t>HULTSFRED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9650-2021</t>
        </is>
      </c>
      <c r="B352" s="1" t="n">
        <v>44252</v>
      </c>
      <c r="C352" s="1" t="n">
        <v>45948</v>
      </c>
      <c r="D352" t="inlineStr">
        <is>
          <t>KALMAR LÄN</t>
        </is>
      </c>
      <c r="E352" t="inlineStr">
        <is>
          <t>HULTSFRED</t>
        </is>
      </c>
      <c r="F352" t="inlineStr">
        <is>
          <t>Sveaskog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58095-2023</t>
        </is>
      </c>
      <c r="B353" s="1" t="n">
        <v>45248.819375</v>
      </c>
      <c r="C353" s="1" t="n">
        <v>45948</v>
      </c>
      <c r="D353" t="inlineStr">
        <is>
          <t>KALMAR LÄN</t>
        </is>
      </c>
      <c r="E353" t="inlineStr">
        <is>
          <t>HULTSFRED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40009-2023</t>
        </is>
      </c>
      <c r="B354" s="1" t="n">
        <v>45168.62385416667</v>
      </c>
      <c r="C354" s="1" t="n">
        <v>45948</v>
      </c>
      <c r="D354" t="inlineStr">
        <is>
          <t>KALMAR LÄN</t>
        </is>
      </c>
      <c r="E354" t="inlineStr">
        <is>
          <t>HULTSFRED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44715-2023</t>
        </is>
      </c>
      <c r="B355" s="1" t="n">
        <v>45190.34791666667</v>
      </c>
      <c r="C355" s="1" t="n">
        <v>45948</v>
      </c>
      <c r="D355" t="inlineStr">
        <is>
          <t>KALMAR LÄN</t>
        </is>
      </c>
      <c r="E355" t="inlineStr">
        <is>
          <t>HULTSFRED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2267-2024</t>
        </is>
      </c>
      <c r="B356" s="1" t="n">
        <v>45310</v>
      </c>
      <c r="C356" s="1" t="n">
        <v>45948</v>
      </c>
      <c r="D356" t="inlineStr">
        <is>
          <t>KALMAR LÄN</t>
        </is>
      </c>
      <c r="E356" t="inlineStr">
        <is>
          <t>HULTSFRED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45658-2023</t>
        </is>
      </c>
      <c r="B357" s="1" t="n">
        <v>45194</v>
      </c>
      <c r="C357" s="1" t="n">
        <v>45948</v>
      </c>
      <c r="D357" t="inlineStr">
        <is>
          <t>KALMAR LÄN</t>
        </is>
      </c>
      <c r="E357" t="inlineStr">
        <is>
          <t>HULTSFRED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45047-2023</t>
        </is>
      </c>
      <c r="B358" s="1" t="n">
        <v>45191.34582175926</v>
      </c>
      <c r="C358" s="1" t="n">
        <v>45948</v>
      </c>
      <c r="D358" t="inlineStr">
        <is>
          <t>KALMAR LÄN</t>
        </is>
      </c>
      <c r="E358" t="inlineStr">
        <is>
          <t>HULTSFRED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6272-2025</t>
        </is>
      </c>
      <c r="B359" s="1" t="n">
        <v>45698.611875</v>
      </c>
      <c r="C359" s="1" t="n">
        <v>45948</v>
      </c>
      <c r="D359" t="inlineStr">
        <is>
          <t>KALMAR LÄN</t>
        </is>
      </c>
      <c r="E359" t="inlineStr">
        <is>
          <t>HULTSFRED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54944-2021</t>
        </is>
      </c>
      <c r="B360" s="1" t="n">
        <v>44474.46346064815</v>
      </c>
      <c r="C360" s="1" t="n">
        <v>45948</v>
      </c>
      <c r="D360" t="inlineStr">
        <is>
          <t>KALMAR LÄN</t>
        </is>
      </c>
      <c r="E360" t="inlineStr">
        <is>
          <t>HULTSFRED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28214-2024</t>
        </is>
      </c>
      <c r="B361" s="1" t="n">
        <v>45477.36236111111</v>
      </c>
      <c r="C361" s="1" t="n">
        <v>45948</v>
      </c>
      <c r="D361" t="inlineStr">
        <is>
          <t>KALMAR LÄN</t>
        </is>
      </c>
      <c r="E361" t="inlineStr">
        <is>
          <t>HULTSFRED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10998-2025</t>
        </is>
      </c>
      <c r="B362" s="1" t="n">
        <v>45723.44018518519</v>
      </c>
      <c r="C362" s="1" t="n">
        <v>45948</v>
      </c>
      <c r="D362" t="inlineStr">
        <is>
          <t>KALMAR LÄN</t>
        </is>
      </c>
      <c r="E362" t="inlineStr">
        <is>
          <t>HULTSFRED</t>
        </is>
      </c>
      <c r="F362" t="inlineStr">
        <is>
          <t>Sveaskog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68234-2020</t>
        </is>
      </c>
      <c r="B363" s="1" t="n">
        <v>44183.62951388889</v>
      </c>
      <c r="C363" s="1" t="n">
        <v>45948</v>
      </c>
      <c r="D363" t="inlineStr">
        <is>
          <t>KALMAR LÄN</t>
        </is>
      </c>
      <c r="E363" t="inlineStr">
        <is>
          <t>HULTSFRED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36663-2023</t>
        </is>
      </c>
      <c r="B364" s="1" t="n">
        <v>45153</v>
      </c>
      <c r="C364" s="1" t="n">
        <v>45948</v>
      </c>
      <c r="D364" t="inlineStr">
        <is>
          <t>KALMAR LÄN</t>
        </is>
      </c>
      <c r="E364" t="inlineStr">
        <is>
          <t>HULTSFRED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7348-2023</t>
        </is>
      </c>
      <c r="B365" s="1" t="n">
        <v>44971.36787037037</v>
      </c>
      <c r="C365" s="1" t="n">
        <v>45948</v>
      </c>
      <c r="D365" t="inlineStr">
        <is>
          <t>KALMAR LÄN</t>
        </is>
      </c>
      <c r="E365" t="inlineStr">
        <is>
          <t>HULTSFRED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2857-2024</t>
        </is>
      </c>
      <c r="B366" s="1" t="n">
        <v>45315.42144675926</v>
      </c>
      <c r="C366" s="1" t="n">
        <v>45948</v>
      </c>
      <c r="D366" t="inlineStr">
        <is>
          <t>KALMAR LÄN</t>
        </is>
      </c>
      <c r="E366" t="inlineStr">
        <is>
          <t>HULTSFRED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4974-2023</t>
        </is>
      </c>
      <c r="B367" s="1" t="n">
        <v>44958.45834490741</v>
      </c>
      <c r="C367" s="1" t="n">
        <v>45948</v>
      </c>
      <c r="D367" t="inlineStr">
        <is>
          <t>KALMAR LÄN</t>
        </is>
      </c>
      <c r="E367" t="inlineStr">
        <is>
          <t>HULTSFRED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42229-2023</t>
        </is>
      </c>
      <c r="B368" s="1" t="n">
        <v>45180</v>
      </c>
      <c r="C368" s="1" t="n">
        <v>45948</v>
      </c>
      <c r="D368" t="inlineStr">
        <is>
          <t>KALMAR LÄN</t>
        </is>
      </c>
      <c r="E368" t="inlineStr">
        <is>
          <t>HULTSFRED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7078-2023</t>
        </is>
      </c>
      <c r="B369" s="1" t="n">
        <v>44970.31702546297</v>
      </c>
      <c r="C369" s="1" t="n">
        <v>45948</v>
      </c>
      <c r="D369" t="inlineStr">
        <is>
          <t>KALMAR LÄN</t>
        </is>
      </c>
      <c r="E369" t="inlineStr">
        <is>
          <t>HULTSFRED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63867-2023</t>
        </is>
      </c>
      <c r="B370" s="1" t="n">
        <v>45278.50741898148</v>
      </c>
      <c r="C370" s="1" t="n">
        <v>45948</v>
      </c>
      <c r="D370" t="inlineStr">
        <is>
          <t>KALMAR LÄN</t>
        </is>
      </c>
      <c r="E370" t="inlineStr">
        <is>
          <t>HULTSFRED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53990-2022</t>
        </is>
      </c>
      <c r="B371" s="1" t="n">
        <v>44881.37020833333</v>
      </c>
      <c r="C371" s="1" t="n">
        <v>45948</v>
      </c>
      <c r="D371" t="inlineStr">
        <is>
          <t>KALMAR LÄN</t>
        </is>
      </c>
      <c r="E371" t="inlineStr">
        <is>
          <t>HULTSFRED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62478-2023</t>
        </is>
      </c>
      <c r="B372" s="1" t="n">
        <v>45268.57443287037</v>
      </c>
      <c r="C372" s="1" t="n">
        <v>45948</v>
      </c>
      <c r="D372" t="inlineStr">
        <is>
          <t>KALMAR LÄN</t>
        </is>
      </c>
      <c r="E372" t="inlineStr">
        <is>
          <t>HULTSFRED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59467-2024</t>
        </is>
      </c>
      <c r="B373" s="1" t="n">
        <v>45638.49185185185</v>
      </c>
      <c r="C373" s="1" t="n">
        <v>45948</v>
      </c>
      <c r="D373" t="inlineStr">
        <is>
          <t>KALMAR LÄN</t>
        </is>
      </c>
      <c r="E373" t="inlineStr">
        <is>
          <t>HULTSFRED</t>
        </is>
      </c>
      <c r="F373" t="inlineStr">
        <is>
          <t>Sveaskog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50320-2023</t>
        </is>
      </c>
      <c r="B374" s="1" t="n">
        <v>45216.54601851852</v>
      </c>
      <c r="C374" s="1" t="n">
        <v>45948</v>
      </c>
      <c r="D374" t="inlineStr">
        <is>
          <t>KALMAR LÄN</t>
        </is>
      </c>
      <c r="E374" t="inlineStr">
        <is>
          <t>HULTSFRED</t>
        </is>
      </c>
      <c r="G374" t="n">
        <v>3.8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34289-2024</t>
        </is>
      </c>
      <c r="B375" s="1" t="n">
        <v>45524.63563657407</v>
      </c>
      <c r="C375" s="1" t="n">
        <v>45948</v>
      </c>
      <c r="D375" t="inlineStr">
        <is>
          <t>KALMAR LÄN</t>
        </is>
      </c>
      <c r="E375" t="inlineStr">
        <is>
          <t>HULTSFRED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115-2023</t>
        </is>
      </c>
      <c r="B376" s="1" t="n">
        <v>44928.49331018519</v>
      </c>
      <c r="C376" s="1" t="n">
        <v>45948</v>
      </c>
      <c r="D376" t="inlineStr">
        <is>
          <t>KALMAR LÄN</t>
        </is>
      </c>
      <c r="E376" t="inlineStr">
        <is>
          <t>HULTSFRED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16879-2025</t>
        </is>
      </c>
      <c r="B377" s="1" t="n">
        <v>45755.29387731481</v>
      </c>
      <c r="C377" s="1" t="n">
        <v>45948</v>
      </c>
      <c r="D377" t="inlineStr">
        <is>
          <t>KALMAR LÄN</t>
        </is>
      </c>
      <c r="E377" t="inlineStr">
        <is>
          <t>HULTSFRED</t>
        </is>
      </c>
      <c r="F377" t="inlineStr">
        <is>
          <t>Sveaskog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61509-2024</t>
        </is>
      </c>
      <c r="B378" s="1" t="n">
        <v>45646.56480324074</v>
      </c>
      <c r="C378" s="1" t="n">
        <v>45948</v>
      </c>
      <c r="D378" t="inlineStr">
        <is>
          <t>KALMAR LÄN</t>
        </is>
      </c>
      <c r="E378" t="inlineStr">
        <is>
          <t>HULTSFRED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47033-2025</t>
        </is>
      </c>
      <c r="B379" s="1" t="n">
        <v>45929.59108796297</v>
      </c>
      <c r="C379" s="1" t="n">
        <v>45948</v>
      </c>
      <c r="D379" t="inlineStr">
        <is>
          <t>KALMAR LÄN</t>
        </is>
      </c>
      <c r="E379" t="inlineStr">
        <is>
          <t>HULTSFRED</t>
        </is>
      </c>
      <c r="F379" t="inlineStr">
        <is>
          <t>Övriga Aktiebolag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14726-2025</t>
        </is>
      </c>
      <c r="B380" s="1" t="n">
        <v>45742.63379629629</v>
      </c>
      <c r="C380" s="1" t="n">
        <v>45948</v>
      </c>
      <c r="D380" t="inlineStr">
        <is>
          <t>KALMAR LÄN</t>
        </is>
      </c>
      <c r="E380" t="inlineStr">
        <is>
          <t>HULTSFRED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1065-2024</t>
        </is>
      </c>
      <c r="B381" s="1" t="n">
        <v>45302.27971064814</v>
      </c>
      <c r="C381" s="1" t="n">
        <v>45948</v>
      </c>
      <c r="D381" t="inlineStr">
        <is>
          <t>KALMAR LÄN</t>
        </is>
      </c>
      <c r="E381" t="inlineStr">
        <is>
          <t>HULTSFRED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59548-2024</t>
        </is>
      </c>
      <c r="B382" s="1" t="n">
        <v>45637</v>
      </c>
      <c r="C382" s="1" t="n">
        <v>45948</v>
      </c>
      <c r="D382" t="inlineStr">
        <is>
          <t>KALMAR LÄN</t>
        </is>
      </c>
      <c r="E382" t="inlineStr">
        <is>
          <t>HULTSFRED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57004-2024</t>
        </is>
      </c>
      <c r="B383" s="1" t="n">
        <v>45628.73400462963</v>
      </c>
      <c r="C383" s="1" t="n">
        <v>45948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47045-2025</t>
        </is>
      </c>
      <c r="B384" s="1" t="n">
        <v>45929.60376157407</v>
      </c>
      <c r="C384" s="1" t="n">
        <v>45948</v>
      </c>
      <c r="D384" t="inlineStr">
        <is>
          <t>KALMAR LÄN</t>
        </is>
      </c>
      <c r="E384" t="inlineStr">
        <is>
          <t>HULTSFRED</t>
        </is>
      </c>
      <c r="F384" t="inlineStr">
        <is>
          <t>Övriga Aktiebolag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5000-2025</t>
        </is>
      </c>
      <c r="B385" s="1" t="n">
        <v>45691.36315972222</v>
      </c>
      <c r="C385" s="1" t="n">
        <v>45948</v>
      </c>
      <c r="D385" t="inlineStr">
        <is>
          <t>KALMAR LÄN</t>
        </is>
      </c>
      <c r="E385" t="inlineStr">
        <is>
          <t>HULTSFRED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68818-2021</t>
        </is>
      </c>
      <c r="B386" s="1" t="n">
        <v>44530.34732638889</v>
      </c>
      <c r="C386" s="1" t="n">
        <v>45948</v>
      </c>
      <c r="D386" t="inlineStr">
        <is>
          <t>KALMAR LÄN</t>
        </is>
      </c>
      <c r="E386" t="inlineStr">
        <is>
          <t>HULTSFRED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68824-2021</t>
        </is>
      </c>
      <c r="B387" s="1" t="n">
        <v>44530.35085648148</v>
      </c>
      <c r="C387" s="1" t="n">
        <v>45948</v>
      </c>
      <c r="D387" t="inlineStr">
        <is>
          <t>KALMAR LÄN</t>
        </is>
      </c>
      <c r="E387" t="inlineStr">
        <is>
          <t>HULTSFRED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42740-2024</t>
        </is>
      </c>
      <c r="B388" s="1" t="n">
        <v>45566.4780787037</v>
      </c>
      <c r="C388" s="1" t="n">
        <v>45948</v>
      </c>
      <c r="D388" t="inlineStr">
        <is>
          <t>KALMAR LÄN</t>
        </is>
      </c>
      <c r="E388" t="inlineStr">
        <is>
          <t>HULTSFRED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8334-2024</t>
        </is>
      </c>
      <c r="B389" s="1" t="n">
        <v>45352.51495370371</v>
      </c>
      <c r="C389" s="1" t="n">
        <v>45948</v>
      </c>
      <c r="D389" t="inlineStr">
        <is>
          <t>KALMAR LÄN</t>
        </is>
      </c>
      <c r="E389" t="inlineStr">
        <is>
          <t>HULTSFRED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42747-2024</t>
        </is>
      </c>
      <c r="B390" s="1" t="n">
        <v>45566.48396990741</v>
      </c>
      <c r="C390" s="1" t="n">
        <v>45948</v>
      </c>
      <c r="D390" t="inlineStr">
        <is>
          <t>KALMAR LÄN</t>
        </is>
      </c>
      <c r="E390" t="inlineStr">
        <is>
          <t>HULTSFRED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42749-2024</t>
        </is>
      </c>
      <c r="B391" s="1" t="n">
        <v>45566.48729166666</v>
      </c>
      <c r="C391" s="1" t="n">
        <v>45948</v>
      </c>
      <c r="D391" t="inlineStr">
        <is>
          <t>KALMAR LÄN</t>
        </is>
      </c>
      <c r="E391" t="inlineStr">
        <is>
          <t>HULTSFRED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9483-2025</t>
        </is>
      </c>
      <c r="B392" s="1" t="n">
        <v>45715.48555555556</v>
      </c>
      <c r="C392" s="1" t="n">
        <v>45948</v>
      </c>
      <c r="D392" t="inlineStr">
        <is>
          <t>KALMAR LÄN</t>
        </is>
      </c>
      <c r="E392" t="inlineStr">
        <is>
          <t>HULTSFRED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28666-2023</t>
        </is>
      </c>
      <c r="B393" s="1" t="n">
        <v>45103</v>
      </c>
      <c r="C393" s="1" t="n">
        <v>45948</v>
      </c>
      <c r="D393" t="inlineStr">
        <is>
          <t>KALMAR LÄN</t>
        </is>
      </c>
      <c r="E393" t="inlineStr">
        <is>
          <t>HULTSFRED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58825-2022</t>
        </is>
      </c>
      <c r="B394" s="1" t="n">
        <v>44903.47134259259</v>
      </c>
      <c r="C394" s="1" t="n">
        <v>45948</v>
      </c>
      <c r="D394" t="inlineStr">
        <is>
          <t>KALMAR LÄN</t>
        </is>
      </c>
      <c r="E394" t="inlineStr">
        <is>
          <t>HULTSFRED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7335-2025</t>
        </is>
      </c>
      <c r="B395" s="1" t="n">
        <v>45703.40652777778</v>
      </c>
      <c r="C395" s="1" t="n">
        <v>45948</v>
      </c>
      <c r="D395" t="inlineStr">
        <is>
          <t>KALMAR LÄN</t>
        </is>
      </c>
      <c r="E395" t="inlineStr">
        <is>
          <t>HULTSFRED</t>
        </is>
      </c>
      <c r="F395" t="inlineStr">
        <is>
          <t>Sveaskog</t>
        </is>
      </c>
      <c r="G395" t="n">
        <v>4.4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43560-2023</t>
        </is>
      </c>
      <c r="B396" s="1" t="n">
        <v>45184</v>
      </c>
      <c r="C396" s="1" t="n">
        <v>45948</v>
      </c>
      <c r="D396" t="inlineStr">
        <is>
          <t>KALMAR LÄN</t>
        </is>
      </c>
      <c r="E396" t="inlineStr">
        <is>
          <t>HULTSFRED</t>
        </is>
      </c>
      <c r="G396" t="n">
        <v>10.2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26909-2022</t>
        </is>
      </c>
      <c r="B397" s="1" t="n">
        <v>44740.59510416666</v>
      </c>
      <c r="C397" s="1" t="n">
        <v>45948</v>
      </c>
      <c r="D397" t="inlineStr">
        <is>
          <t>KALMAR LÄN</t>
        </is>
      </c>
      <c r="E397" t="inlineStr">
        <is>
          <t>HULTSFRED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10904-2024</t>
        </is>
      </c>
      <c r="B398" s="1" t="n">
        <v>45370.3781712963</v>
      </c>
      <c r="C398" s="1" t="n">
        <v>45948</v>
      </c>
      <c r="D398" t="inlineStr">
        <is>
          <t>KALMAR LÄN</t>
        </is>
      </c>
      <c r="E398" t="inlineStr">
        <is>
          <t>HULTSFRED</t>
        </is>
      </c>
      <c r="G398" t="n">
        <v>7.8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15018-2024</t>
        </is>
      </c>
      <c r="B399" s="1" t="n">
        <v>45399.44796296296</v>
      </c>
      <c r="C399" s="1" t="n">
        <v>45948</v>
      </c>
      <c r="D399" t="inlineStr">
        <is>
          <t>KALMAR LÄN</t>
        </is>
      </c>
      <c r="E399" t="inlineStr">
        <is>
          <t>HULTSFRED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12339-2025</t>
        </is>
      </c>
      <c r="B400" s="1" t="n">
        <v>45730.33476851852</v>
      </c>
      <c r="C400" s="1" t="n">
        <v>45948</v>
      </c>
      <c r="D400" t="inlineStr">
        <is>
          <t>KALMAR LÄN</t>
        </is>
      </c>
      <c r="E400" t="inlineStr">
        <is>
          <t>HULTSFRED</t>
        </is>
      </c>
      <c r="F400" t="inlineStr">
        <is>
          <t>Sveaskog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3403-2024</t>
        </is>
      </c>
      <c r="B401" s="1" t="n">
        <v>45318.64234953704</v>
      </c>
      <c r="C401" s="1" t="n">
        <v>45948</v>
      </c>
      <c r="D401" t="inlineStr">
        <is>
          <t>KALMAR LÄN</t>
        </is>
      </c>
      <c r="E401" t="inlineStr">
        <is>
          <t>HULTSFRED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19117-2024</t>
        </is>
      </c>
      <c r="B402" s="1" t="n">
        <v>45427</v>
      </c>
      <c r="C402" s="1" t="n">
        <v>45948</v>
      </c>
      <c r="D402" t="inlineStr">
        <is>
          <t>KALMAR LÄN</t>
        </is>
      </c>
      <c r="E402" t="inlineStr">
        <is>
          <t>HULTSFRED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55674-2023</t>
        </is>
      </c>
      <c r="B403" s="1" t="n">
        <v>45239.30261574074</v>
      </c>
      <c r="C403" s="1" t="n">
        <v>45948</v>
      </c>
      <c r="D403" t="inlineStr">
        <is>
          <t>KALMAR LÄN</t>
        </is>
      </c>
      <c r="E403" t="inlineStr">
        <is>
          <t>HULTSFRED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33440-2023</t>
        </is>
      </c>
      <c r="B404" s="1" t="n">
        <v>45129.79834490741</v>
      </c>
      <c r="C404" s="1" t="n">
        <v>45948</v>
      </c>
      <c r="D404" t="inlineStr">
        <is>
          <t>KALMAR LÄN</t>
        </is>
      </c>
      <c r="E404" t="inlineStr">
        <is>
          <t>HULTSFRED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28216-2024</t>
        </is>
      </c>
      <c r="B405" s="1" t="n">
        <v>45477.36623842592</v>
      </c>
      <c r="C405" s="1" t="n">
        <v>45948</v>
      </c>
      <c r="D405" t="inlineStr">
        <is>
          <t>KALMAR LÄN</t>
        </is>
      </c>
      <c r="E405" t="inlineStr">
        <is>
          <t>HULTSFRED</t>
        </is>
      </c>
      <c r="G405" t="n">
        <v>7.4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9387-2023</t>
        </is>
      </c>
      <c r="B406" s="1" t="n">
        <v>44981.40186342593</v>
      </c>
      <c r="C406" s="1" t="n">
        <v>45948</v>
      </c>
      <c r="D406" t="inlineStr">
        <is>
          <t>KALMAR LÄN</t>
        </is>
      </c>
      <c r="E406" t="inlineStr">
        <is>
          <t>HULTSFRED</t>
        </is>
      </c>
      <c r="G406" t="n">
        <v>7.6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37916-2022</t>
        </is>
      </c>
      <c r="B407" s="1" t="n">
        <v>44811.44258101852</v>
      </c>
      <c r="C407" s="1" t="n">
        <v>45948</v>
      </c>
      <c r="D407" t="inlineStr">
        <is>
          <t>KALMAR LÄN</t>
        </is>
      </c>
      <c r="E407" t="inlineStr">
        <is>
          <t>HULTSFRED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32381-2024</t>
        </is>
      </c>
      <c r="B408" s="1" t="n">
        <v>45512</v>
      </c>
      <c r="C408" s="1" t="n">
        <v>45948</v>
      </c>
      <c r="D408" t="inlineStr">
        <is>
          <t>KALMAR LÄN</t>
        </is>
      </c>
      <c r="E408" t="inlineStr">
        <is>
          <t>HULTSFRED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3337-2023</t>
        </is>
      </c>
      <c r="B409" s="1" t="n">
        <v>44949.44762731482</v>
      </c>
      <c r="C409" s="1" t="n">
        <v>45948</v>
      </c>
      <c r="D409" t="inlineStr">
        <is>
          <t>KALMAR LÄN</t>
        </is>
      </c>
      <c r="E409" t="inlineStr">
        <is>
          <t>HULTSFRED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15636-2025</t>
        </is>
      </c>
      <c r="B410" s="1" t="n">
        <v>45748.37739583333</v>
      </c>
      <c r="C410" s="1" t="n">
        <v>45948</v>
      </c>
      <c r="D410" t="inlineStr">
        <is>
          <t>KALMAR LÄN</t>
        </is>
      </c>
      <c r="E410" t="inlineStr">
        <is>
          <t>HULTSFRED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66722-2021</t>
        </is>
      </c>
      <c r="B411" s="1" t="n">
        <v>44519.98293981481</v>
      </c>
      <c r="C411" s="1" t="n">
        <v>45948</v>
      </c>
      <c r="D411" t="inlineStr">
        <is>
          <t>KALMAR LÄN</t>
        </is>
      </c>
      <c r="E411" t="inlineStr">
        <is>
          <t>HULTSFRED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5794-2024</t>
        </is>
      </c>
      <c r="B412" s="1" t="n">
        <v>45335.45155092593</v>
      </c>
      <c r="C412" s="1" t="n">
        <v>45948</v>
      </c>
      <c r="D412" t="inlineStr">
        <is>
          <t>KALMAR LÄN</t>
        </is>
      </c>
      <c r="E412" t="inlineStr">
        <is>
          <t>HULTSFRED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54369-2021</t>
        </is>
      </c>
      <c r="B413" s="1" t="n">
        <v>44473</v>
      </c>
      <c r="C413" s="1" t="n">
        <v>45948</v>
      </c>
      <c r="D413" t="inlineStr">
        <is>
          <t>KALMAR LÄN</t>
        </is>
      </c>
      <c r="E413" t="inlineStr">
        <is>
          <t>HULTSFRED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61104-2020</t>
        </is>
      </c>
      <c r="B414" s="1" t="n">
        <v>44154</v>
      </c>
      <c r="C414" s="1" t="n">
        <v>45948</v>
      </c>
      <c r="D414" t="inlineStr">
        <is>
          <t>KALMAR LÄN</t>
        </is>
      </c>
      <c r="E414" t="inlineStr">
        <is>
          <t>HULTSFRED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19679-2024</t>
        </is>
      </c>
      <c r="B415" s="1" t="n">
        <v>45432</v>
      </c>
      <c r="C415" s="1" t="n">
        <v>45948</v>
      </c>
      <c r="D415" t="inlineStr">
        <is>
          <t>KALMAR LÄN</t>
        </is>
      </c>
      <c r="E415" t="inlineStr">
        <is>
          <t>HULTSFRED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11883-2024</t>
        </is>
      </c>
      <c r="B416" s="1" t="n">
        <v>45376.49780092593</v>
      </c>
      <c r="C416" s="1" t="n">
        <v>45948</v>
      </c>
      <c r="D416" t="inlineStr">
        <is>
          <t>KALMAR LÄN</t>
        </is>
      </c>
      <c r="E416" t="inlineStr">
        <is>
          <t>HULTSFRED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70600-2021</t>
        </is>
      </c>
      <c r="B417" s="1" t="n">
        <v>44537.4409375</v>
      </c>
      <c r="C417" s="1" t="n">
        <v>45948</v>
      </c>
      <c r="D417" t="inlineStr">
        <is>
          <t>KALMAR LÄN</t>
        </is>
      </c>
      <c r="E417" t="inlineStr">
        <is>
          <t>HULTSFRED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24258-2022</t>
        </is>
      </c>
      <c r="B418" s="1" t="n">
        <v>44725</v>
      </c>
      <c r="C418" s="1" t="n">
        <v>45948</v>
      </c>
      <c r="D418" t="inlineStr">
        <is>
          <t>KALMAR LÄN</t>
        </is>
      </c>
      <c r="E418" t="inlineStr">
        <is>
          <t>HULTSFRED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16888-2025</t>
        </is>
      </c>
      <c r="B419" s="1" t="n">
        <v>45755.30921296297</v>
      </c>
      <c r="C419" s="1" t="n">
        <v>45948</v>
      </c>
      <c r="D419" t="inlineStr">
        <is>
          <t>KALMAR LÄN</t>
        </is>
      </c>
      <c r="E419" t="inlineStr">
        <is>
          <t>HULTSFRED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16889-2025</t>
        </is>
      </c>
      <c r="B420" s="1" t="n">
        <v>45755.31265046296</v>
      </c>
      <c r="C420" s="1" t="n">
        <v>45948</v>
      </c>
      <c r="D420" t="inlineStr">
        <is>
          <t>KALMAR LÄN</t>
        </is>
      </c>
      <c r="E420" t="inlineStr">
        <is>
          <t>HULTSFRED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1033-2023</t>
        </is>
      </c>
      <c r="B421" s="1" t="n">
        <v>44935</v>
      </c>
      <c r="C421" s="1" t="n">
        <v>45948</v>
      </c>
      <c r="D421" t="inlineStr">
        <is>
          <t>KALMAR LÄN</t>
        </is>
      </c>
      <c r="E421" t="inlineStr">
        <is>
          <t>HULTSFRED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14408-2025</t>
        </is>
      </c>
      <c r="B422" s="1" t="n">
        <v>45741.47209490741</v>
      </c>
      <c r="C422" s="1" t="n">
        <v>45948</v>
      </c>
      <c r="D422" t="inlineStr">
        <is>
          <t>KALMAR LÄN</t>
        </is>
      </c>
      <c r="E422" t="inlineStr">
        <is>
          <t>HULTSFRED</t>
        </is>
      </c>
      <c r="F422" t="inlineStr">
        <is>
          <t>Sveaskog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14411-2025</t>
        </is>
      </c>
      <c r="B423" s="1" t="n">
        <v>45741.47322916667</v>
      </c>
      <c r="C423" s="1" t="n">
        <v>45948</v>
      </c>
      <c r="D423" t="inlineStr">
        <is>
          <t>KALMAR LÄN</t>
        </is>
      </c>
      <c r="E423" t="inlineStr">
        <is>
          <t>HULTSFRED</t>
        </is>
      </c>
      <c r="F423" t="inlineStr">
        <is>
          <t>Sveaskog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36092-2023</t>
        </is>
      </c>
      <c r="B424" s="1" t="n">
        <v>45149</v>
      </c>
      <c r="C424" s="1" t="n">
        <v>45948</v>
      </c>
      <c r="D424" t="inlineStr">
        <is>
          <t>KALMAR LÄN</t>
        </is>
      </c>
      <c r="E424" t="inlineStr">
        <is>
          <t>HULTSFRED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31423-2024</t>
        </is>
      </c>
      <c r="B425" s="1" t="n">
        <v>45505</v>
      </c>
      <c r="C425" s="1" t="n">
        <v>45948</v>
      </c>
      <c r="D425" t="inlineStr">
        <is>
          <t>KALMAR LÄN</t>
        </is>
      </c>
      <c r="E425" t="inlineStr">
        <is>
          <t>HULTSFRED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2776-2025</t>
        </is>
      </c>
      <c r="B426" s="1" t="n">
        <v>45677</v>
      </c>
      <c r="C426" s="1" t="n">
        <v>45948</v>
      </c>
      <c r="D426" t="inlineStr">
        <is>
          <t>KALMAR LÄN</t>
        </is>
      </c>
      <c r="E426" t="inlineStr">
        <is>
          <t>HULTSFRED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28644-2023</t>
        </is>
      </c>
      <c r="B427" s="1" t="n">
        <v>45103.64168981482</v>
      </c>
      <c r="C427" s="1" t="n">
        <v>45948</v>
      </c>
      <c r="D427" t="inlineStr">
        <is>
          <t>KALMAR LÄN</t>
        </is>
      </c>
      <c r="E427" t="inlineStr">
        <is>
          <t>HULTSFRED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46457-2023</t>
        </is>
      </c>
      <c r="B428" s="1" t="n">
        <v>45197.60594907407</v>
      </c>
      <c r="C428" s="1" t="n">
        <v>45948</v>
      </c>
      <c r="D428" t="inlineStr">
        <is>
          <t>KALMAR LÄN</t>
        </is>
      </c>
      <c r="E428" t="inlineStr">
        <is>
          <t>HULTSFRED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12328-2023</t>
        </is>
      </c>
      <c r="B429" s="1" t="n">
        <v>44999.36128472222</v>
      </c>
      <c r="C429" s="1" t="n">
        <v>45948</v>
      </c>
      <c r="D429" t="inlineStr">
        <is>
          <t>KALMAR LÄN</t>
        </is>
      </c>
      <c r="E429" t="inlineStr">
        <is>
          <t>HULTSFRED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56100-2024</t>
        </is>
      </c>
      <c r="B430" s="1" t="n">
        <v>45624.42489583333</v>
      </c>
      <c r="C430" s="1" t="n">
        <v>45948</v>
      </c>
      <c r="D430" t="inlineStr">
        <is>
          <t>KALMAR LÄN</t>
        </is>
      </c>
      <c r="E430" t="inlineStr">
        <is>
          <t>HULTSFRED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36187-2023</t>
        </is>
      </c>
      <c r="B431" s="1" t="n">
        <v>45149</v>
      </c>
      <c r="C431" s="1" t="n">
        <v>45948</v>
      </c>
      <c r="D431" t="inlineStr">
        <is>
          <t>KALMAR LÄN</t>
        </is>
      </c>
      <c r="E431" t="inlineStr">
        <is>
          <t>HULTSFRED</t>
        </is>
      </c>
      <c r="G431" t="n">
        <v>4.9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17330-2024</t>
        </is>
      </c>
      <c r="B432" s="1" t="n">
        <v>45414</v>
      </c>
      <c r="C432" s="1" t="n">
        <v>45948</v>
      </c>
      <c r="D432" t="inlineStr">
        <is>
          <t>KALMAR LÄN</t>
        </is>
      </c>
      <c r="E432" t="inlineStr">
        <is>
          <t>HULTSFRED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20036-2023</t>
        </is>
      </c>
      <c r="B433" s="1" t="n">
        <v>45054</v>
      </c>
      <c r="C433" s="1" t="n">
        <v>45948</v>
      </c>
      <c r="D433" t="inlineStr">
        <is>
          <t>KALMAR LÄN</t>
        </is>
      </c>
      <c r="E433" t="inlineStr">
        <is>
          <t>HULTSFRED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47040-2025</t>
        </is>
      </c>
      <c r="B434" s="1" t="n">
        <v>45929.59570601852</v>
      </c>
      <c r="C434" s="1" t="n">
        <v>45948</v>
      </c>
      <c r="D434" t="inlineStr">
        <is>
          <t>KALMAR LÄN</t>
        </is>
      </c>
      <c r="E434" t="inlineStr">
        <is>
          <t>HULTSFRED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47041-2025</t>
        </is>
      </c>
      <c r="B435" s="1" t="n">
        <v>45929.59836805556</v>
      </c>
      <c r="C435" s="1" t="n">
        <v>45948</v>
      </c>
      <c r="D435" t="inlineStr">
        <is>
          <t>KALMAR LÄN</t>
        </is>
      </c>
      <c r="E435" t="inlineStr">
        <is>
          <t>HULTSFRED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47042-2025</t>
        </is>
      </c>
      <c r="B436" s="1" t="n">
        <v>45929.60078703704</v>
      </c>
      <c r="C436" s="1" t="n">
        <v>45948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47064-2025</t>
        </is>
      </c>
      <c r="B437" s="1" t="n">
        <v>45929.63125</v>
      </c>
      <c r="C437" s="1" t="n">
        <v>45948</v>
      </c>
      <c r="D437" t="inlineStr">
        <is>
          <t>KALMAR LÄN</t>
        </is>
      </c>
      <c r="E437" t="inlineStr">
        <is>
          <t>HULTSFRED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112-2023</t>
        </is>
      </c>
      <c r="B438" s="1" t="n">
        <v>44928.4900462963</v>
      </c>
      <c r="C438" s="1" t="n">
        <v>45948</v>
      </c>
      <c r="D438" t="inlineStr">
        <is>
          <t>KALMAR LÄN</t>
        </is>
      </c>
      <c r="E438" t="inlineStr">
        <is>
          <t>HULTSFRED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144-2023</t>
        </is>
      </c>
      <c r="B439" s="1" t="n">
        <v>44928</v>
      </c>
      <c r="C439" s="1" t="n">
        <v>45948</v>
      </c>
      <c r="D439" t="inlineStr">
        <is>
          <t>KALMAR LÄN</t>
        </is>
      </c>
      <c r="E439" t="inlineStr">
        <is>
          <t>HULTSFRED</t>
        </is>
      </c>
      <c r="F439" t="inlineStr">
        <is>
          <t>Sveaskog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62810-2023</t>
        </is>
      </c>
      <c r="B440" s="1" t="n">
        <v>45271.88459490741</v>
      </c>
      <c r="C440" s="1" t="n">
        <v>45948</v>
      </c>
      <c r="D440" t="inlineStr">
        <is>
          <t>KALMAR LÄN</t>
        </is>
      </c>
      <c r="E440" t="inlineStr">
        <is>
          <t>HULTSFRED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42460-2023</t>
        </is>
      </c>
      <c r="B441" s="1" t="n">
        <v>45175</v>
      </c>
      <c r="C441" s="1" t="n">
        <v>45948</v>
      </c>
      <c r="D441" t="inlineStr">
        <is>
          <t>KALMAR LÄN</t>
        </is>
      </c>
      <c r="E441" t="inlineStr">
        <is>
          <t>HULTSFRED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42743-2024</t>
        </is>
      </c>
      <c r="B442" s="1" t="n">
        <v>45566.4808449074</v>
      </c>
      <c r="C442" s="1" t="n">
        <v>45948</v>
      </c>
      <c r="D442" t="inlineStr">
        <is>
          <t>KALMAR LÄN</t>
        </is>
      </c>
      <c r="E442" t="inlineStr">
        <is>
          <t>HULTSFRED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38651-2025</t>
        </is>
      </c>
      <c r="B443" s="1" t="n">
        <v>45884.5909375</v>
      </c>
      <c r="C443" s="1" t="n">
        <v>45948</v>
      </c>
      <c r="D443" t="inlineStr">
        <is>
          <t>KALMAR LÄN</t>
        </is>
      </c>
      <c r="E443" t="inlineStr">
        <is>
          <t>HULTSFRED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53191-2023</t>
        </is>
      </c>
      <c r="B444" s="1" t="n">
        <v>45229</v>
      </c>
      <c r="C444" s="1" t="n">
        <v>45948</v>
      </c>
      <c r="D444" t="inlineStr">
        <is>
          <t>KALMAR LÄN</t>
        </is>
      </c>
      <c r="E444" t="inlineStr">
        <is>
          <t>HULTSFRED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41694-2022</t>
        </is>
      </c>
      <c r="B445" s="1" t="n">
        <v>44827</v>
      </c>
      <c r="C445" s="1" t="n">
        <v>45948</v>
      </c>
      <c r="D445" t="inlineStr">
        <is>
          <t>KALMAR LÄN</t>
        </is>
      </c>
      <c r="E445" t="inlineStr">
        <is>
          <t>HULTSFRED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44196-2023</t>
        </is>
      </c>
      <c r="B446" s="1" t="n">
        <v>45188.538125</v>
      </c>
      <c r="C446" s="1" t="n">
        <v>45948</v>
      </c>
      <c r="D446" t="inlineStr">
        <is>
          <t>KALMAR LÄN</t>
        </is>
      </c>
      <c r="E446" t="inlineStr">
        <is>
          <t>HULTSFRED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36692-2023</t>
        </is>
      </c>
      <c r="B447" s="1" t="n">
        <v>45153.62142361111</v>
      </c>
      <c r="C447" s="1" t="n">
        <v>45948</v>
      </c>
      <c r="D447" t="inlineStr">
        <is>
          <t>KALMAR LÄN</t>
        </is>
      </c>
      <c r="E447" t="inlineStr">
        <is>
          <t>HULTSFRED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26895-2021</t>
        </is>
      </c>
      <c r="B448" s="1" t="n">
        <v>44349</v>
      </c>
      <c r="C448" s="1" t="n">
        <v>45948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61838-2023</t>
        </is>
      </c>
      <c r="B449" s="1" t="n">
        <v>45266.36511574074</v>
      </c>
      <c r="C449" s="1" t="n">
        <v>45948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43632-2023</t>
        </is>
      </c>
      <c r="B450" s="1" t="n">
        <v>45185</v>
      </c>
      <c r="C450" s="1" t="n">
        <v>45948</v>
      </c>
      <c r="D450" t="inlineStr">
        <is>
          <t>KALMAR LÄN</t>
        </is>
      </c>
      <c r="E450" t="inlineStr">
        <is>
          <t>HULTSFRED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54525-2020</t>
        </is>
      </c>
      <c r="B451" s="1" t="n">
        <v>44126</v>
      </c>
      <c r="C451" s="1" t="n">
        <v>45948</v>
      </c>
      <c r="D451" t="inlineStr">
        <is>
          <t>KALMAR LÄN</t>
        </is>
      </c>
      <c r="E451" t="inlineStr">
        <is>
          <t>HULTSFRED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7753-2025</t>
        </is>
      </c>
      <c r="B452" s="1" t="n">
        <v>45706.50239583333</v>
      </c>
      <c r="C452" s="1" t="n">
        <v>45948</v>
      </c>
      <c r="D452" t="inlineStr">
        <is>
          <t>KALMAR LÄN</t>
        </is>
      </c>
      <c r="E452" t="inlineStr">
        <is>
          <t>HULTSFRED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46415-2023</t>
        </is>
      </c>
      <c r="B453" s="1" t="n">
        <v>45194</v>
      </c>
      <c r="C453" s="1" t="n">
        <v>45948</v>
      </c>
      <c r="D453" t="inlineStr">
        <is>
          <t>KALMAR LÄN</t>
        </is>
      </c>
      <c r="E453" t="inlineStr">
        <is>
          <t>HULTSFRED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19479-2023</t>
        </is>
      </c>
      <c r="B454" s="1" t="n">
        <v>45050.42804398148</v>
      </c>
      <c r="C454" s="1" t="n">
        <v>45948</v>
      </c>
      <c r="D454" t="inlineStr">
        <is>
          <t>KALMAR LÄN</t>
        </is>
      </c>
      <c r="E454" t="inlineStr">
        <is>
          <t>HULTSFRED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1770-2024</t>
        </is>
      </c>
      <c r="B455" s="1" t="n">
        <v>45307</v>
      </c>
      <c r="C455" s="1" t="n">
        <v>45948</v>
      </c>
      <c r="D455" t="inlineStr">
        <is>
          <t>KALMAR LÄN</t>
        </is>
      </c>
      <c r="E455" t="inlineStr">
        <is>
          <t>HULTSFRED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56919-2022</t>
        </is>
      </c>
      <c r="B456" s="1" t="n">
        <v>44894</v>
      </c>
      <c r="C456" s="1" t="n">
        <v>45948</v>
      </c>
      <c r="D456" t="inlineStr">
        <is>
          <t>KALMAR LÄN</t>
        </is>
      </c>
      <c r="E456" t="inlineStr">
        <is>
          <t>HULTSFRED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48956-2024</t>
        </is>
      </c>
      <c r="B457" s="1" t="n">
        <v>45594.44086805556</v>
      </c>
      <c r="C457" s="1" t="n">
        <v>45948</v>
      </c>
      <c r="D457" t="inlineStr">
        <is>
          <t>KALMAR LÄN</t>
        </is>
      </c>
      <c r="E457" t="inlineStr">
        <is>
          <t>HULTSFRED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57001-2024</t>
        </is>
      </c>
      <c r="B458" s="1" t="n">
        <v>45628.72706018519</v>
      </c>
      <c r="C458" s="1" t="n">
        <v>45948</v>
      </c>
      <c r="D458" t="inlineStr">
        <is>
          <t>KALMAR LÄN</t>
        </is>
      </c>
      <c r="E458" t="inlineStr">
        <is>
          <t>HULTSFRED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9944-2025</t>
        </is>
      </c>
      <c r="B459" s="1" t="n">
        <v>45719.30990740741</v>
      </c>
      <c r="C459" s="1" t="n">
        <v>45948</v>
      </c>
      <c r="D459" t="inlineStr">
        <is>
          <t>KALMAR LÄN</t>
        </is>
      </c>
      <c r="E459" t="inlineStr">
        <is>
          <t>HULTSFRED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5589-2025</t>
        </is>
      </c>
      <c r="B460" s="1" t="n">
        <v>45693.56089120371</v>
      </c>
      <c r="C460" s="1" t="n">
        <v>45948</v>
      </c>
      <c r="D460" t="inlineStr">
        <is>
          <t>KALMAR LÄN</t>
        </is>
      </c>
      <c r="E460" t="inlineStr">
        <is>
          <t>HULTSFRED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43259-2024</t>
        </is>
      </c>
      <c r="B461" s="1" t="n">
        <v>45568.35815972222</v>
      </c>
      <c r="C461" s="1" t="n">
        <v>45948</v>
      </c>
      <c r="D461" t="inlineStr">
        <is>
          <t>KALMAR LÄN</t>
        </is>
      </c>
      <c r="E461" t="inlineStr">
        <is>
          <t>HULTSFRED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34038-2023</t>
        </is>
      </c>
      <c r="B462" s="1" t="n">
        <v>45135.42358796296</v>
      </c>
      <c r="C462" s="1" t="n">
        <v>45948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15437-2023</t>
        </is>
      </c>
      <c r="B463" s="1" t="n">
        <v>45016</v>
      </c>
      <c r="C463" s="1" t="n">
        <v>45948</v>
      </c>
      <c r="D463" t="inlineStr">
        <is>
          <t>KALMAR LÄN</t>
        </is>
      </c>
      <c r="E463" t="inlineStr">
        <is>
          <t>HULTSFRED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62635-2023</t>
        </is>
      </c>
      <c r="B464" s="1" t="n">
        <v>45271.41395833333</v>
      </c>
      <c r="C464" s="1" t="n">
        <v>45948</v>
      </c>
      <c r="D464" t="inlineStr">
        <is>
          <t>KALMAR LÄN</t>
        </is>
      </c>
      <c r="E464" t="inlineStr">
        <is>
          <t>HULTSFRED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61211-2021</t>
        </is>
      </c>
      <c r="B465" s="1" t="n">
        <v>44498.49251157408</v>
      </c>
      <c r="C465" s="1" t="n">
        <v>45948</v>
      </c>
      <c r="D465" t="inlineStr">
        <is>
          <t>KALMAR LÄN</t>
        </is>
      </c>
      <c r="E465" t="inlineStr">
        <is>
          <t>HULTSFRED</t>
        </is>
      </c>
      <c r="G465" t="n">
        <v>5.4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45660-2023</t>
        </is>
      </c>
      <c r="B466" s="1" t="n">
        <v>45194</v>
      </c>
      <c r="C466" s="1" t="n">
        <v>45948</v>
      </c>
      <c r="D466" t="inlineStr">
        <is>
          <t>KALMAR LÄN</t>
        </is>
      </c>
      <c r="E466" t="inlineStr">
        <is>
          <t>HULTSFRED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19899-2025</t>
        </is>
      </c>
      <c r="B467" s="1" t="n">
        <v>45771.58767361111</v>
      </c>
      <c r="C467" s="1" t="n">
        <v>45948</v>
      </c>
      <c r="D467" t="inlineStr">
        <is>
          <t>KALMAR LÄN</t>
        </is>
      </c>
      <c r="E467" t="inlineStr">
        <is>
          <t>HULTSFRED</t>
        </is>
      </c>
      <c r="G467" t="n">
        <v>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23147-2022</t>
        </is>
      </c>
      <c r="B468" s="1" t="n">
        <v>44719</v>
      </c>
      <c r="C468" s="1" t="n">
        <v>45948</v>
      </c>
      <c r="D468" t="inlineStr">
        <is>
          <t>KALMAR LÄN</t>
        </is>
      </c>
      <c r="E468" t="inlineStr">
        <is>
          <t>HULTSFRED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50334-2023</t>
        </is>
      </c>
      <c r="B469" s="1" t="n">
        <v>45216</v>
      </c>
      <c r="C469" s="1" t="n">
        <v>45948</v>
      </c>
      <c r="D469" t="inlineStr">
        <is>
          <t>KALMAR LÄN</t>
        </is>
      </c>
      <c r="E469" t="inlineStr">
        <is>
          <t>HULTSFRED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25878-2024</t>
        </is>
      </c>
      <c r="B470" s="1" t="n">
        <v>45467.48708333333</v>
      </c>
      <c r="C470" s="1" t="n">
        <v>45948</v>
      </c>
      <c r="D470" t="inlineStr">
        <is>
          <t>KALMAR LÄN</t>
        </is>
      </c>
      <c r="E470" t="inlineStr">
        <is>
          <t>HULTSFRED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14658-2025</t>
        </is>
      </c>
      <c r="B471" s="1" t="n">
        <v>45742.52042824074</v>
      </c>
      <c r="C471" s="1" t="n">
        <v>45948</v>
      </c>
      <c r="D471" t="inlineStr">
        <is>
          <t>KALMAR LÄN</t>
        </is>
      </c>
      <c r="E471" t="inlineStr">
        <is>
          <t>HULTSFRED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33960-2025</t>
        </is>
      </c>
      <c r="B472" s="1" t="n">
        <v>45842.68615740741</v>
      </c>
      <c r="C472" s="1" t="n">
        <v>45948</v>
      </c>
      <c r="D472" t="inlineStr">
        <is>
          <t>KALMAR LÄN</t>
        </is>
      </c>
      <c r="E472" t="inlineStr">
        <is>
          <t>HULTSFRED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7221-2023</t>
        </is>
      </c>
      <c r="B473" s="1" t="n">
        <v>44970.58731481482</v>
      </c>
      <c r="C473" s="1" t="n">
        <v>45948</v>
      </c>
      <c r="D473" t="inlineStr">
        <is>
          <t>KALMAR LÄN</t>
        </is>
      </c>
      <c r="E473" t="inlineStr">
        <is>
          <t>HULTSFRED</t>
        </is>
      </c>
      <c r="F473" t="inlineStr">
        <is>
          <t>Sveaskog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7310-2023</t>
        </is>
      </c>
      <c r="B474" s="1" t="n">
        <v>44970.8662962963</v>
      </c>
      <c r="C474" s="1" t="n">
        <v>45948</v>
      </c>
      <c r="D474" t="inlineStr">
        <is>
          <t>KALMAR LÄN</t>
        </is>
      </c>
      <c r="E474" t="inlineStr">
        <is>
          <t>HULTSFRED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55030-2023</t>
        </is>
      </c>
      <c r="B475" s="1" t="n">
        <v>45237</v>
      </c>
      <c r="C475" s="1" t="n">
        <v>45948</v>
      </c>
      <c r="D475" t="inlineStr">
        <is>
          <t>KALMAR LÄN</t>
        </is>
      </c>
      <c r="E475" t="inlineStr">
        <is>
          <t>HULTSFRED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21642-2025</t>
        </is>
      </c>
      <c r="B476" s="1" t="n">
        <v>45783.43402777778</v>
      </c>
      <c r="C476" s="1" t="n">
        <v>45948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4835-2022</t>
        </is>
      </c>
      <c r="B477" s="1" t="n">
        <v>44592</v>
      </c>
      <c r="C477" s="1" t="n">
        <v>45948</v>
      </c>
      <c r="D477" t="inlineStr">
        <is>
          <t>KALMAR LÄN</t>
        </is>
      </c>
      <c r="E477" t="inlineStr">
        <is>
          <t>HULTSFRED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47721-2025</t>
        </is>
      </c>
      <c r="B478" s="1" t="n">
        <v>45931.62912037037</v>
      </c>
      <c r="C478" s="1" t="n">
        <v>45948</v>
      </c>
      <c r="D478" t="inlineStr">
        <is>
          <t>KALMAR LÄN</t>
        </is>
      </c>
      <c r="E478" t="inlineStr">
        <is>
          <t>HULTSFRED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47731-2025</t>
        </is>
      </c>
      <c r="B479" s="1" t="n">
        <v>45931.63373842592</v>
      </c>
      <c r="C479" s="1" t="n">
        <v>45948</v>
      </c>
      <c r="D479" t="inlineStr">
        <is>
          <t>KALMAR LÄN</t>
        </is>
      </c>
      <c r="E479" t="inlineStr">
        <is>
          <t>HULTSFRED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42498-2022</t>
        </is>
      </c>
      <c r="B480" s="1" t="n">
        <v>44831</v>
      </c>
      <c r="C480" s="1" t="n">
        <v>45948</v>
      </c>
      <c r="D480" t="inlineStr">
        <is>
          <t>KALMAR LÄN</t>
        </is>
      </c>
      <c r="E480" t="inlineStr">
        <is>
          <t>HULTSFRED</t>
        </is>
      </c>
      <c r="G480" t="n">
        <v>4.9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25582-2022</t>
        </is>
      </c>
      <c r="B481" s="1" t="n">
        <v>44732.66290509259</v>
      </c>
      <c r="C481" s="1" t="n">
        <v>45948</v>
      </c>
      <c r="D481" t="inlineStr">
        <is>
          <t>KALMAR LÄN</t>
        </is>
      </c>
      <c r="E481" t="inlineStr">
        <is>
          <t>HULTSFRED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47726-2025</t>
        </is>
      </c>
      <c r="B482" s="1" t="n">
        <v>45931.63143518518</v>
      </c>
      <c r="C482" s="1" t="n">
        <v>45948</v>
      </c>
      <c r="D482" t="inlineStr">
        <is>
          <t>KALMAR LÄN</t>
        </is>
      </c>
      <c r="E482" t="inlineStr">
        <is>
          <t>HULTSFRED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20947-2024</t>
        </is>
      </c>
      <c r="B483" s="1" t="n">
        <v>45439.56127314815</v>
      </c>
      <c r="C483" s="1" t="n">
        <v>45948</v>
      </c>
      <c r="D483" t="inlineStr">
        <is>
          <t>KALMAR LÄN</t>
        </is>
      </c>
      <c r="E483" t="inlineStr">
        <is>
          <t>HULTSFRED</t>
        </is>
      </c>
      <c r="F483" t="inlineStr">
        <is>
          <t>Övriga Aktiebolag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41695-2022</t>
        </is>
      </c>
      <c r="B484" s="1" t="n">
        <v>44827</v>
      </c>
      <c r="C484" s="1" t="n">
        <v>45948</v>
      </c>
      <c r="D484" t="inlineStr">
        <is>
          <t>KALMAR LÄN</t>
        </is>
      </c>
      <c r="E484" t="inlineStr">
        <is>
          <t>HULTSFRED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11334-2025</t>
        </is>
      </c>
      <c r="B485" s="1" t="n">
        <v>45726.48642361111</v>
      </c>
      <c r="C485" s="1" t="n">
        <v>45948</v>
      </c>
      <c r="D485" t="inlineStr">
        <is>
          <t>KALMAR LÄN</t>
        </is>
      </c>
      <c r="E485" t="inlineStr">
        <is>
          <t>HULTSFRED</t>
        </is>
      </c>
      <c r="F485" t="inlineStr">
        <is>
          <t>Sveaskog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2862-2025</t>
        </is>
      </c>
      <c r="B486" s="1" t="n">
        <v>45677</v>
      </c>
      <c r="C486" s="1" t="n">
        <v>45948</v>
      </c>
      <c r="D486" t="inlineStr">
        <is>
          <t>KALMAR LÄN</t>
        </is>
      </c>
      <c r="E486" t="inlineStr">
        <is>
          <t>HULTSFRED</t>
        </is>
      </c>
      <c r="G486" t="n">
        <v>6.5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62361-2021</t>
        </is>
      </c>
      <c r="B487" s="1" t="n">
        <v>44502</v>
      </c>
      <c r="C487" s="1" t="n">
        <v>45948</v>
      </c>
      <c r="D487" t="inlineStr">
        <is>
          <t>KALMAR LÄN</t>
        </is>
      </c>
      <c r="E487" t="inlineStr">
        <is>
          <t>HULTSFRED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23847-2024</t>
        </is>
      </c>
      <c r="B488" s="1" t="n">
        <v>45455.53951388889</v>
      </c>
      <c r="C488" s="1" t="n">
        <v>45948</v>
      </c>
      <c r="D488" t="inlineStr">
        <is>
          <t>KALMAR LÄN</t>
        </is>
      </c>
      <c r="E488" t="inlineStr">
        <is>
          <t>HULTSFRED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27531-2025</t>
        </is>
      </c>
      <c r="B489" s="1" t="n">
        <v>45813.45608796296</v>
      </c>
      <c r="C489" s="1" t="n">
        <v>45948</v>
      </c>
      <c r="D489" t="inlineStr">
        <is>
          <t>KALMAR LÄN</t>
        </is>
      </c>
      <c r="E489" t="inlineStr">
        <is>
          <t>HULTSFRED</t>
        </is>
      </c>
      <c r="G489" t="n">
        <v>3.5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32118-2024</t>
        </is>
      </c>
      <c r="B490" s="1" t="n">
        <v>45511.45795138889</v>
      </c>
      <c r="C490" s="1" t="n">
        <v>45948</v>
      </c>
      <c r="D490" t="inlineStr">
        <is>
          <t>KALMAR LÄN</t>
        </is>
      </c>
      <c r="E490" t="inlineStr">
        <is>
          <t>HULTSFRED</t>
        </is>
      </c>
      <c r="G490" t="n">
        <v>4.2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39422-2025</t>
        </is>
      </c>
      <c r="B491" s="1" t="n">
        <v>45889.67118055555</v>
      </c>
      <c r="C491" s="1" t="n">
        <v>45948</v>
      </c>
      <c r="D491" t="inlineStr">
        <is>
          <t>KALMAR LÄN</t>
        </is>
      </c>
      <c r="E491" t="inlineStr">
        <is>
          <t>HULTSFRED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6513-2024</t>
        </is>
      </c>
      <c r="B492" s="1" t="n">
        <v>45340.92813657408</v>
      </c>
      <c r="C492" s="1" t="n">
        <v>45948</v>
      </c>
      <c r="D492" t="inlineStr">
        <is>
          <t>KALMAR LÄN</t>
        </is>
      </c>
      <c r="E492" t="inlineStr">
        <is>
          <t>HULTSFRED</t>
        </is>
      </c>
      <c r="G492" t="n">
        <v>7.4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6514-2024</t>
        </is>
      </c>
      <c r="B493" s="1" t="n">
        <v>45340.93671296296</v>
      </c>
      <c r="C493" s="1" t="n">
        <v>45948</v>
      </c>
      <c r="D493" t="inlineStr">
        <is>
          <t>KALMAR LÄN</t>
        </is>
      </c>
      <c r="E493" t="inlineStr">
        <is>
          <t>HULTSFRED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9369-2024</t>
        </is>
      </c>
      <c r="B494" s="1" t="n">
        <v>45359.35763888889</v>
      </c>
      <c r="C494" s="1" t="n">
        <v>45948</v>
      </c>
      <c r="D494" t="inlineStr">
        <is>
          <t>KALMAR LÄN</t>
        </is>
      </c>
      <c r="E494" t="inlineStr">
        <is>
          <t>HULTSFRED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3758-2025</t>
        </is>
      </c>
      <c r="B495" s="1" t="n">
        <v>45681.59012731481</v>
      </c>
      <c r="C495" s="1" t="n">
        <v>45948</v>
      </c>
      <c r="D495" t="inlineStr">
        <is>
          <t>KALMAR LÄN</t>
        </is>
      </c>
      <c r="E495" t="inlineStr">
        <is>
          <t>HULTSFRED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41617-2022</t>
        </is>
      </c>
      <c r="B496" s="1" t="n">
        <v>44827</v>
      </c>
      <c r="C496" s="1" t="n">
        <v>45948</v>
      </c>
      <c r="D496" t="inlineStr">
        <is>
          <t>KALMAR LÄN</t>
        </is>
      </c>
      <c r="E496" t="inlineStr">
        <is>
          <t>HULTSFRED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24337-2023</t>
        </is>
      </c>
      <c r="B497" s="1" t="n">
        <v>45081.89592592593</v>
      </c>
      <c r="C497" s="1" t="n">
        <v>45948</v>
      </c>
      <c r="D497" t="inlineStr">
        <is>
          <t>KALMAR LÄN</t>
        </is>
      </c>
      <c r="E497" t="inlineStr">
        <is>
          <t>HULTSFRED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13348-2025</t>
        </is>
      </c>
      <c r="B498" s="1" t="n">
        <v>45735.63356481482</v>
      </c>
      <c r="C498" s="1" t="n">
        <v>45948</v>
      </c>
      <c r="D498" t="inlineStr">
        <is>
          <t>KALMAR LÄN</t>
        </is>
      </c>
      <c r="E498" t="inlineStr">
        <is>
          <t>HULTSFRED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3882-2023</t>
        </is>
      </c>
      <c r="B499" s="1" t="n">
        <v>44951.89928240741</v>
      </c>
      <c r="C499" s="1" t="n">
        <v>45948</v>
      </c>
      <c r="D499" t="inlineStr">
        <is>
          <t>KALMAR LÄN</t>
        </is>
      </c>
      <c r="E499" t="inlineStr">
        <is>
          <t>HULTSFRED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37153-2023</t>
        </is>
      </c>
      <c r="B500" s="1" t="n">
        <v>45155.60460648148</v>
      </c>
      <c r="C500" s="1" t="n">
        <v>45948</v>
      </c>
      <c r="D500" t="inlineStr">
        <is>
          <t>KALMAR LÄN</t>
        </is>
      </c>
      <c r="E500" t="inlineStr">
        <is>
          <t>HULTSFRED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590-2025</t>
        </is>
      </c>
      <c r="B501" s="1" t="n">
        <v>45660</v>
      </c>
      <c r="C501" s="1" t="n">
        <v>45948</v>
      </c>
      <c r="D501" t="inlineStr">
        <is>
          <t>KALMAR LÄN</t>
        </is>
      </c>
      <c r="E501" t="inlineStr">
        <is>
          <t>HULTSFRED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54053-2024</t>
        </is>
      </c>
      <c r="B502" s="1" t="n">
        <v>45616.46331018519</v>
      </c>
      <c r="C502" s="1" t="n">
        <v>45948</v>
      </c>
      <c r="D502" t="inlineStr">
        <is>
          <t>KALMAR LÄN</t>
        </is>
      </c>
      <c r="E502" t="inlineStr">
        <is>
          <t>HULTSFRED</t>
        </is>
      </c>
      <c r="F502" t="inlineStr">
        <is>
          <t>Kyrkan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33682-2025</t>
        </is>
      </c>
      <c r="B503" s="1" t="n">
        <v>45841</v>
      </c>
      <c r="C503" s="1" t="n">
        <v>45948</v>
      </c>
      <c r="D503" t="inlineStr">
        <is>
          <t>KALMAR LÄN</t>
        </is>
      </c>
      <c r="E503" t="inlineStr">
        <is>
          <t>HULTSFRED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22676-2025</t>
        </is>
      </c>
      <c r="B504" s="1" t="n">
        <v>45789.49431712963</v>
      </c>
      <c r="C504" s="1" t="n">
        <v>45948</v>
      </c>
      <c r="D504" t="inlineStr">
        <is>
          <t>KALMAR LÄN</t>
        </is>
      </c>
      <c r="E504" t="inlineStr">
        <is>
          <t>HULTSFRED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9293-2025</t>
        </is>
      </c>
      <c r="B505" s="1" t="n">
        <v>45714.66180555556</v>
      </c>
      <c r="C505" s="1" t="n">
        <v>45948</v>
      </c>
      <c r="D505" t="inlineStr">
        <is>
          <t>KALMAR LÄN</t>
        </is>
      </c>
      <c r="E505" t="inlineStr">
        <is>
          <t>HULTSFRED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12200-2025</t>
        </is>
      </c>
      <c r="B506" s="1" t="n">
        <v>45729.481875</v>
      </c>
      <c r="C506" s="1" t="n">
        <v>45948</v>
      </c>
      <c r="D506" t="inlineStr">
        <is>
          <t>KALMAR LÄN</t>
        </is>
      </c>
      <c r="E506" t="inlineStr">
        <is>
          <t>HULTSFRED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13862-2024</t>
        </is>
      </c>
      <c r="B507" s="1" t="n">
        <v>45390</v>
      </c>
      <c r="C507" s="1" t="n">
        <v>45948</v>
      </c>
      <c r="D507" t="inlineStr">
        <is>
          <t>KALMAR LÄN</t>
        </is>
      </c>
      <c r="E507" t="inlineStr">
        <is>
          <t>HULTSFRED</t>
        </is>
      </c>
      <c r="G507" t="n">
        <v>5.3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55990-2022</t>
        </is>
      </c>
      <c r="B508" s="1" t="n">
        <v>44889.47004629629</v>
      </c>
      <c r="C508" s="1" t="n">
        <v>45948</v>
      </c>
      <c r="D508" t="inlineStr">
        <is>
          <t>KALMAR LÄN</t>
        </is>
      </c>
      <c r="E508" t="inlineStr">
        <is>
          <t>HULTSFRED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4944-2022</t>
        </is>
      </c>
      <c r="B509" s="1" t="n">
        <v>44593</v>
      </c>
      <c r="C509" s="1" t="n">
        <v>45948</v>
      </c>
      <c r="D509" t="inlineStr">
        <is>
          <t>KALMAR LÄN</t>
        </is>
      </c>
      <c r="E509" t="inlineStr">
        <is>
          <t>HULTSFRED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47848-2025</t>
        </is>
      </c>
      <c r="B510" s="1" t="n">
        <v>45932.38508101852</v>
      </c>
      <c r="C510" s="1" t="n">
        <v>45948</v>
      </c>
      <c r="D510" t="inlineStr">
        <is>
          <t>KALMAR LÄN</t>
        </is>
      </c>
      <c r="E510" t="inlineStr">
        <is>
          <t>HULTSFRED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28270-2024</t>
        </is>
      </c>
      <c r="B511" s="1" t="n">
        <v>45477.44527777778</v>
      </c>
      <c r="C511" s="1" t="n">
        <v>45948</v>
      </c>
      <c r="D511" t="inlineStr">
        <is>
          <t>KALMAR LÄN</t>
        </is>
      </c>
      <c r="E511" t="inlineStr">
        <is>
          <t>HULTSFRED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35305-2023</t>
        </is>
      </c>
      <c r="B512" s="1" t="n">
        <v>45146.34890046297</v>
      </c>
      <c r="C512" s="1" t="n">
        <v>45948</v>
      </c>
      <c r="D512" t="inlineStr">
        <is>
          <t>KALMAR LÄN</t>
        </is>
      </c>
      <c r="E512" t="inlineStr">
        <is>
          <t>HULTSFRED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48806-2025</t>
        </is>
      </c>
      <c r="B513" s="1" t="n">
        <v>45937.35290509259</v>
      </c>
      <c r="C513" s="1" t="n">
        <v>45948</v>
      </c>
      <c r="D513" t="inlineStr">
        <is>
          <t>KALMAR LÄN</t>
        </is>
      </c>
      <c r="E513" t="inlineStr">
        <is>
          <t>HULTSFRED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40374-2025</t>
        </is>
      </c>
      <c r="B514" s="1" t="n">
        <v>45895.51850694444</v>
      </c>
      <c r="C514" s="1" t="n">
        <v>45948</v>
      </c>
      <c r="D514" t="inlineStr">
        <is>
          <t>KALMAR LÄN</t>
        </is>
      </c>
      <c r="E514" t="inlineStr">
        <is>
          <t>HULTSFRED</t>
        </is>
      </c>
      <c r="G514" t="n">
        <v>8.800000000000001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16985-2024</t>
        </is>
      </c>
      <c r="B515" s="1" t="n">
        <v>45412.30461805555</v>
      </c>
      <c r="C515" s="1" t="n">
        <v>45948</v>
      </c>
      <c r="D515" t="inlineStr">
        <is>
          <t>KALMAR LÄN</t>
        </is>
      </c>
      <c r="E515" t="inlineStr">
        <is>
          <t>HULTSFRED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39977-2023</t>
        </is>
      </c>
      <c r="B516" s="1" t="n">
        <v>45168</v>
      </c>
      <c r="C516" s="1" t="n">
        <v>45948</v>
      </c>
      <c r="D516" t="inlineStr">
        <is>
          <t>KALMAR LÄN</t>
        </is>
      </c>
      <c r="E516" t="inlineStr">
        <is>
          <t>HULTSFRED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6560-2024</t>
        </is>
      </c>
      <c r="B517" s="1" t="n">
        <v>45341</v>
      </c>
      <c r="C517" s="1" t="n">
        <v>45948</v>
      </c>
      <c r="D517" t="inlineStr">
        <is>
          <t>KALMAR LÄN</t>
        </is>
      </c>
      <c r="E517" t="inlineStr">
        <is>
          <t>HULTSFRED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48811-2025</t>
        </is>
      </c>
      <c r="B518" s="1" t="n">
        <v>45937.3575462963</v>
      </c>
      <c r="C518" s="1" t="n">
        <v>45948</v>
      </c>
      <c r="D518" t="inlineStr">
        <is>
          <t>KALMAR LÄN</t>
        </is>
      </c>
      <c r="E518" t="inlineStr">
        <is>
          <t>HULTSFRED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44188-2024</t>
        </is>
      </c>
      <c r="B519" s="1" t="n">
        <v>45573.00284722223</v>
      </c>
      <c r="C519" s="1" t="n">
        <v>45948</v>
      </c>
      <c r="D519" t="inlineStr">
        <is>
          <t>KALMAR LÄN</t>
        </is>
      </c>
      <c r="E519" t="inlineStr">
        <is>
          <t>HULTSFRED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50884-2023</t>
        </is>
      </c>
      <c r="B520" s="1" t="n">
        <v>45218</v>
      </c>
      <c r="C520" s="1" t="n">
        <v>45948</v>
      </c>
      <c r="D520" t="inlineStr">
        <is>
          <t>KALMAR LÄN</t>
        </is>
      </c>
      <c r="E520" t="inlineStr">
        <is>
          <t>HULTSFRED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53835-2024</t>
        </is>
      </c>
      <c r="B521" s="1" t="n">
        <v>45615.62094907407</v>
      </c>
      <c r="C521" s="1" t="n">
        <v>45948</v>
      </c>
      <c r="D521" t="inlineStr">
        <is>
          <t>KALMAR LÄN</t>
        </is>
      </c>
      <c r="E521" t="inlineStr">
        <is>
          <t>HULTSFRED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11566-2025</t>
        </is>
      </c>
      <c r="B522" s="1" t="n">
        <v>45727.37675925926</v>
      </c>
      <c r="C522" s="1" t="n">
        <v>45948</v>
      </c>
      <c r="D522" t="inlineStr">
        <is>
          <t>KALMAR LÄN</t>
        </is>
      </c>
      <c r="E522" t="inlineStr">
        <is>
          <t>HULTSFRED</t>
        </is>
      </c>
      <c r="G522" t="n">
        <v>5.5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40187-2025</t>
        </is>
      </c>
      <c r="B523" s="1" t="n">
        <v>45894.65247685185</v>
      </c>
      <c r="C523" s="1" t="n">
        <v>45948</v>
      </c>
      <c r="D523" t="inlineStr">
        <is>
          <t>KALMAR LÄN</t>
        </is>
      </c>
      <c r="E523" t="inlineStr">
        <is>
          <t>HULTSFRED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52693-2023</t>
        </is>
      </c>
      <c r="B524" s="1" t="n">
        <v>45225</v>
      </c>
      <c r="C524" s="1" t="n">
        <v>45948</v>
      </c>
      <c r="D524" t="inlineStr">
        <is>
          <t>KALMAR LÄN</t>
        </is>
      </c>
      <c r="E524" t="inlineStr">
        <is>
          <t>HULTSFRED</t>
        </is>
      </c>
      <c r="G524" t="n">
        <v>4.8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22933-2025</t>
        </is>
      </c>
      <c r="B525" s="1" t="n">
        <v>45790.45359953704</v>
      </c>
      <c r="C525" s="1" t="n">
        <v>45948</v>
      </c>
      <c r="D525" t="inlineStr">
        <is>
          <t>KALMAR LÄN</t>
        </is>
      </c>
      <c r="E525" t="inlineStr">
        <is>
          <t>HULTSFRED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  <c r="U525">
        <f>HYPERLINK("https://klasma.github.io/Logging_0860/knärot/A 22933-2025 karta knärot.png", "A 22933-2025")</f>
        <v/>
      </c>
      <c r="V525">
        <f>HYPERLINK("https://klasma.github.io/Logging_0860/klagomål/A 22933-2025 FSC-klagomål.docx", "A 22933-2025")</f>
        <v/>
      </c>
      <c r="W525">
        <f>HYPERLINK("https://klasma.github.io/Logging_0860/klagomålsmail/A 22933-2025 FSC-klagomål mail.docx", "A 22933-2025")</f>
        <v/>
      </c>
      <c r="X525">
        <f>HYPERLINK("https://klasma.github.io/Logging_0860/tillsyn/A 22933-2025 tillsynsbegäran.docx", "A 22933-2025")</f>
        <v/>
      </c>
      <c r="Y525">
        <f>HYPERLINK("https://klasma.github.io/Logging_0860/tillsynsmail/A 22933-2025 tillsynsbegäran mail.docx", "A 22933-2025")</f>
        <v/>
      </c>
    </row>
    <row r="526" ht="15" customHeight="1">
      <c r="A526" t="inlineStr">
        <is>
          <t>A 48698-2025</t>
        </is>
      </c>
      <c r="B526" s="1" t="n">
        <v>45936.61630787037</v>
      </c>
      <c r="C526" s="1" t="n">
        <v>45948</v>
      </c>
      <c r="D526" t="inlineStr">
        <is>
          <t>KALMAR LÄN</t>
        </is>
      </c>
      <c r="E526" t="inlineStr">
        <is>
          <t>HULTSFRED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7210-2025</t>
        </is>
      </c>
      <c r="B527" s="1" t="n">
        <v>45702.47150462963</v>
      </c>
      <c r="C527" s="1" t="n">
        <v>45948</v>
      </c>
      <c r="D527" t="inlineStr">
        <is>
          <t>KALMAR LÄN</t>
        </is>
      </c>
      <c r="E527" t="inlineStr">
        <is>
          <t>HULTSFRED</t>
        </is>
      </c>
      <c r="F527" t="inlineStr">
        <is>
          <t>Sveaskog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8337-2023</t>
        </is>
      </c>
      <c r="B528" s="1" t="n">
        <v>44975.87836805556</v>
      </c>
      <c r="C528" s="1" t="n">
        <v>45948</v>
      </c>
      <c r="D528" t="inlineStr">
        <is>
          <t>KALMAR LÄN</t>
        </is>
      </c>
      <c r="E528" t="inlineStr">
        <is>
          <t>HULTSFRED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19185-2023</t>
        </is>
      </c>
      <c r="B529" s="1" t="n">
        <v>45048</v>
      </c>
      <c r="C529" s="1" t="n">
        <v>45948</v>
      </c>
      <c r="D529" t="inlineStr">
        <is>
          <t>KALMAR LÄN</t>
        </is>
      </c>
      <c r="E529" t="inlineStr">
        <is>
          <t>HULTSFRED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45545-2025</t>
        </is>
      </c>
      <c r="B530" s="1" t="n">
        <v>45922.62423611111</v>
      </c>
      <c r="C530" s="1" t="n">
        <v>45948</v>
      </c>
      <c r="D530" t="inlineStr">
        <is>
          <t>KALMAR LÄN</t>
        </is>
      </c>
      <c r="E530" t="inlineStr">
        <is>
          <t>HULTSFRED</t>
        </is>
      </c>
      <c r="G530" t="n">
        <v>5.6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48693-2025</t>
        </is>
      </c>
      <c r="B531" s="1" t="n">
        <v>45936.61366898148</v>
      </c>
      <c r="C531" s="1" t="n">
        <v>45948</v>
      </c>
      <c r="D531" t="inlineStr">
        <is>
          <t>KALMAR LÄN</t>
        </is>
      </c>
      <c r="E531" t="inlineStr">
        <is>
          <t>HULTSFRED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48731-2025</t>
        </is>
      </c>
      <c r="B532" s="1" t="n">
        <v>45936.66126157407</v>
      </c>
      <c r="C532" s="1" t="n">
        <v>45948</v>
      </c>
      <c r="D532" t="inlineStr">
        <is>
          <t>KALMAR LÄN</t>
        </is>
      </c>
      <c r="E532" t="inlineStr">
        <is>
          <t>HULTSFRED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48686-2025</t>
        </is>
      </c>
      <c r="B533" s="1" t="n">
        <v>45936.60224537037</v>
      </c>
      <c r="C533" s="1" t="n">
        <v>45948</v>
      </c>
      <c r="D533" t="inlineStr">
        <is>
          <t>KALMAR LÄN</t>
        </is>
      </c>
      <c r="E533" t="inlineStr">
        <is>
          <t>HULTSFRED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60363-2023</t>
        </is>
      </c>
      <c r="B534" s="1" t="n">
        <v>45259.3803125</v>
      </c>
      <c r="C534" s="1" t="n">
        <v>45948</v>
      </c>
      <c r="D534" t="inlineStr">
        <is>
          <t>KALMAR LÄN</t>
        </is>
      </c>
      <c r="E534" t="inlineStr">
        <is>
          <t>HULTSFRED</t>
        </is>
      </c>
      <c r="G534" t="n">
        <v>3.8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60124-2020</t>
        </is>
      </c>
      <c r="B535" s="1" t="n">
        <v>44151</v>
      </c>
      <c r="C535" s="1" t="n">
        <v>45948</v>
      </c>
      <c r="D535" t="inlineStr">
        <is>
          <t>KALMAR LÄN</t>
        </is>
      </c>
      <c r="E535" t="inlineStr">
        <is>
          <t>HULTSFRED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11497-2025</t>
        </is>
      </c>
      <c r="B536" s="1" t="n">
        <v>45726.75759259259</v>
      </c>
      <c r="C536" s="1" t="n">
        <v>45948</v>
      </c>
      <c r="D536" t="inlineStr">
        <is>
          <t>KALMAR LÄN</t>
        </is>
      </c>
      <c r="E536" t="inlineStr">
        <is>
          <t>HULTSFRED</t>
        </is>
      </c>
      <c r="F536" t="inlineStr">
        <is>
          <t>Övriga Aktiebolag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4257-2024</t>
        </is>
      </c>
      <c r="B537" s="1" t="n">
        <v>45324</v>
      </c>
      <c r="C537" s="1" t="n">
        <v>45948</v>
      </c>
      <c r="D537" t="inlineStr">
        <is>
          <t>KALMAR LÄN</t>
        </is>
      </c>
      <c r="E537" t="inlineStr">
        <is>
          <t>HULTSFRED</t>
        </is>
      </c>
      <c r="G537" t="n">
        <v>0.3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  <c r="U537">
        <f>HYPERLINK("https://klasma.github.io/Logging_0860/knärot/A 4257-2024 karta knärot.png", "A 4257-2024")</f>
        <v/>
      </c>
      <c r="V537">
        <f>HYPERLINK("https://klasma.github.io/Logging_0860/klagomål/A 4257-2024 FSC-klagomål.docx", "A 4257-2024")</f>
        <v/>
      </c>
      <c r="W537">
        <f>HYPERLINK("https://klasma.github.io/Logging_0860/klagomålsmail/A 4257-2024 FSC-klagomål mail.docx", "A 4257-2024")</f>
        <v/>
      </c>
      <c r="X537">
        <f>HYPERLINK("https://klasma.github.io/Logging_0860/tillsyn/A 4257-2024 tillsynsbegäran.docx", "A 4257-2024")</f>
        <v/>
      </c>
      <c r="Y537">
        <f>HYPERLINK("https://klasma.github.io/Logging_0860/tillsynsmail/A 4257-2024 tillsynsbegäran mail.docx", "A 4257-2024")</f>
        <v/>
      </c>
    </row>
    <row r="538" ht="15" customHeight="1">
      <c r="A538" t="inlineStr">
        <is>
          <t>A 58383-2022</t>
        </is>
      </c>
      <c r="B538" s="1" t="n">
        <v>44901</v>
      </c>
      <c r="C538" s="1" t="n">
        <v>45948</v>
      </c>
      <c r="D538" t="inlineStr">
        <is>
          <t>KALMAR LÄN</t>
        </is>
      </c>
      <c r="E538" t="inlineStr">
        <is>
          <t>HULTSFRED</t>
        </is>
      </c>
      <c r="F538" t="inlineStr">
        <is>
          <t>Sveaskog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8876-2025</t>
        </is>
      </c>
      <c r="B539" s="1" t="n">
        <v>45713.37621527778</v>
      </c>
      <c r="C539" s="1" t="n">
        <v>45948</v>
      </c>
      <c r="D539" t="inlineStr">
        <is>
          <t>KALMAR LÄN</t>
        </is>
      </c>
      <c r="E539" t="inlineStr">
        <is>
          <t>HULTSFRED</t>
        </is>
      </c>
      <c r="F539" t="inlineStr">
        <is>
          <t>Sveaskog</t>
        </is>
      </c>
      <c r="G539" t="n">
        <v>7.7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10995-2025</t>
        </is>
      </c>
      <c r="B540" s="1" t="n">
        <v>45723.43553240741</v>
      </c>
      <c r="C540" s="1" t="n">
        <v>45948</v>
      </c>
      <c r="D540" t="inlineStr">
        <is>
          <t>KALMAR LÄN</t>
        </is>
      </c>
      <c r="E540" t="inlineStr">
        <is>
          <t>HULTSFRED</t>
        </is>
      </c>
      <c r="F540" t="inlineStr">
        <is>
          <t>Sveaskog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49481-2025</t>
        </is>
      </c>
      <c r="B541" s="1" t="n">
        <v>45939.35864583333</v>
      </c>
      <c r="C541" s="1" t="n">
        <v>45948</v>
      </c>
      <c r="D541" t="inlineStr">
        <is>
          <t>KALMAR LÄN</t>
        </is>
      </c>
      <c r="E541" t="inlineStr">
        <is>
          <t>HULTSFRED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40334-2023</t>
        </is>
      </c>
      <c r="B542" s="1" t="n">
        <v>45169.62482638889</v>
      </c>
      <c r="C542" s="1" t="n">
        <v>45948</v>
      </c>
      <c r="D542" t="inlineStr">
        <is>
          <t>KALMAR LÄN</t>
        </is>
      </c>
      <c r="E542" t="inlineStr">
        <is>
          <t>HULTSFRED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47350-2021</t>
        </is>
      </c>
      <c r="B543" s="1" t="n">
        <v>44447</v>
      </c>
      <c r="C543" s="1" t="n">
        <v>45948</v>
      </c>
      <c r="D543" t="inlineStr">
        <is>
          <t>KALMAR LÄN</t>
        </is>
      </c>
      <c r="E543" t="inlineStr">
        <is>
          <t>HULTSFRED</t>
        </is>
      </c>
      <c r="F543" t="inlineStr">
        <is>
          <t>Kommuner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25246-2023</t>
        </is>
      </c>
      <c r="B544" s="1" t="n">
        <v>45086.64048611111</v>
      </c>
      <c r="C544" s="1" t="n">
        <v>45948</v>
      </c>
      <c r="D544" t="inlineStr">
        <is>
          <t>KALMAR LÄN</t>
        </is>
      </c>
      <c r="E544" t="inlineStr">
        <is>
          <t>HULTSFRED</t>
        </is>
      </c>
      <c r="G544" t="n">
        <v>3.8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42462-2023</t>
        </is>
      </c>
      <c r="B545" s="1" t="n">
        <v>45175</v>
      </c>
      <c r="C545" s="1" t="n">
        <v>45948</v>
      </c>
      <c r="D545" t="inlineStr">
        <is>
          <t>KALMAR LÄN</t>
        </is>
      </c>
      <c r="E545" t="inlineStr">
        <is>
          <t>HULTSFRED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22401-2023</t>
        </is>
      </c>
      <c r="B546" s="1" t="n">
        <v>45070.64072916667</v>
      </c>
      <c r="C546" s="1" t="n">
        <v>45948</v>
      </c>
      <c r="D546" t="inlineStr">
        <is>
          <t>KALMAR LÄN</t>
        </is>
      </c>
      <c r="E546" t="inlineStr">
        <is>
          <t>HULTSFRED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11005-2025</t>
        </is>
      </c>
      <c r="B547" s="1" t="n">
        <v>45723.44528935185</v>
      </c>
      <c r="C547" s="1" t="n">
        <v>45948</v>
      </c>
      <c r="D547" t="inlineStr">
        <is>
          <t>KALMAR LÄN</t>
        </is>
      </c>
      <c r="E547" t="inlineStr">
        <is>
          <t>HULTSFRED</t>
        </is>
      </c>
      <c r="F547" t="inlineStr">
        <is>
          <t>Sveaskog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57707-2021</t>
        </is>
      </c>
      <c r="B548" s="1" t="n">
        <v>44484</v>
      </c>
      <c r="C548" s="1" t="n">
        <v>45948</v>
      </c>
      <c r="D548" t="inlineStr">
        <is>
          <t>KALMAR LÄN</t>
        </is>
      </c>
      <c r="E548" t="inlineStr">
        <is>
          <t>HULTSFRED</t>
        </is>
      </c>
      <c r="F548" t="inlineStr">
        <is>
          <t>Kyrkan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32345-2022</t>
        </is>
      </c>
      <c r="B549" s="1" t="n">
        <v>44781.91173611111</v>
      </c>
      <c r="C549" s="1" t="n">
        <v>45948</v>
      </c>
      <c r="D549" t="inlineStr">
        <is>
          <t>KALMAR LÄN</t>
        </is>
      </c>
      <c r="E549" t="inlineStr">
        <is>
          <t>HULTSFRED</t>
        </is>
      </c>
      <c r="G549" t="n">
        <v>11.7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13946-2023</t>
        </is>
      </c>
      <c r="B550" s="1" t="n">
        <v>45008.45369212963</v>
      </c>
      <c r="C550" s="1" t="n">
        <v>45948</v>
      </c>
      <c r="D550" t="inlineStr">
        <is>
          <t>KALMAR LÄN</t>
        </is>
      </c>
      <c r="E550" t="inlineStr">
        <is>
          <t>HULTSFRED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12306-2024</t>
        </is>
      </c>
      <c r="B551" s="1" t="n">
        <v>45378.62289351852</v>
      </c>
      <c r="C551" s="1" t="n">
        <v>45948</v>
      </c>
      <c r="D551" t="inlineStr">
        <is>
          <t>KALMAR LÄN</t>
        </is>
      </c>
      <c r="E551" t="inlineStr">
        <is>
          <t>HULTSFRED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17012-2023</t>
        </is>
      </c>
      <c r="B552" s="1" t="n">
        <v>45034.31502314815</v>
      </c>
      <c r="C552" s="1" t="n">
        <v>45948</v>
      </c>
      <c r="D552" t="inlineStr">
        <is>
          <t>KALMAR LÄN</t>
        </is>
      </c>
      <c r="E552" t="inlineStr">
        <is>
          <t>HULTSFRED</t>
        </is>
      </c>
      <c r="G552" t="n">
        <v>5.2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49881-2025</t>
        </is>
      </c>
      <c r="B553" s="1" t="n">
        <v>45940.56796296296</v>
      </c>
      <c r="C553" s="1" t="n">
        <v>45948</v>
      </c>
      <c r="D553" t="inlineStr">
        <is>
          <t>KALMAR LÄN</t>
        </is>
      </c>
      <c r="E553" t="inlineStr">
        <is>
          <t>HULTSFRED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19050-2023</t>
        </is>
      </c>
      <c r="B554" s="1" t="n">
        <v>45047.82030092592</v>
      </c>
      <c r="C554" s="1" t="n">
        <v>45948</v>
      </c>
      <c r="D554" t="inlineStr">
        <is>
          <t>KALMAR LÄN</t>
        </is>
      </c>
      <c r="E554" t="inlineStr">
        <is>
          <t>HULTSFRED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37281-2023</t>
        </is>
      </c>
      <c r="B555" s="1" t="n">
        <v>45156</v>
      </c>
      <c r="C555" s="1" t="n">
        <v>45948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41640-2025</t>
        </is>
      </c>
      <c r="B556" s="1" t="n">
        <v>45901</v>
      </c>
      <c r="C556" s="1" t="n">
        <v>45948</v>
      </c>
      <c r="D556" t="inlineStr">
        <is>
          <t>KALMAR LÄN</t>
        </is>
      </c>
      <c r="E556" t="inlineStr">
        <is>
          <t>HULTSFRED</t>
        </is>
      </c>
      <c r="G556" t="n">
        <v>10.2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4659-2024</t>
        </is>
      </c>
      <c r="B557" s="1" t="n">
        <v>45328.46377314815</v>
      </c>
      <c r="C557" s="1" t="n">
        <v>45948</v>
      </c>
      <c r="D557" t="inlineStr">
        <is>
          <t>KALMAR LÄN</t>
        </is>
      </c>
      <c r="E557" t="inlineStr">
        <is>
          <t>HULTSFRED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61549-2022</t>
        </is>
      </c>
      <c r="B558" s="1" t="n">
        <v>44916.57162037037</v>
      </c>
      <c r="C558" s="1" t="n">
        <v>45948</v>
      </c>
      <c r="D558" t="inlineStr">
        <is>
          <t>KALMAR LÄN</t>
        </is>
      </c>
      <c r="E558" t="inlineStr">
        <is>
          <t>HULTSFRED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14569-2023</t>
        </is>
      </c>
      <c r="B559" s="1" t="n">
        <v>45013</v>
      </c>
      <c r="C559" s="1" t="n">
        <v>45948</v>
      </c>
      <c r="D559" t="inlineStr">
        <is>
          <t>KALMAR LÄN</t>
        </is>
      </c>
      <c r="E559" t="inlineStr">
        <is>
          <t>HULTSFRED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9326-2025</t>
        </is>
      </c>
      <c r="B560" s="1" t="n">
        <v>45714.74789351852</v>
      </c>
      <c r="C560" s="1" t="n">
        <v>45948</v>
      </c>
      <c r="D560" t="inlineStr">
        <is>
          <t>KALMAR LÄN</t>
        </is>
      </c>
      <c r="E560" t="inlineStr">
        <is>
          <t>HULTSFRED</t>
        </is>
      </c>
      <c r="F560" t="inlineStr">
        <is>
          <t>Sveaskog</t>
        </is>
      </c>
      <c r="G560" t="n">
        <v>4.4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39598-2022</t>
        </is>
      </c>
      <c r="B561" s="1" t="n">
        <v>44818.62078703703</v>
      </c>
      <c r="C561" s="1" t="n">
        <v>45948</v>
      </c>
      <c r="D561" t="inlineStr">
        <is>
          <t>KALMAR LÄN</t>
        </is>
      </c>
      <c r="E561" t="inlineStr">
        <is>
          <t>HULTSFRED</t>
        </is>
      </c>
      <c r="F561" t="inlineStr">
        <is>
          <t>Övriga Aktiebolag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19047-2023</t>
        </is>
      </c>
      <c r="B562" s="1" t="n">
        <v>45047</v>
      </c>
      <c r="C562" s="1" t="n">
        <v>45948</v>
      </c>
      <c r="D562" t="inlineStr">
        <is>
          <t>KALMAR LÄN</t>
        </is>
      </c>
      <c r="E562" t="inlineStr">
        <is>
          <t>HULTSFRED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41187-2024</t>
        </is>
      </c>
      <c r="B563" s="1" t="n">
        <v>45559.50409722222</v>
      </c>
      <c r="C563" s="1" t="n">
        <v>45948</v>
      </c>
      <c r="D563" t="inlineStr">
        <is>
          <t>KALMAR LÄN</t>
        </is>
      </c>
      <c r="E563" t="inlineStr">
        <is>
          <t>HULTSFRED</t>
        </is>
      </c>
      <c r="G563" t="n">
        <v>0.4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9591-2025</t>
        </is>
      </c>
      <c r="B564" s="1" t="n">
        <v>45715.64194444445</v>
      </c>
      <c r="C564" s="1" t="n">
        <v>45948</v>
      </c>
      <c r="D564" t="inlineStr">
        <is>
          <t>KALMAR LÄN</t>
        </is>
      </c>
      <c r="E564" t="inlineStr">
        <is>
          <t>HULTSFRED</t>
        </is>
      </c>
      <c r="F564" t="inlineStr">
        <is>
          <t>Sveaskog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9945-2025</t>
        </is>
      </c>
      <c r="B565" s="1" t="n">
        <v>45719.31096064814</v>
      </c>
      <c r="C565" s="1" t="n">
        <v>45948</v>
      </c>
      <c r="D565" t="inlineStr">
        <is>
          <t>KALMAR LÄN</t>
        </is>
      </c>
      <c r="E565" t="inlineStr">
        <is>
          <t>HULTSFRED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43635-2024</t>
        </is>
      </c>
      <c r="B566" s="1" t="n">
        <v>45569.49569444444</v>
      </c>
      <c r="C566" s="1" t="n">
        <v>45948</v>
      </c>
      <c r="D566" t="inlineStr">
        <is>
          <t>KALMAR LÄN</t>
        </is>
      </c>
      <c r="E566" t="inlineStr">
        <is>
          <t>HULTSFRED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4222-2021</t>
        </is>
      </c>
      <c r="B567" s="1" t="n">
        <v>44218</v>
      </c>
      <c r="C567" s="1" t="n">
        <v>45948</v>
      </c>
      <c r="D567" t="inlineStr">
        <is>
          <t>KALMAR LÄN</t>
        </is>
      </c>
      <c r="E567" t="inlineStr">
        <is>
          <t>HULTSFRED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40095-2024</t>
        </is>
      </c>
      <c r="B568" s="1" t="n">
        <v>45554.4112037037</v>
      </c>
      <c r="C568" s="1" t="n">
        <v>45948</v>
      </c>
      <c r="D568" t="inlineStr">
        <is>
          <t>KALMAR LÄN</t>
        </is>
      </c>
      <c r="E568" t="inlineStr">
        <is>
          <t>HULTSFRED</t>
        </is>
      </c>
      <c r="G568" t="n">
        <v>4.8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41972-2025</t>
        </is>
      </c>
      <c r="B569" s="1" t="n">
        <v>45903.49077546296</v>
      </c>
      <c r="C569" s="1" t="n">
        <v>45948</v>
      </c>
      <c r="D569" t="inlineStr">
        <is>
          <t>KALMAR LÄN</t>
        </is>
      </c>
      <c r="E569" t="inlineStr">
        <is>
          <t>HULTSFRED</t>
        </is>
      </c>
      <c r="G569" t="n">
        <v>7.7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50302-2025</t>
        </is>
      </c>
      <c r="B570" s="1" t="n">
        <v>45944.41302083333</v>
      </c>
      <c r="C570" s="1" t="n">
        <v>45948</v>
      </c>
      <c r="D570" t="inlineStr">
        <is>
          <t>KALMAR LÄN</t>
        </is>
      </c>
      <c r="E570" t="inlineStr">
        <is>
          <t>HULTSFRED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38971-2022</t>
        </is>
      </c>
      <c r="B571" s="1" t="n">
        <v>44816.82284722223</v>
      </c>
      <c r="C571" s="1" t="n">
        <v>45948</v>
      </c>
      <c r="D571" t="inlineStr">
        <is>
          <t>KALMAR LÄN</t>
        </is>
      </c>
      <c r="E571" t="inlineStr">
        <is>
          <t>HULTSFRED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42077-2025</t>
        </is>
      </c>
      <c r="B572" s="1" t="n">
        <v>45903.67501157407</v>
      </c>
      <c r="C572" s="1" t="n">
        <v>45948</v>
      </c>
      <c r="D572" t="inlineStr">
        <is>
          <t>KALMAR LÄN</t>
        </is>
      </c>
      <c r="E572" t="inlineStr">
        <is>
          <t>HULTSFRED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9587-2025</t>
        </is>
      </c>
      <c r="B573" s="1" t="n">
        <v>45715.6405787037</v>
      </c>
      <c r="C573" s="1" t="n">
        <v>45948</v>
      </c>
      <c r="D573" t="inlineStr">
        <is>
          <t>KALMAR LÄN</t>
        </is>
      </c>
      <c r="E573" t="inlineStr">
        <is>
          <t>HULTSFRED</t>
        </is>
      </c>
      <c r="F573" t="inlineStr">
        <is>
          <t>Sveaskog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2629-2023</t>
        </is>
      </c>
      <c r="B574" s="1" t="n">
        <v>44942</v>
      </c>
      <c r="C574" s="1" t="n">
        <v>45948</v>
      </c>
      <c r="D574" t="inlineStr">
        <is>
          <t>KALMAR LÄN</t>
        </is>
      </c>
      <c r="E574" t="inlineStr">
        <is>
          <t>HULTSFRED</t>
        </is>
      </c>
      <c r="G574" t="n">
        <v>58.7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12192-2025</t>
        </is>
      </c>
      <c r="B575" s="1" t="n">
        <v>45729.46997685185</v>
      </c>
      <c r="C575" s="1" t="n">
        <v>45948</v>
      </c>
      <c r="D575" t="inlineStr">
        <is>
          <t>KALMAR LÄN</t>
        </is>
      </c>
      <c r="E575" t="inlineStr">
        <is>
          <t>HULTSFRED</t>
        </is>
      </c>
      <c r="F575" t="inlineStr">
        <is>
          <t>Sveaskog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13156-2025</t>
        </is>
      </c>
      <c r="B576" s="1" t="n">
        <v>45735.35633101852</v>
      </c>
      <c r="C576" s="1" t="n">
        <v>45948</v>
      </c>
      <c r="D576" t="inlineStr">
        <is>
          <t>KALMAR LÄN</t>
        </is>
      </c>
      <c r="E576" t="inlineStr">
        <is>
          <t>HULTSFRED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50634-2025</t>
        </is>
      </c>
      <c r="B577" s="1" t="n">
        <v>45945.64921296296</v>
      </c>
      <c r="C577" s="1" t="n">
        <v>45948</v>
      </c>
      <c r="D577" t="inlineStr">
        <is>
          <t>KALMAR LÄN</t>
        </is>
      </c>
      <c r="E577" t="inlineStr">
        <is>
          <t>HULTSFRED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9488-2025</t>
        </is>
      </c>
      <c r="B578" s="1" t="n">
        <v>45715.49478009259</v>
      </c>
      <c r="C578" s="1" t="n">
        <v>45948</v>
      </c>
      <c r="D578" t="inlineStr">
        <is>
          <t>KALMAR LÄN</t>
        </is>
      </c>
      <c r="E578" t="inlineStr">
        <is>
          <t>HULTSFRED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24779-2025</t>
        </is>
      </c>
      <c r="B579" s="1" t="n">
        <v>45799.41569444445</v>
      </c>
      <c r="C579" s="1" t="n">
        <v>45948</v>
      </c>
      <c r="D579" t="inlineStr">
        <is>
          <t>KALMAR LÄN</t>
        </is>
      </c>
      <c r="E579" t="inlineStr">
        <is>
          <t>HULTSFRED</t>
        </is>
      </c>
      <c r="F579" t="inlineStr">
        <is>
          <t>Sveaskog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41646-2025</t>
        </is>
      </c>
      <c r="B580" s="1" t="n">
        <v>45902.32299768519</v>
      </c>
      <c r="C580" s="1" t="n">
        <v>45948</v>
      </c>
      <c r="D580" t="inlineStr">
        <is>
          <t>KALMAR LÄN</t>
        </is>
      </c>
      <c r="E580" t="inlineStr">
        <is>
          <t>HULTSFRED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59764-2024</t>
        </is>
      </c>
      <c r="B581" s="1" t="n">
        <v>45638</v>
      </c>
      <c r="C581" s="1" t="n">
        <v>45948</v>
      </c>
      <c r="D581" t="inlineStr">
        <is>
          <t>KALMAR LÄN</t>
        </is>
      </c>
      <c r="E581" t="inlineStr">
        <is>
          <t>HULTSFRED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42093-2025</t>
        </is>
      </c>
      <c r="B582" s="1" t="n">
        <v>45903.70535879629</v>
      </c>
      <c r="C582" s="1" t="n">
        <v>45948</v>
      </c>
      <c r="D582" t="inlineStr">
        <is>
          <t>KALMAR LÄN</t>
        </is>
      </c>
      <c r="E582" t="inlineStr">
        <is>
          <t>HULTSFRED</t>
        </is>
      </c>
      <c r="G582" t="n">
        <v>10.7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16877-2025</t>
        </is>
      </c>
      <c r="B583" s="1" t="n">
        <v>45755.29065972222</v>
      </c>
      <c r="C583" s="1" t="n">
        <v>45948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32497-2021</t>
        </is>
      </c>
      <c r="B584" s="1" t="n">
        <v>44373</v>
      </c>
      <c r="C584" s="1" t="n">
        <v>45948</v>
      </c>
      <c r="D584" t="inlineStr">
        <is>
          <t>KALMAR LÄN</t>
        </is>
      </c>
      <c r="E584" t="inlineStr">
        <is>
          <t>HULTSFRED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61802-2024</t>
        </is>
      </c>
      <c r="B585" s="1" t="n">
        <v>45649.56431712963</v>
      </c>
      <c r="C585" s="1" t="n">
        <v>45948</v>
      </c>
      <c r="D585" t="inlineStr">
        <is>
          <t>KALMAR LÄN</t>
        </is>
      </c>
      <c r="E585" t="inlineStr">
        <is>
          <t>HULTSFRED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14973-2025</t>
        </is>
      </c>
      <c r="B586" s="1" t="n">
        <v>45743</v>
      </c>
      <c r="C586" s="1" t="n">
        <v>45948</v>
      </c>
      <c r="D586" t="inlineStr">
        <is>
          <t>KALMAR LÄN</t>
        </is>
      </c>
      <c r="E586" t="inlineStr">
        <is>
          <t>HULTSFRED</t>
        </is>
      </c>
      <c r="G586" t="n">
        <v>10.3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3729-2024</t>
        </is>
      </c>
      <c r="B587" s="1" t="n">
        <v>45321.48475694445</v>
      </c>
      <c r="C587" s="1" t="n">
        <v>45948</v>
      </c>
      <c r="D587" t="inlineStr">
        <is>
          <t>KALMAR LÄN</t>
        </is>
      </c>
      <c r="E587" t="inlineStr">
        <is>
          <t>HULTSFRED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50341-2023</t>
        </is>
      </c>
      <c r="B588" s="1" t="n">
        <v>45216</v>
      </c>
      <c r="C588" s="1" t="n">
        <v>45948</v>
      </c>
      <c r="D588" t="inlineStr">
        <is>
          <t>KALMAR LÄN</t>
        </is>
      </c>
      <c r="E588" t="inlineStr">
        <is>
          <t>HULTSFRED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59235-2024</t>
        </is>
      </c>
      <c r="B589" s="1" t="n">
        <v>45637.58633101852</v>
      </c>
      <c r="C589" s="1" t="n">
        <v>45948</v>
      </c>
      <c r="D589" t="inlineStr">
        <is>
          <t>KALMAR LÄN</t>
        </is>
      </c>
      <c r="E589" t="inlineStr">
        <is>
          <t>HULTSFRED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58476-2024</t>
        </is>
      </c>
      <c r="B590" s="1" t="n">
        <v>45635.38275462963</v>
      </c>
      <c r="C590" s="1" t="n">
        <v>45948</v>
      </c>
      <c r="D590" t="inlineStr">
        <is>
          <t>KALMAR LÄN</t>
        </is>
      </c>
      <c r="E590" t="inlineStr">
        <is>
          <t>HULTSFRED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25255-2025</t>
        </is>
      </c>
      <c r="B591" s="1" t="n">
        <v>45800.50819444445</v>
      </c>
      <c r="C591" s="1" t="n">
        <v>45948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37161-2024</t>
        </is>
      </c>
      <c r="B592" s="1" t="n">
        <v>45539.61945601852</v>
      </c>
      <c r="C592" s="1" t="n">
        <v>45948</v>
      </c>
      <c r="D592" t="inlineStr">
        <is>
          <t>KALMAR LÄN</t>
        </is>
      </c>
      <c r="E592" t="inlineStr">
        <is>
          <t>HULTSFRED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25549-2025</t>
        </is>
      </c>
      <c r="B593" s="1" t="n">
        <v>45803.44508101852</v>
      </c>
      <c r="C593" s="1" t="n">
        <v>45948</v>
      </c>
      <c r="D593" t="inlineStr">
        <is>
          <t>KALMAR LÄN</t>
        </is>
      </c>
      <c r="E593" t="inlineStr">
        <is>
          <t>HULTSFRED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25550-2025</t>
        </is>
      </c>
      <c r="B594" s="1" t="n">
        <v>45803.44677083333</v>
      </c>
      <c r="C594" s="1" t="n">
        <v>45948</v>
      </c>
      <c r="D594" t="inlineStr">
        <is>
          <t>KALMAR LÄN</t>
        </is>
      </c>
      <c r="E594" t="inlineStr">
        <is>
          <t>HULTSFRED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50521-2025</t>
        </is>
      </c>
      <c r="B595" s="1" t="n">
        <v>45945.46298611111</v>
      </c>
      <c r="C595" s="1" t="n">
        <v>45948</v>
      </c>
      <c r="D595" t="inlineStr">
        <is>
          <t>KALMAR LÄN</t>
        </is>
      </c>
      <c r="E595" t="inlineStr">
        <is>
          <t>HULTSFRED</t>
        </is>
      </c>
      <c r="F595" t="inlineStr">
        <is>
          <t>Övriga Aktiebolag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50297-2025</t>
        </is>
      </c>
      <c r="B596" s="1" t="n">
        <v>45944.40952546296</v>
      </c>
      <c r="C596" s="1" t="n">
        <v>45948</v>
      </c>
      <c r="D596" t="inlineStr">
        <is>
          <t>KALMAR LÄN</t>
        </is>
      </c>
      <c r="E596" t="inlineStr">
        <is>
          <t>HULTSFRED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55406-2024</t>
        </is>
      </c>
      <c r="B597" s="1" t="n">
        <v>45622.35957175926</v>
      </c>
      <c r="C597" s="1" t="n">
        <v>45948</v>
      </c>
      <c r="D597" t="inlineStr">
        <is>
          <t>KALMAR LÄN</t>
        </is>
      </c>
      <c r="E597" t="inlineStr">
        <is>
          <t>HULTSFRED</t>
        </is>
      </c>
      <c r="F597" t="inlineStr">
        <is>
          <t>Sveaskog</t>
        </is>
      </c>
      <c r="G597" t="n">
        <v>2.6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68088-2021</t>
        </is>
      </c>
      <c r="B598" s="1" t="n">
        <v>44526</v>
      </c>
      <c r="C598" s="1" t="n">
        <v>45948</v>
      </c>
      <c r="D598" t="inlineStr">
        <is>
          <t>KALMAR LÄN</t>
        </is>
      </c>
      <c r="E598" t="inlineStr">
        <is>
          <t>HULTSFRED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4965-2025</t>
        </is>
      </c>
      <c r="B599" s="1" t="n">
        <v>45690.4284375</v>
      </c>
      <c r="C599" s="1" t="n">
        <v>45948</v>
      </c>
      <c r="D599" t="inlineStr">
        <is>
          <t>KALMAR LÄN</t>
        </is>
      </c>
      <c r="E599" t="inlineStr">
        <is>
          <t>HULTSFRED</t>
        </is>
      </c>
      <c r="F599" t="inlineStr">
        <is>
          <t>Sveaskog</t>
        </is>
      </c>
      <c r="G599" t="n">
        <v>5.9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42539-2025</t>
        </is>
      </c>
      <c r="B600" s="1" t="n">
        <v>45905</v>
      </c>
      <c r="C600" s="1" t="n">
        <v>45948</v>
      </c>
      <c r="D600" t="inlineStr">
        <is>
          <t>KALMAR LÄN</t>
        </is>
      </c>
      <c r="E600" t="inlineStr">
        <is>
          <t>HULTSFRED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51001-2025</t>
        </is>
      </c>
      <c r="B601" s="1" t="n">
        <v>45947.35896990741</v>
      </c>
      <c r="C601" s="1" t="n">
        <v>45948</v>
      </c>
      <c r="D601" t="inlineStr">
        <is>
          <t>KALMAR LÄN</t>
        </is>
      </c>
      <c r="E601" t="inlineStr">
        <is>
          <t>HULTSFRED</t>
        </is>
      </c>
      <c r="F601" t="inlineStr">
        <is>
          <t>Kyrkan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24148-2023</t>
        </is>
      </c>
      <c r="B602" s="1" t="n">
        <v>45079</v>
      </c>
      <c r="C602" s="1" t="n">
        <v>45948</v>
      </c>
      <c r="D602" t="inlineStr">
        <is>
          <t>KALMAR LÄN</t>
        </is>
      </c>
      <c r="E602" t="inlineStr">
        <is>
          <t>HULTSFRED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51052-2025</t>
        </is>
      </c>
      <c r="B603" s="1" t="n">
        <v>45947.43758101852</v>
      </c>
      <c r="C603" s="1" t="n">
        <v>45948</v>
      </c>
      <c r="D603" t="inlineStr">
        <is>
          <t>KALMAR LÄN</t>
        </is>
      </c>
      <c r="E603" t="inlineStr">
        <is>
          <t>HULTSFRED</t>
        </is>
      </c>
      <c r="F603" t="inlineStr">
        <is>
          <t>Kyrkan</t>
        </is>
      </c>
      <c r="G603" t="n">
        <v>9.1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50999-2025</t>
        </is>
      </c>
      <c r="B604" s="1" t="n">
        <v>45947.35587962963</v>
      </c>
      <c r="C604" s="1" t="n">
        <v>45948</v>
      </c>
      <c r="D604" t="inlineStr">
        <is>
          <t>KALMAR LÄN</t>
        </is>
      </c>
      <c r="E604" t="inlineStr">
        <is>
          <t>HULTSFRED</t>
        </is>
      </c>
      <c r="F604" t="inlineStr">
        <is>
          <t>Kyrkan</t>
        </is>
      </c>
      <c r="G604" t="n">
        <v>4.3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25778-2025</t>
        </is>
      </c>
      <c r="B605" s="1" t="n">
        <v>45804.36096064815</v>
      </c>
      <c r="C605" s="1" t="n">
        <v>45948</v>
      </c>
      <c r="D605" t="inlineStr">
        <is>
          <t>KALMAR LÄN</t>
        </is>
      </c>
      <c r="E605" t="inlineStr">
        <is>
          <t>HULTSFRED</t>
        </is>
      </c>
      <c r="F605" t="inlineStr">
        <is>
          <t>Sveaskog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26132-2025</t>
        </is>
      </c>
      <c r="B606" s="1" t="n">
        <v>45805.41023148148</v>
      </c>
      <c r="C606" s="1" t="n">
        <v>45948</v>
      </c>
      <c r="D606" t="inlineStr">
        <is>
          <t>KALMAR LÄN</t>
        </is>
      </c>
      <c r="E606" t="inlineStr">
        <is>
          <t>HULTSFRED</t>
        </is>
      </c>
      <c r="G606" t="n">
        <v>3.7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42546-2025</t>
        </is>
      </c>
      <c r="B607" s="1" t="n">
        <v>45905</v>
      </c>
      <c r="C607" s="1" t="n">
        <v>45948</v>
      </c>
      <c r="D607" t="inlineStr">
        <is>
          <t>KALMAR LÄN</t>
        </is>
      </c>
      <c r="E607" t="inlineStr">
        <is>
          <t>HULTSFRED</t>
        </is>
      </c>
      <c r="G607" t="n">
        <v>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9946-2025</t>
        </is>
      </c>
      <c r="B608" s="1" t="n">
        <v>45719.31196759259</v>
      </c>
      <c r="C608" s="1" t="n">
        <v>45948</v>
      </c>
      <c r="D608" t="inlineStr">
        <is>
          <t>KALMAR LÄN</t>
        </is>
      </c>
      <c r="E608" t="inlineStr">
        <is>
          <t>HULTSFRED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68102-2021</t>
        </is>
      </c>
      <c r="B609" s="1" t="n">
        <v>44526.36217592593</v>
      </c>
      <c r="C609" s="1" t="n">
        <v>45948</v>
      </c>
      <c r="D609" t="inlineStr">
        <is>
          <t>KALMAR LÄN</t>
        </is>
      </c>
      <c r="E609" t="inlineStr">
        <is>
          <t>HULTSFRED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29973-2024</t>
        </is>
      </c>
      <c r="B610" s="1" t="n">
        <v>45488.47798611111</v>
      </c>
      <c r="C610" s="1" t="n">
        <v>45948</v>
      </c>
      <c r="D610" t="inlineStr">
        <is>
          <t>KALMAR LÄN</t>
        </is>
      </c>
      <c r="E610" t="inlineStr">
        <is>
          <t>HULTSFRED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42442-2025</t>
        </is>
      </c>
      <c r="B611" s="1" t="n">
        <v>45905.43545138889</v>
      </c>
      <c r="C611" s="1" t="n">
        <v>45948</v>
      </c>
      <c r="D611" t="inlineStr">
        <is>
          <t>KALMAR LÄN</t>
        </is>
      </c>
      <c r="E611" t="inlineStr">
        <is>
          <t>HULTSFRED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26700-2025</t>
        </is>
      </c>
      <c r="B612" s="1" t="n">
        <v>45810.44914351852</v>
      </c>
      <c r="C612" s="1" t="n">
        <v>45948</v>
      </c>
      <c r="D612" t="inlineStr">
        <is>
          <t>KALMAR LÄN</t>
        </is>
      </c>
      <c r="E612" t="inlineStr">
        <is>
          <t>HULTSFRED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37169-2024</t>
        </is>
      </c>
      <c r="B613" s="1" t="n">
        <v>45539</v>
      </c>
      <c r="C613" s="1" t="n">
        <v>45948</v>
      </c>
      <c r="D613" t="inlineStr">
        <is>
          <t>KALMAR LÄN</t>
        </is>
      </c>
      <c r="E613" t="inlineStr">
        <is>
          <t>HULTSFRED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26710-2025</t>
        </is>
      </c>
      <c r="B614" s="1" t="n">
        <v>45810.45978009259</v>
      </c>
      <c r="C614" s="1" t="n">
        <v>45948</v>
      </c>
      <c r="D614" t="inlineStr">
        <is>
          <t>KALMAR LÄN</t>
        </is>
      </c>
      <c r="E614" t="inlineStr">
        <is>
          <t>HULTSFRED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51586-2024</t>
        </is>
      </c>
      <c r="B615" s="1" t="n">
        <v>45604.64454861111</v>
      </c>
      <c r="C615" s="1" t="n">
        <v>45948</v>
      </c>
      <c r="D615" t="inlineStr">
        <is>
          <t>KALMAR LÄN</t>
        </is>
      </c>
      <c r="E615" t="inlineStr">
        <is>
          <t>HULTSFRED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39941-2023</t>
        </is>
      </c>
      <c r="B616" s="1" t="n">
        <v>45168</v>
      </c>
      <c r="C616" s="1" t="n">
        <v>45948</v>
      </c>
      <c r="D616" t="inlineStr">
        <is>
          <t>KALMAR LÄN</t>
        </is>
      </c>
      <c r="E616" t="inlineStr">
        <is>
          <t>HULTSFRED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45236-2021</t>
        </is>
      </c>
      <c r="B617" s="1" t="n">
        <v>44439</v>
      </c>
      <c r="C617" s="1" t="n">
        <v>45948</v>
      </c>
      <c r="D617" t="inlineStr">
        <is>
          <t>KALMAR LÄN</t>
        </is>
      </c>
      <c r="E617" t="inlineStr">
        <is>
          <t>HULTSFRED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12331-2025</t>
        </is>
      </c>
      <c r="B618" s="1" t="n">
        <v>45730.32494212963</v>
      </c>
      <c r="C618" s="1" t="n">
        <v>45948</v>
      </c>
      <c r="D618" t="inlineStr">
        <is>
          <t>KALMAR LÄN</t>
        </is>
      </c>
      <c r="E618" t="inlineStr">
        <is>
          <t>HULTSFRED</t>
        </is>
      </c>
      <c r="F618" t="inlineStr">
        <is>
          <t>Sveaskog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54529-2020</t>
        </is>
      </c>
      <c r="B619" s="1" t="n">
        <v>44126.6755787037</v>
      </c>
      <c r="C619" s="1" t="n">
        <v>45948</v>
      </c>
      <c r="D619" t="inlineStr">
        <is>
          <t>KALMAR LÄN</t>
        </is>
      </c>
      <c r="E619" t="inlineStr">
        <is>
          <t>HULTSFRED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11007-2025</t>
        </is>
      </c>
      <c r="B620" s="1" t="n">
        <v>45723.4478125</v>
      </c>
      <c r="C620" s="1" t="n">
        <v>45948</v>
      </c>
      <c r="D620" t="inlineStr">
        <is>
          <t>KALMAR LÄN</t>
        </is>
      </c>
      <c r="E620" t="inlineStr">
        <is>
          <t>HULTSFRED</t>
        </is>
      </c>
      <c r="F620" t="inlineStr">
        <is>
          <t>Sveaskog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21714-2024</t>
        </is>
      </c>
      <c r="B621" s="1" t="n">
        <v>45442.48394675926</v>
      </c>
      <c r="C621" s="1" t="n">
        <v>45948</v>
      </c>
      <c r="D621" t="inlineStr">
        <is>
          <t>KALMAR LÄN</t>
        </is>
      </c>
      <c r="E621" t="inlineStr">
        <is>
          <t>HULTSFRED</t>
        </is>
      </c>
      <c r="G621" t="n">
        <v>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53291-2021</t>
        </is>
      </c>
      <c r="B622" s="1" t="n">
        <v>44468</v>
      </c>
      <c r="C622" s="1" t="n">
        <v>45948</v>
      </c>
      <c r="D622" t="inlineStr">
        <is>
          <t>KALMAR LÄN</t>
        </is>
      </c>
      <c r="E622" t="inlineStr">
        <is>
          <t>HULTSFRED</t>
        </is>
      </c>
      <c r="F622" t="inlineStr">
        <is>
          <t>Sveaskog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28878-2022</t>
        </is>
      </c>
      <c r="B623" s="1" t="n">
        <v>44749</v>
      </c>
      <c r="C623" s="1" t="n">
        <v>45948</v>
      </c>
      <c r="D623" t="inlineStr">
        <is>
          <t>KALMAR LÄN</t>
        </is>
      </c>
      <c r="E623" t="inlineStr">
        <is>
          <t>HULTSFRED</t>
        </is>
      </c>
      <c r="G623" t="n">
        <v>2.7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41277-2022</t>
        </is>
      </c>
      <c r="B624" s="1" t="n">
        <v>44826</v>
      </c>
      <c r="C624" s="1" t="n">
        <v>45948</v>
      </c>
      <c r="D624" t="inlineStr">
        <is>
          <t>KALMAR LÄN</t>
        </is>
      </c>
      <c r="E624" t="inlineStr">
        <is>
          <t>HULTSFRED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26777-2025</t>
        </is>
      </c>
      <c r="B625" s="1" t="n">
        <v>45810.579375</v>
      </c>
      <c r="C625" s="1" t="n">
        <v>45948</v>
      </c>
      <c r="D625" t="inlineStr">
        <is>
          <t>KALMAR LÄN</t>
        </is>
      </c>
      <c r="E625" t="inlineStr">
        <is>
          <t>HULTSFRED</t>
        </is>
      </c>
      <c r="F625" t="inlineStr">
        <is>
          <t>Sveaskog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28910-2023</t>
        </is>
      </c>
      <c r="B626" s="1" t="n">
        <v>45104.52766203704</v>
      </c>
      <c r="C626" s="1" t="n">
        <v>45948</v>
      </c>
      <c r="D626" t="inlineStr">
        <is>
          <t>KALMAR LÄN</t>
        </is>
      </c>
      <c r="E626" t="inlineStr">
        <is>
          <t>HULTSFRED</t>
        </is>
      </c>
      <c r="G626" t="n">
        <v>4.4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9590-2024</t>
        </is>
      </c>
      <c r="B627" s="1" t="n">
        <v>45360.69721064815</v>
      </c>
      <c r="C627" s="1" t="n">
        <v>45948</v>
      </c>
      <c r="D627" t="inlineStr">
        <is>
          <t>KALMAR LÄN</t>
        </is>
      </c>
      <c r="E627" t="inlineStr">
        <is>
          <t>HULTSFRED</t>
        </is>
      </c>
      <c r="F627" t="inlineStr">
        <is>
          <t>Sveaskog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13864-2024</t>
        </is>
      </c>
      <c r="B628" s="1" t="n">
        <v>45390</v>
      </c>
      <c r="C628" s="1" t="n">
        <v>45948</v>
      </c>
      <c r="D628" t="inlineStr">
        <is>
          <t>KALMAR LÄN</t>
        </is>
      </c>
      <c r="E628" t="inlineStr">
        <is>
          <t>HULTSFRED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40792-2022</t>
        </is>
      </c>
      <c r="B629" s="1" t="n">
        <v>44824</v>
      </c>
      <c r="C629" s="1" t="n">
        <v>45948</v>
      </c>
      <c r="D629" t="inlineStr">
        <is>
          <t>KALMAR LÄN</t>
        </is>
      </c>
      <c r="E629" t="inlineStr">
        <is>
          <t>HULTSFRED</t>
        </is>
      </c>
      <c r="G629" t="n">
        <v>5.1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35816-2024</t>
        </is>
      </c>
      <c r="B630" s="1" t="n">
        <v>45532.65594907408</v>
      </c>
      <c r="C630" s="1" t="n">
        <v>45948</v>
      </c>
      <c r="D630" t="inlineStr">
        <is>
          <t>KALMAR LÄN</t>
        </is>
      </c>
      <c r="E630" t="inlineStr">
        <is>
          <t>HULTSFRED</t>
        </is>
      </c>
      <c r="F630" t="inlineStr">
        <is>
          <t>Övriga Aktiebolag</t>
        </is>
      </c>
      <c r="G630" t="n">
        <v>3.1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60525-2021</t>
        </is>
      </c>
      <c r="B631" s="1" t="n">
        <v>44496.5093287037</v>
      </c>
      <c r="C631" s="1" t="n">
        <v>45948</v>
      </c>
      <c r="D631" t="inlineStr">
        <is>
          <t>KALMAR LÄN</t>
        </is>
      </c>
      <c r="E631" t="inlineStr">
        <is>
          <t>HULTSFRED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28979-2024</t>
        </is>
      </c>
      <c r="B632" s="1" t="n">
        <v>45481</v>
      </c>
      <c r="C632" s="1" t="n">
        <v>45948</v>
      </c>
      <c r="D632" t="inlineStr">
        <is>
          <t>KALMAR LÄN</t>
        </is>
      </c>
      <c r="E632" t="inlineStr">
        <is>
          <t>HULTSFRED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56944-2021</t>
        </is>
      </c>
      <c r="B633" s="1" t="n">
        <v>44482.36085648148</v>
      </c>
      <c r="C633" s="1" t="n">
        <v>45948</v>
      </c>
      <c r="D633" t="inlineStr">
        <is>
          <t>KALMAR LÄN</t>
        </is>
      </c>
      <c r="E633" t="inlineStr">
        <is>
          <t>HULTSFRED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9589-2024</t>
        </is>
      </c>
      <c r="B634" s="1" t="n">
        <v>45360.69631944445</v>
      </c>
      <c r="C634" s="1" t="n">
        <v>45948</v>
      </c>
      <c r="D634" t="inlineStr">
        <is>
          <t>KALMAR LÄN</t>
        </is>
      </c>
      <c r="E634" t="inlineStr">
        <is>
          <t>HULTSFRED</t>
        </is>
      </c>
      <c r="F634" t="inlineStr">
        <is>
          <t>Sveaskog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27537-2025</t>
        </is>
      </c>
      <c r="B635" s="1" t="n">
        <v>45813.45994212963</v>
      </c>
      <c r="C635" s="1" t="n">
        <v>45948</v>
      </c>
      <c r="D635" t="inlineStr">
        <is>
          <t>KALMAR LÄN</t>
        </is>
      </c>
      <c r="E635" t="inlineStr">
        <is>
          <t>HULTSFRED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46411-2023</t>
        </is>
      </c>
      <c r="B636" s="1" t="n">
        <v>45194</v>
      </c>
      <c r="C636" s="1" t="n">
        <v>45948</v>
      </c>
      <c r="D636" t="inlineStr">
        <is>
          <t>KALMAR LÄN</t>
        </is>
      </c>
      <c r="E636" t="inlineStr">
        <is>
          <t>HULTSFRED</t>
        </is>
      </c>
      <c r="G636" t="n">
        <v>3.8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27304-2025</t>
        </is>
      </c>
      <c r="B637" s="1" t="n">
        <v>45812.57268518519</v>
      </c>
      <c r="C637" s="1" t="n">
        <v>45948</v>
      </c>
      <c r="D637" t="inlineStr">
        <is>
          <t>KALMAR LÄN</t>
        </is>
      </c>
      <c r="E637" t="inlineStr">
        <is>
          <t>HULTSFRED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27310-2025</t>
        </is>
      </c>
      <c r="B638" s="1" t="n">
        <v>45812.57512731481</v>
      </c>
      <c r="C638" s="1" t="n">
        <v>45948</v>
      </c>
      <c r="D638" t="inlineStr">
        <is>
          <t>KALMAR LÄN</t>
        </is>
      </c>
      <c r="E638" t="inlineStr">
        <is>
          <t>HULTSFRED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27292-2025</t>
        </is>
      </c>
      <c r="B639" s="1" t="n">
        <v>45812.5667824074</v>
      </c>
      <c r="C639" s="1" t="n">
        <v>45948</v>
      </c>
      <c r="D639" t="inlineStr">
        <is>
          <t>KALMAR LÄN</t>
        </is>
      </c>
      <c r="E639" t="inlineStr">
        <is>
          <t>HULTSFRED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27298-2025</t>
        </is>
      </c>
      <c r="B640" s="1" t="n">
        <v>45812.57081018519</v>
      </c>
      <c r="C640" s="1" t="n">
        <v>45948</v>
      </c>
      <c r="D640" t="inlineStr">
        <is>
          <t>KALMAR LÄN</t>
        </is>
      </c>
      <c r="E640" t="inlineStr">
        <is>
          <t>HULTSFRED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43284-2022</t>
        </is>
      </c>
      <c r="B641" s="1" t="n">
        <v>44834</v>
      </c>
      <c r="C641" s="1" t="n">
        <v>45948</v>
      </c>
      <c r="D641" t="inlineStr">
        <is>
          <t>KALMAR LÄN</t>
        </is>
      </c>
      <c r="E641" t="inlineStr">
        <is>
          <t>HULTSFRED</t>
        </is>
      </c>
      <c r="G641" t="n">
        <v>10.5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21758-2024</t>
        </is>
      </c>
      <c r="B642" s="1" t="n">
        <v>45442.59461805555</v>
      </c>
      <c r="C642" s="1" t="n">
        <v>45948</v>
      </c>
      <c r="D642" t="inlineStr">
        <is>
          <t>KALMAR LÄN</t>
        </is>
      </c>
      <c r="E642" t="inlineStr">
        <is>
          <t>HULTSFRED</t>
        </is>
      </c>
      <c r="G642" t="n">
        <v>3.4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62070-2024</t>
        </is>
      </c>
      <c r="B643" s="1" t="n">
        <v>45656.40385416667</v>
      </c>
      <c r="C643" s="1" t="n">
        <v>45948</v>
      </c>
      <c r="D643" t="inlineStr">
        <is>
          <t>KALMAR LÄN</t>
        </is>
      </c>
      <c r="E643" t="inlineStr">
        <is>
          <t>HULTSFRED</t>
        </is>
      </c>
      <c r="F643" t="inlineStr">
        <is>
          <t>Sveaskog</t>
        </is>
      </c>
      <c r="G643" t="n">
        <v>9.5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9719-2025</t>
        </is>
      </c>
      <c r="B644" s="1" t="n">
        <v>45715</v>
      </c>
      <c r="C644" s="1" t="n">
        <v>45948</v>
      </c>
      <c r="D644" t="inlineStr">
        <is>
          <t>KALMAR LÄN</t>
        </is>
      </c>
      <c r="E644" t="inlineStr">
        <is>
          <t>HULTSFRED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50269-2023</t>
        </is>
      </c>
      <c r="B645" s="1" t="n">
        <v>45209</v>
      </c>
      <c r="C645" s="1" t="n">
        <v>45948</v>
      </c>
      <c r="D645" t="inlineStr">
        <is>
          <t>KALMAR LÄN</t>
        </is>
      </c>
      <c r="E645" t="inlineStr">
        <is>
          <t>HULTSFRED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46476-2024</t>
        </is>
      </c>
      <c r="B646" s="1" t="n">
        <v>45582</v>
      </c>
      <c r="C646" s="1" t="n">
        <v>45948</v>
      </c>
      <c r="D646" t="inlineStr">
        <is>
          <t>KALMAR LÄN</t>
        </is>
      </c>
      <c r="E646" t="inlineStr">
        <is>
          <t>HULTSFRED</t>
        </is>
      </c>
      <c r="F646" t="inlineStr">
        <is>
          <t>Sveaskog</t>
        </is>
      </c>
      <c r="G646" t="n">
        <v>0.3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55495-2023</t>
        </is>
      </c>
      <c r="B647" s="1" t="n">
        <v>45238</v>
      </c>
      <c r="C647" s="1" t="n">
        <v>45948</v>
      </c>
      <c r="D647" t="inlineStr">
        <is>
          <t>KALMAR LÄN</t>
        </is>
      </c>
      <c r="E647" t="inlineStr">
        <is>
          <t>HULTSFRED</t>
        </is>
      </c>
      <c r="F647" t="inlineStr">
        <is>
          <t>Kyrkan</t>
        </is>
      </c>
      <c r="G647" t="n">
        <v>4.6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50894-2023</t>
        </is>
      </c>
      <c r="B648" s="1" t="n">
        <v>45218.40142361111</v>
      </c>
      <c r="C648" s="1" t="n">
        <v>45948</v>
      </c>
      <c r="D648" t="inlineStr">
        <is>
          <t>KALMAR LÄN</t>
        </is>
      </c>
      <c r="E648" t="inlineStr">
        <is>
          <t>HULTSFRED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48320-2023</t>
        </is>
      </c>
      <c r="B649" s="1" t="n">
        <v>45205</v>
      </c>
      <c r="C649" s="1" t="n">
        <v>45948</v>
      </c>
      <c r="D649" t="inlineStr">
        <is>
          <t>KALMAR LÄN</t>
        </is>
      </c>
      <c r="E649" t="inlineStr">
        <is>
          <t>HULTSFRED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64306-2023</t>
        </is>
      </c>
      <c r="B650" s="1" t="n">
        <v>45280</v>
      </c>
      <c r="C650" s="1" t="n">
        <v>45948</v>
      </c>
      <c r="D650" t="inlineStr">
        <is>
          <t>KALMAR LÄN</t>
        </is>
      </c>
      <c r="E650" t="inlineStr">
        <is>
          <t>HULTSFRED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18134-2024</t>
        </is>
      </c>
      <c r="B651" s="1" t="n">
        <v>45420</v>
      </c>
      <c r="C651" s="1" t="n">
        <v>45948</v>
      </c>
      <c r="D651" t="inlineStr">
        <is>
          <t>KALMAR LÄN</t>
        </is>
      </c>
      <c r="E651" t="inlineStr">
        <is>
          <t>HULTSFRED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11433-2024</t>
        </is>
      </c>
      <c r="B652" s="1" t="n">
        <v>45372.51892361111</v>
      </c>
      <c r="C652" s="1" t="n">
        <v>45948</v>
      </c>
      <c r="D652" t="inlineStr">
        <is>
          <t>KALMAR LÄN</t>
        </is>
      </c>
      <c r="E652" t="inlineStr">
        <is>
          <t>HULTSFRED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5878-2023</t>
        </is>
      </c>
      <c r="B653" s="1" t="n">
        <v>44963.62231481481</v>
      </c>
      <c r="C653" s="1" t="n">
        <v>45948</v>
      </c>
      <c r="D653" t="inlineStr">
        <is>
          <t>KALMAR LÄN</t>
        </is>
      </c>
      <c r="E653" t="inlineStr">
        <is>
          <t>HULTSFRED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53810-2024</t>
        </is>
      </c>
      <c r="B654" s="1" t="n">
        <v>45615.59752314815</v>
      </c>
      <c r="C654" s="1" t="n">
        <v>45948</v>
      </c>
      <c r="D654" t="inlineStr">
        <is>
          <t>KALMAR LÄN</t>
        </is>
      </c>
      <c r="E654" t="inlineStr">
        <is>
          <t>HULTSFRED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28575-2025</t>
        </is>
      </c>
      <c r="B655" s="1" t="n">
        <v>45819.56673611111</v>
      </c>
      <c r="C655" s="1" t="n">
        <v>45948</v>
      </c>
      <c r="D655" t="inlineStr">
        <is>
          <t>KALMAR LÄN</t>
        </is>
      </c>
      <c r="E655" t="inlineStr">
        <is>
          <t>HULTSFRED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28242-2025</t>
        </is>
      </c>
      <c r="B656" s="1" t="n">
        <v>45818.50829861111</v>
      </c>
      <c r="C656" s="1" t="n">
        <v>45948</v>
      </c>
      <c r="D656" t="inlineStr">
        <is>
          <t>KALMAR LÄN</t>
        </is>
      </c>
      <c r="E656" t="inlineStr">
        <is>
          <t>HULTSFRED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28102-2025</t>
        </is>
      </c>
      <c r="B657" s="1" t="n">
        <v>45817.8397337963</v>
      </c>
      <c r="C657" s="1" t="n">
        <v>45948</v>
      </c>
      <c r="D657" t="inlineStr">
        <is>
          <t>KALMAR LÄN</t>
        </is>
      </c>
      <c r="E657" t="inlineStr">
        <is>
          <t>HULTSFRED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72860-2021</t>
        </is>
      </c>
      <c r="B658" s="1" t="n">
        <v>44547.48429398148</v>
      </c>
      <c r="C658" s="1" t="n">
        <v>45948</v>
      </c>
      <c r="D658" t="inlineStr">
        <is>
          <t>KALMAR LÄN</t>
        </is>
      </c>
      <c r="E658" t="inlineStr">
        <is>
          <t>HULTSFRED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37994-2023</t>
        </is>
      </c>
      <c r="B659" s="1" t="n">
        <v>45160.60979166667</v>
      </c>
      <c r="C659" s="1" t="n">
        <v>45948</v>
      </c>
      <c r="D659" t="inlineStr">
        <is>
          <t>KALMAR LÄN</t>
        </is>
      </c>
      <c r="E659" t="inlineStr">
        <is>
          <t>HULTSFRED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42567-2022</t>
        </is>
      </c>
      <c r="B660" s="1" t="n">
        <v>44831.66966435185</v>
      </c>
      <c r="C660" s="1" t="n">
        <v>45948</v>
      </c>
      <c r="D660" t="inlineStr">
        <is>
          <t>KALMAR LÄN</t>
        </is>
      </c>
      <c r="E660" t="inlineStr">
        <is>
          <t>HULTSFRED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2507-2023</t>
        </is>
      </c>
      <c r="B661" s="1" t="n">
        <v>44939</v>
      </c>
      <c r="C661" s="1" t="n">
        <v>45948</v>
      </c>
      <c r="D661" t="inlineStr">
        <is>
          <t>KALMAR LÄN</t>
        </is>
      </c>
      <c r="E661" t="inlineStr">
        <is>
          <t>HULTSFRED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32646-2023</t>
        </is>
      </c>
      <c r="B662" s="1" t="n">
        <v>45121.60563657407</v>
      </c>
      <c r="C662" s="1" t="n">
        <v>45948</v>
      </c>
      <c r="D662" t="inlineStr">
        <is>
          <t>KALMAR LÄN</t>
        </is>
      </c>
      <c r="E662" t="inlineStr">
        <is>
          <t>HULTSFRED</t>
        </is>
      </c>
      <c r="G662" t="n">
        <v>5.1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36395-2023</t>
        </is>
      </c>
      <c r="B663" s="1" t="n">
        <v>45152.54458333334</v>
      </c>
      <c r="C663" s="1" t="n">
        <v>45948</v>
      </c>
      <c r="D663" t="inlineStr">
        <is>
          <t>KALMAR LÄN</t>
        </is>
      </c>
      <c r="E663" t="inlineStr">
        <is>
          <t>HULTSFRED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39944-2023</t>
        </is>
      </c>
      <c r="B664" s="1" t="n">
        <v>45168</v>
      </c>
      <c r="C664" s="1" t="n">
        <v>45948</v>
      </c>
      <c r="D664" t="inlineStr">
        <is>
          <t>KALMAR LÄN</t>
        </is>
      </c>
      <c r="E664" t="inlineStr">
        <is>
          <t>HULTSFRED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28238-2024</t>
        </is>
      </c>
      <c r="B665" s="1" t="n">
        <v>45477.3924537037</v>
      </c>
      <c r="C665" s="1" t="n">
        <v>45948</v>
      </c>
      <c r="D665" t="inlineStr">
        <is>
          <t>KALMAR LÄN</t>
        </is>
      </c>
      <c r="E665" t="inlineStr">
        <is>
          <t>HULTSFRED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55396-2022</t>
        </is>
      </c>
      <c r="B666" s="1" t="n">
        <v>44882</v>
      </c>
      <c r="C666" s="1" t="n">
        <v>45948</v>
      </c>
      <c r="D666" t="inlineStr">
        <is>
          <t>KALMAR LÄN</t>
        </is>
      </c>
      <c r="E666" t="inlineStr">
        <is>
          <t>HULTSFRED</t>
        </is>
      </c>
      <c r="G666" t="n">
        <v>5.4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37628-2024</t>
        </is>
      </c>
      <c r="B667" s="1" t="n">
        <v>45541.52309027778</v>
      </c>
      <c r="C667" s="1" t="n">
        <v>45948</v>
      </c>
      <c r="D667" t="inlineStr">
        <is>
          <t>KALMAR LÄN</t>
        </is>
      </c>
      <c r="E667" t="inlineStr">
        <is>
          <t>HULTSFRED</t>
        </is>
      </c>
      <c r="F667" t="inlineStr">
        <is>
          <t>Övriga Aktiebolag</t>
        </is>
      </c>
      <c r="G667" t="n">
        <v>2.9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29311-2025</t>
        </is>
      </c>
      <c r="B668" s="1" t="n">
        <v>45824.46417824074</v>
      </c>
      <c r="C668" s="1" t="n">
        <v>45948</v>
      </c>
      <c r="D668" t="inlineStr">
        <is>
          <t>KALMAR LÄN</t>
        </is>
      </c>
      <c r="E668" t="inlineStr">
        <is>
          <t>HULTSFRED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46465-2023</t>
        </is>
      </c>
      <c r="B669" s="1" t="n">
        <v>45197.62081018519</v>
      </c>
      <c r="C669" s="1" t="n">
        <v>45948</v>
      </c>
      <c r="D669" t="inlineStr">
        <is>
          <t>KALMAR LÄN</t>
        </is>
      </c>
      <c r="E669" t="inlineStr">
        <is>
          <t>HULTSFRED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29718-2025</t>
        </is>
      </c>
      <c r="B670" s="1" t="n">
        <v>45825</v>
      </c>
      <c r="C670" s="1" t="n">
        <v>45948</v>
      </c>
      <c r="D670" t="inlineStr">
        <is>
          <t>KALMAR LÄN</t>
        </is>
      </c>
      <c r="E670" t="inlineStr">
        <is>
          <t>HULTSFRED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39845-2022</t>
        </is>
      </c>
      <c r="B671" s="1" t="n">
        <v>44819</v>
      </c>
      <c r="C671" s="1" t="n">
        <v>45948</v>
      </c>
      <c r="D671" t="inlineStr">
        <is>
          <t>KALMAR LÄN</t>
        </is>
      </c>
      <c r="E671" t="inlineStr">
        <is>
          <t>HULTSFRED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48927-2023</t>
        </is>
      </c>
      <c r="B672" s="1" t="n">
        <v>45209.55802083333</v>
      </c>
      <c r="C672" s="1" t="n">
        <v>45948</v>
      </c>
      <c r="D672" t="inlineStr">
        <is>
          <t>KALMAR LÄN</t>
        </is>
      </c>
      <c r="E672" t="inlineStr">
        <is>
          <t>HULTSFRED</t>
        </is>
      </c>
      <c r="F672" t="inlineStr">
        <is>
          <t>Övriga Aktiebolag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58868-2023</t>
        </is>
      </c>
      <c r="B673" s="1" t="n">
        <v>45252</v>
      </c>
      <c r="C673" s="1" t="n">
        <v>45948</v>
      </c>
      <c r="D673" t="inlineStr">
        <is>
          <t>KALMAR LÄN</t>
        </is>
      </c>
      <c r="E673" t="inlineStr">
        <is>
          <t>HULTSFRED</t>
        </is>
      </c>
      <c r="F673" t="inlineStr">
        <is>
          <t>Kyrkan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12166-2023</t>
        </is>
      </c>
      <c r="B674" s="1" t="n">
        <v>44998.50371527778</v>
      </c>
      <c r="C674" s="1" t="n">
        <v>45948</v>
      </c>
      <c r="D674" t="inlineStr">
        <is>
          <t>KALMAR LÄN</t>
        </is>
      </c>
      <c r="E674" t="inlineStr">
        <is>
          <t>HULTSFRED</t>
        </is>
      </c>
      <c r="F674" t="inlineStr">
        <is>
          <t>Övriga Aktiebolag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41219-2023</t>
        </is>
      </c>
      <c r="B675" s="1" t="n">
        <v>45174</v>
      </c>
      <c r="C675" s="1" t="n">
        <v>45948</v>
      </c>
      <c r="D675" t="inlineStr">
        <is>
          <t>KALMAR LÄN</t>
        </is>
      </c>
      <c r="E675" t="inlineStr">
        <is>
          <t>HULTSFRED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29744-2025</t>
        </is>
      </c>
      <c r="B676" s="1" t="n">
        <v>45825</v>
      </c>
      <c r="C676" s="1" t="n">
        <v>45948</v>
      </c>
      <c r="D676" t="inlineStr">
        <is>
          <t>KALMAR LÄN</t>
        </is>
      </c>
      <c r="E676" t="inlineStr">
        <is>
          <t>HULTSFRED</t>
        </is>
      </c>
      <c r="G676" t="n">
        <v>7.3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44681-2023</t>
        </is>
      </c>
      <c r="B677" s="1" t="n">
        <v>45189.84020833333</v>
      </c>
      <c r="C677" s="1" t="n">
        <v>45948</v>
      </c>
      <c r="D677" t="inlineStr">
        <is>
          <t>KALMAR LÄN</t>
        </is>
      </c>
      <c r="E677" t="inlineStr">
        <is>
          <t>HULTSFRED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40554-2023</t>
        </is>
      </c>
      <c r="B678" s="1" t="n">
        <v>45170.45482638889</v>
      </c>
      <c r="C678" s="1" t="n">
        <v>45948</v>
      </c>
      <c r="D678" t="inlineStr">
        <is>
          <t>KALMAR LÄN</t>
        </is>
      </c>
      <c r="E678" t="inlineStr">
        <is>
          <t>HULTSFRED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29728-2025</t>
        </is>
      </c>
      <c r="B679" s="1" t="n">
        <v>45825</v>
      </c>
      <c r="C679" s="1" t="n">
        <v>45948</v>
      </c>
      <c r="D679" t="inlineStr">
        <is>
          <t>KALMAR LÄN</t>
        </is>
      </c>
      <c r="E679" t="inlineStr">
        <is>
          <t>HULTSFRED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10966-2023</t>
        </is>
      </c>
      <c r="B680" s="1" t="n">
        <v>44991.57855324074</v>
      </c>
      <c r="C680" s="1" t="n">
        <v>45948</v>
      </c>
      <c r="D680" t="inlineStr">
        <is>
          <t>KALMAR LÄN</t>
        </is>
      </c>
      <c r="E680" t="inlineStr">
        <is>
          <t>HULTSFRED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20827-2025</t>
        </is>
      </c>
      <c r="B681" s="1" t="n">
        <v>45776</v>
      </c>
      <c r="C681" s="1" t="n">
        <v>45948</v>
      </c>
      <c r="D681" t="inlineStr">
        <is>
          <t>KALMAR LÄN</t>
        </is>
      </c>
      <c r="E681" t="inlineStr">
        <is>
          <t>HULTSFRED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53726-2022</t>
        </is>
      </c>
      <c r="B682" s="1" t="n">
        <v>44880</v>
      </c>
      <c r="C682" s="1" t="n">
        <v>45948</v>
      </c>
      <c r="D682" t="inlineStr">
        <is>
          <t>KALMAR LÄN</t>
        </is>
      </c>
      <c r="E682" t="inlineStr">
        <is>
          <t>HULTSFRED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30233-2025</t>
        </is>
      </c>
      <c r="B683" s="1" t="n">
        <v>45827.38844907407</v>
      </c>
      <c r="C683" s="1" t="n">
        <v>45948</v>
      </c>
      <c r="D683" t="inlineStr">
        <is>
          <t>KALMAR LÄN</t>
        </is>
      </c>
      <c r="E683" t="inlineStr">
        <is>
          <t>HULTSFRED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30250-2025</t>
        </is>
      </c>
      <c r="B684" s="1" t="n">
        <v>45827.4165625</v>
      </c>
      <c r="C684" s="1" t="n">
        <v>45948</v>
      </c>
      <c r="D684" t="inlineStr">
        <is>
          <t>KALMAR LÄN</t>
        </is>
      </c>
      <c r="E684" t="inlineStr">
        <is>
          <t>HULTSFRED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45032-2024</t>
        </is>
      </c>
      <c r="B685" s="1" t="n">
        <v>45575</v>
      </c>
      <c r="C685" s="1" t="n">
        <v>45948</v>
      </c>
      <c r="D685" t="inlineStr">
        <is>
          <t>KALMAR LÄN</t>
        </is>
      </c>
      <c r="E685" t="inlineStr">
        <is>
          <t>HULTSFRED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7531-2024</t>
        </is>
      </c>
      <c r="B686" s="1" t="n">
        <v>45348.39001157408</v>
      </c>
      <c r="C686" s="1" t="n">
        <v>45948</v>
      </c>
      <c r="D686" t="inlineStr">
        <is>
          <t>KALMAR LÄN</t>
        </is>
      </c>
      <c r="E686" t="inlineStr">
        <is>
          <t>HULTSFRED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30281-2025</t>
        </is>
      </c>
      <c r="B687" s="1" t="n">
        <v>45827.45986111111</v>
      </c>
      <c r="C687" s="1" t="n">
        <v>45948</v>
      </c>
      <c r="D687" t="inlineStr">
        <is>
          <t>KALMAR LÄN</t>
        </is>
      </c>
      <c r="E687" t="inlineStr">
        <is>
          <t>HULTSFRED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29901-2025</t>
        </is>
      </c>
      <c r="B688" s="1" t="n">
        <v>45826.38826388889</v>
      </c>
      <c r="C688" s="1" t="n">
        <v>45948</v>
      </c>
      <c r="D688" t="inlineStr">
        <is>
          <t>KALMAR LÄN</t>
        </is>
      </c>
      <c r="E688" t="inlineStr">
        <is>
          <t>HULTSFRED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30278-2025</t>
        </is>
      </c>
      <c r="B689" s="1" t="n">
        <v>45827.45690972222</v>
      </c>
      <c r="C689" s="1" t="n">
        <v>45948</v>
      </c>
      <c r="D689" t="inlineStr">
        <is>
          <t>KALMAR LÄN</t>
        </is>
      </c>
      <c r="E689" t="inlineStr">
        <is>
          <t>HULTSFRED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44256-2024</t>
        </is>
      </c>
      <c r="B690" s="1" t="n">
        <v>45573.45638888889</v>
      </c>
      <c r="C690" s="1" t="n">
        <v>45948</v>
      </c>
      <c r="D690" t="inlineStr">
        <is>
          <t>KALMAR LÄN</t>
        </is>
      </c>
      <c r="E690" t="inlineStr">
        <is>
          <t>HULTSFRED</t>
        </is>
      </c>
      <c r="G690" t="n">
        <v>3.5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40326-2023</t>
        </is>
      </c>
      <c r="B691" s="1" t="n">
        <v>45169.61795138889</v>
      </c>
      <c r="C691" s="1" t="n">
        <v>45948</v>
      </c>
      <c r="D691" t="inlineStr">
        <is>
          <t>KALMAR LÄN</t>
        </is>
      </c>
      <c r="E691" t="inlineStr">
        <is>
          <t>HULTSFRED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30269-2025</t>
        </is>
      </c>
      <c r="B692" s="1" t="n">
        <v>45827.44914351852</v>
      </c>
      <c r="C692" s="1" t="n">
        <v>45948</v>
      </c>
      <c r="D692" t="inlineStr">
        <is>
          <t>KALMAR LÄN</t>
        </is>
      </c>
      <c r="E692" t="inlineStr">
        <is>
          <t>HULTSFRED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30270-2025</t>
        </is>
      </c>
      <c r="B693" s="1" t="n">
        <v>45827.45063657407</v>
      </c>
      <c r="C693" s="1" t="n">
        <v>45948</v>
      </c>
      <c r="D693" t="inlineStr">
        <is>
          <t>KALMAR LÄN</t>
        </is>
      </c>
      <c r="E693" t="inlineStr">
        <is>
          <t>HULTSFRED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30273-2025</t>
        </is>
      </c>
      <c r="B694" s="1" t="n">
        <v>45827.45379629629</v>
      </c>
      <c r="C694" s="1" t="n">
        <v>45948</v>
      </c>
      <c r="D694" t="inlineStr">
        <is>
          <t>KALMAR LÄN</t>
        </is>
      </c>
      <c r="E694" t="inlineStr">
        <is>
          <t>HULTSFRED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30242-2025</t>
        </is>
      </c>
      <c r="B695" s="1" t="n">
        <v>45827.40579861111</v>
      </c>
      <c r="C695" s="1" t="n">
        <v>45948</v>
      </c>
      <c r="D695" t="inlineStr">
        <is>
          <t>KALMAR LÄN</t>
        </is>
      </c>
      <c r="E695" t="inlineStr">
        <is>
          <t>HULTSFRED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30294-2025</t>
        </is>
      </c>
      <c r="B696" s="1" t="n">
        <v>45827.47229166667</v>
      </c>
      <c r="C696" s="1" t="n">
        <v>45948</v>
      </c>
      <c r="D696" t="inlineStr">
        <is>
          <t>KALMAR LÄN</t>
        </is>
      </c>
      <c r="E696" t="inlineStr">
        <is>
          <t>HULTSFRED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29903-2025</t>
        </is>
      </c>
      <c r="B697" s="1" t="n">
        <v>45826.38912037037</v>
      </c>
      <c r="C697" s="1" t="n">
        <v>45948</v>
      </c>
      <c r="D697" t="inlineStr">
        <is>
          <t>KALMAR LÄN</t>
        </is>
      </c>
      <c r="E697" t="inlineStr">
        <is>
          <t>HULTSFRED</t>
        </is>
      </c>
      <c r="G697" t="n">
        <v>1.8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30284-2025</t>
        </is>
      </c>
      <c r="B698" s="1" t="n">
        <v>45827.46381944444</v>
      </c>
      <c r="C698" s="1" t="n">
        <v>45948</v>
      </c>
      <c r="D698" t="inlineStr">
        <is>
          <t>KALMAR LÄN</t>
        </is>
      </c>
      <c r="E698" t="inlineStr">
        <is>
          <t>HULTSFRED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30511-2025</t>
        </is>
      </c>
      <c r="B699" s="1" t="n">
        <v>45831.30805555556</v>
      </c>
      <c r="C699" s="1" t="n">
        <v>45948</v>
      </c>
      <c r="D699" t="inlineStr">
        <is>
          <t>KALMAR LÄN</t>
        </is>
      </c>
      <c r="E699" t="inlineStr">
        <is>
          <t>HULTSFRED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30929-2025</t>
        </is>
      </c>
      <c r="B700" s="1" t="n">
        <v>45831</v>
      </c>
      <c r="C700" s="1" t="n">
        <v>45948</v>
      </c>
      <c r="D700" t="inlineStr">
        <is>
          <t>KALMAR LÄN</t>
        </is>
      </c>
      <c r="E700" t="inlineStr">
        <is>
          <t>HULTSFRED</t>
        </is>
      </c>
      <c r="F700" t="inlineStr">
        <is>
          <t>Kommuner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22622-2024</t>
        </is>
      </c>
      <c r="B701" s="1" t="n">
        <v>45447</v>
      </c>
      <c r="C701" s="1" t="n">
        <v>45948</v>
      </c>
      <c r="D701" t="inlineStr">
        <is>
          <t>KALMAR LÄN</t>
        </is>
      </c>
      <c r="E701" t="inlineStr">
        <is>
          <t>HULTSFRED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30674-2025</t>
        </is>
      </c>
      <c r="B702" s="1" t="n">
        <v>45831.51925925926</v>
      </c>
      <c r="C702" s="1" t="n">
        <v>45948</v>
      </c>
      <c r="D702" t="inlineStr">
        <is>
          <t>KALMAR LÄN</t>
        </is>
      </c>
      <c r="E702" t="inlineStr">
        <is>
          <t>HULTSFRED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52893-2024</t>
        </is>
      </c>
      <c r="B703" s="1" t="n">
        <v>45610.66920138889</v>
      </c>
      <c r="C703" s="1" t="n">
        <v>45948</v>
      </c>
      <c r="D703" t="inlineStr">
        <is>
          <t>KALMAR LÄN</t>
        </is>
      </c>
      <c r="E703" t="inlineStr">
        <is>
          <t>HULTSFRED</t>
        </is>
      </c>
      <c r="G703" t="n">
        <v>1.2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61898-2023</t>
        </is>
      </c>
      <c r="B704" s="1" t="n">
        <v>45266.45414351852</v>
      </c>
      <c r="C704" s="1" t="n">
        <v>45948</v>
      </c>
      <c r="D704" t="inlineStr">
        <is>
          <t>KALMAR LÄN</t>
        </is>
      </c>
      <c r="E704" t="inlineStr">
        <is>
          <t>HULTSFRED</t>
        </is>
      </c>
      <c r="G704" t="n">
        <v>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53203-2022</t>
        </is>
      </c>
      <c r="B705" s="1" t="n">
        <v>44876</v>
      </c>
      <c r="C705" s="1" t="n">
        <v>45948</v>
      </c>
      <c r="D705" t="inlineStr">
        <is>
          <t>KALMAR LÄN</t>
        </is>
      </c>
      <c r="E705" t="inlineStr">
        <is>
          <t>HULTSFRED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19403-2023</t>
        </is>
      </c>
      <c r="B706" s="1" t="n">
        <v>45049</v>
      </c>
      <c r="C706" s="1" t="n">
        <v>45948</v>
      </c>
      <c r="D706" t="inlineStr">
        <is>
          <t>KALMAR LÄN</t>
        </is>
      </c>
      <c r="E706" t="inlineStr">
        <is>
          <t>HULTSFRED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11703-2023</t>
        </is>
      </c>
      <c r="B707" s="1" t="n">
        <v>44994.54207175926</v>
      </c>
      <c r="C707" s="1" t="n">
        <v>45948</v>
      </c>
      <c r="D707" t="inlineStr">
        <is>
          <t>KALMAR LÄN</t>
        </is>
      </c>
      <c r="E707" t="inlineStr">
        <is>
          <t>HULTSFRED</t>
        </is>
      </c>
      <c r="G707" t="n">
        <v>6.2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11710-2023</t>
        </is>
      </c>
      <c r="B708" s="1" t="n">
        <v>44994</v>
      </c>
      <c r="C708" s="1" t="n">
        <v>45948</v>
      </c>
      <c r="D708" t="inlineStr">
        <is>
          <t>KALMAR LÄN</t>
        </is>
      </c>
      <c r="E708" t="inlineStr">
        <is>
          <t>HULTSFRED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31265-2025</t>
        </is>
      </c>
      <c r="B709" s="1" t="n">
        <v>45833.32947916666</v>
      </c>
      <c r="C709" s="1" t="n">
        <v>45948</v>
      </c>
      <c r="D709" t="inlineStr">
        <is>
          <t>KALMAR LÄN</t>
        </is>
      </c>
      <c r="E709" t="inlineStr">
        <is>
          <t>HULTSFRED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31461-2025</t>
        </is>
      </c>
      <c r="B710" s="1" t="n">
        <v>45833</v>
      </c>
      <c r="C710" s="1" t="n">
        <v>45948</v>
      </c>
      <c r="D710" t="inlineStr">
        <is>
          <t>KALMAR LÄN</t>
        </is>
      </c>
      <c r="E710" t="inlineStr">
        <is>
          <t>HULTSFRED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31815-2025</t>
        </is>
      </c>
      <c r="B711" s="1" t="n">
        <v>45834.56986111111</v>
      </c>
      <c r="C711" s="1" t="n">
        <v>45948</v>
      </c>
      <c r="D711" t="inlineStr">
        <is>
          <t>KALMAR LÄN</t>
        </is>
      </c>
      <c r="E711" t="inlineStr">
        <is>
          <t>HULTSFRED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31783-2025</t>
        </is>
      </c>
      <c r="B712" s="1" t="n">
        <v>45834.53106481482</v>
      </c>
      <c r="C712" s="1" t="n">
        <v>45948</v>
      </c>
      <c r="D712" t="inlineStr">
        <is>
          <t>KALMAR LÄN</t>
        </is>
      </c>
      <c r="E712" t="inlineStr">
        <is>
          <t>HULTSFRED</t>
        </is>
      </c>
      <c r="G712" t="n">
        <v>2.2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31812-2025</t>
        </is>
      </c>
      <c r="B713" s="1" t="n">
        <v>45834.566875</v>
      </c>
      <c r="C713" s="1" t="n">
        <v>45948</v>
      </c>
      <c r="D713" t="inlineStr">
        <is>
          <t>KALMAR LÄN</t>
        </is>
      </c>
      <c r="E713" t="inlineStr">
        <is>
          <t>HULTSFRED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68991-2021</t>
        </is>
      </c>
      <c r="B714" s="1" t="n">
        <v>44529</v>
      </c>
      <c r="C714" s="1" t="n">
        <v>45948</v>
      </c>
      <c r="D714" t="inlineStr">
        <is>
          <t>KALMAR LÄN</t>
        </is>
      </c>
      <c r="E714" t="inlineStr">
        <is>
          <t>HULTSFRED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3999-2023</t>
        </is>
      </c>
      <c r="B715" s="1" t="n">
        <v>44952.49959490741</v>
      </c>
      <c r="C715" s="1" t="n">
        <v>45948</v>
      </c>
      <c r="D715" t="inlineStr">
        <is>
          <t>KALMAR LÄN</t>
        </is>
      </c>
      <c r="E715" t="inlineStr">
        <is>
          <t>HULTSFRED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31881-2025</t>
        </is>
      </c>
      <c r="B716" s="1" t="n">
        <v>45834.65643518518</v>
      </c>
      <c r="C716" s="1" t="n">
        <v>45948</v>
      </c>
      <c r="D716" t="inlineStr">
        <is>
          <t>KALMAR LÄN</t>
        </is>
      </c>
      <c r="E716" t="inlineStr">
        <is>
          <t>HULTSFRED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72708-2021</t>
        </is>
      </c>
      <c r="B717" s="1" t="n">
        <v>44546.67575231481</v>
      </c>
      <c r="C717" s="1" t="n">
        <v>45948</v>
      </c>
      <c r="D717" t="inlineStr">
        <is>
          <t>KALMAR LÄN</t>
        </is>
      </c>
      <c r="E717" t="inlineStr">
        <is>
          <t>HULTSFRED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7606-2025</t>
        </is>
      </c>
      <c r="B718" s="1" t="n">
        <v>45705.66491898148</v>
      </c>
      <c r="C718" s="1" t="n">
        <v>45948</v>
      </c>
      <c r="D718" t="inlineStr">
        <is>
          <t>KALMAR LÄN</t>
        </is>
      </c>
      <c r="E718" t="inlineStr">
        <is>
          <t>HULTSFRED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10992-2024</t>
        </is>
      </c>
      <c r="B719" s="1" t="n">
        <v>45370.55523148148</v>
      </c>
      <c r="C719" s="1" t="n">
        <v>45948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9718-2025</t>
        </is>
      </c>
      <c r="B720" s="1" t="n">
        <v>45715</v>
      </c>
      <c r="C720" s="1" t="n">
        <v>45948</v>
      </c>
      <c r="D720" t="inlineStr">
        <is>
          <t>KALMAR LÄN</t>
        </is>
      </c>
      <c r="E720" t="inlineStr">
        <is>
          <t>HULTSFRED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32546-2025</t>
        </is>
      </c>
      <c r="B721" s="1" t="n">
        <v>45838.53700231481</v>
      </c>
      <c r="C721" s="1" t="n">
        <v>45948</v>
      </c>
      <c r="D721" t="inlineStr">
        <is>
          <t>KALMAR LÄN</t>
        </is>
      </c>
      <c r="E721" t="inlineStr">
        <is>
          <t>HULTSFRED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62632-2023</t>
        </is>
      </c>
      <c r="B722" s="1" t="n">
        <v>45271.40059027778</v>
      </c>
      <c r="C722" s="1" t="n">
        <v>45948</v>
      </c>
      <c r="D722" t="inlineStr">
        <is>
          <t>KALMAR LÄN</t>
        </is>
      </c>
      <c r="E722" t="inlineStr">
        <is>
          <t>HULTSFRED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30386-2023</t>
        </is>
      </c>
      <c r="B723" s="1" t="n">
        <v>45099</v>
      </c>
      <c r="C723" s="1" t="n">
        <v>45948</v>
      </c>
      <c r="D723" t="inlineStr">
        <is>
          <t>KALMAR LÄN</t>
        </is>
      </c>
      <c r="E723" t="inlineStr">
        <is>
          <t>HULTSFRED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65529-2021</t>
        </is>
      </c>
      <c r="B724" s="1" t="n">
        <v>44516</v>
      </c>
      <c r="C724" s="1" t="n">
        <v>45948</v>
      </c>
      <c r="D724" t="inlineStr">
        <is>
          <t>KALMAR LÄN</t>
        </is>
      </c>
      <c r="E724" t="inlineStr">
        <is>
          <t>HULTSFRED</t>
        </is>
      </c>
      <c r="G724" t="n">
        <v>2.3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46029-2024</t>
        </is>
      </c>
      <c r="B725" s="1" t="n">
        <v>45580.70136574074</v>
      </c>
      <c r="C725" s="1" t="n">
        <v>45948</v>
      </c>
      <c r="D725" t="inlineStr">
        <is>
          <t>KALMAR LÄN</t>
        </is>
      </c>
      <c r="E725" t="inlineStr">
        <is>
          <t>HULTSFRED</t>
        </is>
      </c>
      <c r="G725" t="n">
        <v>5.3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36278-2023</t>
        </is>
      </c>
      <c r="B726" s="1" t="n">
        <v>45152.34190972222</v>
      </c>
      <c r="C726" s="1" t="n">
        <v>45948</v>
      </c>
      <c r="D726" t="inlineStr">
        <is>
          <t>KALMAR LÄN</t>
        </is>
      </c>
      <c r="E726" t="inlineStr">
        <is>
          <t>HULTSFRED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34201-2025</t>
        </is>
      </c>
      <c r="B727" s="1" t="n">
        <v>45845.63357638889</v>
      </c>
      <c r="C727" s="1" t="n">
        <v>45948</v>
      </c>
      <c r="D727" t="inlineStr">
        <is>
          <t>KALMAR LÄN</t>
        </is>
      </c>
      <c r="E727" t="inlineStr">
        <is>
          <t>HULTSFRED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34167-2025</t>
        </is>
      </c>
      <c r="B728" s="1" t="n">
        <v>45845.58313657407</v>
      </c>
      <c r="C728" s="1" t="n">
        <v>45948</v>
      </c>
      <c r="D728" t="inlineStr">
        <is>
          <t>KALMAR LÄN</t>
        </is>
      </c>
      <c r="E728" t="inlineStr">
        <is>
          <t>HULTSFRED</t>
        </is>
      </c>
      <c r="G728" t="n">
        <v>12.5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59464-2024</t>
        </is>
      </c>
      <c r="B729" s="1" t="n">
        <v>45638.48775462963</v>
      </c>
      <c r="C729" s="1" t="n">
        <v>45948</v>
      </c>
      <c r="D729" t="inlineStr">
        <is>
          <t>KALMAR LÄN</t>
        </is>
      </c>
      <c r="E729" t="inlineStr">
        <is>
          <t>HULTSFRED</t>
        </is>
      </c>
      <c r="F729" t="inlineStr">
        <is>
          <t>Sveaskog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33990-2025</t>
        </is>
      </c>
      <c r="B730" s="1" t="n">
        <v>45843.54559027778</v>
      </c>
      <c r="C730" s="1" t="n">
        <v>45948</v>
      </c>
      <c r="D730" t="inlineStr">
        <is>
          <t>KALMAR LÄN</t>
        </is>
      </c>
      <c r="E730" t="inlineStr">
        <is>
          <t>HULTSFRED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33958-2025</t>
        </is>
      </c>
      <c r="B731" s="1" t="n">
        <v>45842.68381944444</v>
      </c>
      <c r="C731" s="1" t="n">
        <v>45948</v>
      </c>
      <c r="D731" t="inlineStr">
        <is>
          <t>KALMAR LÄN</t>
        </is>
      </c>
      <c r="E731" t="inlineStr">
        <is>
          <t>HULTSFRED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42961-2023</t>
        </is>
      </c>
      <c r="B732" s="1" t="n">
        <v>45182</v>
      </c>
      <c r="C732" s="1" t="n">
        <v>45948</v>
      </c>
      <c r="D732" t="inlineStr">
        <is>
          <t>KALMAR LÄN</t>
        </is>
      </c>
      <c r="E732" t="inlineStr">
        <is>
          <t>HULTSFRED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58861-2023</t>
        </is>
      </c>
      <c r="B733" s="1" t="n">
        <v>45252.44798611111</v>
      </c>
      <c r="C733" s="1" t="n">
        <v>45948</v>
      </c>
      <c r="D733" t="inlineStr">
        <is>
          <t>KALMAR LÄN</t>
        </is>
      </c>
      <c r="E733" t="inlineStr">
        <is>
          <t>HULTSFRED</t>
        </is>
      </c>
      <c r="F733" t="inlineStr">
        <is>
          <t>Kyrkan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33886-2023</t>
        </is>
      </c>
      <c r="B734" s="1" t="n">
        <v>45134</v>
      </c>
      <c r="C734" s="1" t="n">
        <v>45948</v>
      </c>
      <c r="D734" t="inlineStr">
        <is>
          <t>KALMAR LÄN</t>
        </is>
      </c>
      <c r="E734" t="inlineStr">
        <is>
          <t>HULTSFRED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35176-2025</t>
        </is>
      </c>
      <c r="B735" s="1" t="n">
        <v>45852.91319444445</v>
      </c>
      <c r="C735" s="1" t="n">
        <v>45948</v>
      </c>
      <c r="D735" t="inlineStr">
        <is>
          <t>KALMAR LÄN</t>
        </is>
      </c>
      <c r="E735" t="inlineStr">
        <is>
          <t>HULTSFRED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211-2022</t>
        </is>
      </c>
      <c r="B736" s="1" t="n">
        <v>44564.80535879629</v>
      </c>
      <c r="C736" s="1" t="n">
        <v>45948</v>
      </c>
      <c r="D736" t="inlineStr">
        <is>
          <t>KALMAR LÄN</t>
        </is>
      </c>
      <c r="E736" t="inlineStr">
        <is>
          <t>HULTSFRED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36271-2023</t>
        </is>
      </c>
      <c r="B737" s="1" t="n">
        <v>45152</v>
      </c>
      <c r="C737" s="1" t="n">
        <v>45948</v>
      </c>
      <c r="D737" t="inlineStr">
        <is>
          <t>KALMAR LÄN</t>
        </is>
      </c>
      <c r="E737" t="inlineStr">
        <is>
          <t>HULTSFRED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12390-2023</t>
        </is>
      </c>
      <c r="B738" s="1" t="n">
        <v>44999.48005787037</v>
      </c>
      <c r="C738" s="1" t="n">
        <v>45948</v>
      </c>
      <c r="D738" t="inlineStr">
        <is>
          <t>KALMAR LÄN</t>
        </is>
      </c>
      <c r="E738" t="inlineStr">
        <is>
          <t>HULTSFRED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42316-2023</t>
        </is>
      </c>
      <c r="B739" s="1" t="n">
        <v>45180.46920138889</v>
      </c>
      <c r="C739" s="1" t="n">
        <v>45948</v>
      </c>
      <c r="D739" t="inlineStr">
        <is>
          <t>KALMAR LÄN</t>
        </is>
      </c>
      <c r="E739" t="inlineStr">
        <is>
          <t>HULTSFRED</t>
        </is>
      </c>
      <c r="G739" t="n">
        <v>8.1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11080-2021</t>
        </is>
      </c>
      <c r="B740" s="1" t="n">
        <v>44260</v>
      </c>
      <c r="C740" s="1" t="n">
        <v>45948</v>
      </c>
      <c r="D740" t="inlineStr">
        <is>
          <t>KALMAR LÄN</t>
        </is>
      </c>
      <c r="E740" t="inlineStr">
        <is>
          <t>HULTSFRED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29046-2023</t>
        </is>
      </c>
      <c r="B741" s="1" t="n">
        <v>45104.82601851852</v>
      </c>
      <c r="C741" s="1" t="n">
        <v>45948</v>
      </c>
      <c r="D741" t="inlineStr">
        <is>
          <t>KALMAR LÄN</t>
        </is>
      </c>
      <c r="E741" t="inlineStr">
        <is>
          <t>HULTSFRED</t>
        </is>
      </c>
      <c r="G741" t="n">
        <v>9.199999999999999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15445-2023</t>
        </is>
      </c>
      <c r="B742" s="1" t="n">
        <v>45016</v>
      </c>
      <c r="C742" s="1" t="n">
        <v>45948</v>
      </c>
      <c r="D742" t="inlineStr">
        <is>
          <t>KALMAR LÄN</t>
        </is>
      </c>
      <c r="E742" t="inlineStr">
        <is>
          <t>HULTSFRED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32770-2021</t>
        </is>
      </c>
      <c r="B743" s="1" t="n">
        <v>44375</v>
      </c>
      <c r="C743" s="1" t="n">
        <v>45948</v>
      </c>
      <c r="D743" t="inlineStr">
        <is>
          <t>KALMAR LÄN</t>
        </is>
      </c>
      <c r="E743" t="inlineStr">
        <is>
          <t>HULTSFRED</t>
        </is>
      </c>
      <c r="G743" t="n">
        <v>2.3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43663-2024</t>
        </is>
      </c>
      <c r="B744" s="1" t="n">
        <v>45569</v>
      </c>
      <c r="C744" s="1" t="n">
        <v>45948</v>
      </c>
      <c r="D744" t="inlineStr">
        <is>
          <t>KALMAR LÄN</t>
        </is>
      </c>
      <c r="E744" t="inlineStr">
        <is>
          <t>HULTSFRED</t>
        </is>
      </c>
      <c r="G744" t="n">
        <v>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16113-2024</t>
        </is>
      </c>
      <c r="B745" s="1" t="n">
        <v>45406</v>
      </c>
      <c r="C745" s="1" t="n">
        <v>45948</v>
      </c>
      <c r="D745" t="inlineStr">
        <is>
          <t>KALMAR LÄN</t>
        </is>
      </c>
      <c r="E745" t="inlineStr">
        <is>
          <t>HULTSFRED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15130-2023</t>
        </is>
      </c>
      <c r="B746" s="1" t="n">
        <v>45016.51652777778</v>
      </c>
      <c r="C746" s="1" t="n">
        <v>45948</v>
      </c>
      <c r="D746" t="inlineStr">
        <is>
          <t>KALMAR LÄN</t>
        </is>
      </c>
      <c r="E746" t="inlineStr">
        <is>
          <t>HULTSFRED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27527-2025</t>
        </is>
      </c>
      <c r="B747" s="1" t="n">
        <v>45813.44929398148</v>
      </c>
      <c r="C747" s="1" t="n">
        <v>45948</v>
      </c>
      <c r="D747" t="inlineStr">
        <is>
          <t>KALMAR LÄN</t>
        </is>
      </c>
      <c r="E747" t="inlineStr">
        <is>
          <t>HULTSFRED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55131-2024</t>
        </is>
      </c>
      <c r="B748" s="1" t="n">
        <v>45618</v>
      </c>
      <c r="C748" s="1" t="n">
        <v>45948</v>
      </c>
      <c r="D748" t="inlineStr">
        <is>
          <t>KALMAR LÄN</t>
        </is>
      </c>
      <c r="E748" t="inlineStr">
        <is>
          <t>HULTSFRED</t>
        </is>
      </c>
      <c r="G748" t="n">
        <v>6.6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43037-2025</t>
        </is>
      </c>
      <c r="B749" s="1" t="n">
        <v>45909.54929398148</v>
      </c>
      <c r="C749" s="1" t="n">
        <v>45948</v>
      </c>
      <c r="D749" t="inlineStr">
        <is>
          <t>KALMAR LÄN</t>
        </is>
      </c>
      <c r="E749" t="inlineStr">
        <is>
          <t>HULTSFRED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43044-2025</t>
        </is>
      </c>
      <c r="B750" s="1" t="n">
        <v>45909.56019675926</v>
      </c>
      <c r="C750" s="1" t="n">
        <v>45948</v>
      </c>
      <c r="D750" t="inlineStr">
        <is>
          <t>KALMAR LÄN</t>
        </is>
      </c>
      <c r="E750" t="inlineStr">
        <is>
          <t>HULTSFRED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13781-2024</t>
        </is>
      </c>
      <c r="B751" s="1" t="n">
        <v>45391.33564814815</v>
      </c>
      <c r="C751" s="1" t="n">
        <v>45948</v>
      </c>
      <c r="D751" t="inlineStr">
        <is>
          <t>KALMAR LÄN</t>
        </is>
      </c>
      <c r="E751" t="inlineStr">
        <is>
          <t>HULTSFRED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13786-2024</t>
        </is>
      </c>
      <c r="B752" s="1" t="n">
        <v>45391.33994212963</v>
      </c>
      <c r="C752" s="1" t="n">
        <v>45948</v>
      </c>
      <c r="D752" t="inlineStr">
        <is>
          <t>KALMAR LÄN</t>
        </is>
      </c>
      <c r="E752" t="inlineStr">
        <is>
          <t>HULTSFRED</t>
        </is>
      </c>
      <c r="G752" t="n">
        <v>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43041-2025</t>
        </is>
      </c>
      <c r="B753" s="1" t="n">
        <v>45909.55575231482</v>
      </c>
      <c r="C753" s="1" t="n">
        <v>45948</v>
      </c>
      <c r="D753" t="inlineStr">
        <is>
          <t>KALMAR LÄN</t>
        </is>
      </c>
      <c r="E753" t="inlineStr">
        <is>
          <t>HULTSFRED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59977-2023</t>
        </is>
      </c>
      <c r="B754" s="1" t="n">
        <v>45257.7815625</v>
      </c>
      <c r="C754" s="1" t="n">
        <v>45948</v>
      </c>
      <c r="D754" t="inlineStr">
        <is>
          <t>KALMAR LÄN</t>
        </is>
      </c>
      <c r="E754" t="inlineStr">
        <is>
          <t>HULTSFRED</t>
        </is>
      </c>
      <c r="F754" t="inlineStr">
        <is>
          <t>Sveaskog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14599-2022</t>
        </is>
      </c>
      <c r="B755" s="1" t="n">
        <v>44655</v>
      </c>
      <c r="C755" s="1" t="n">
        <v>45948</v>
      </c>
      <c r="D755" t="inlineStr">
        <is>
          <t>KALMAR LÄN</t>
        </is>
      </c>
      <c r="E755" t="inlineStr">
        <is>
          <t>HULTSFRED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55108-2024</t>
        </is>
      </c>
      <c r="B756" s="1" t="n">
        <v>45621.44763888889</v>
      </c>
      <c r="C756" s="1" t="n">
        <v>45948</v>
      </c>
      <c r="D756" t="inlineStr">
        <is>
          <t>KALMAR LÄN</t>
        </is>
      </c>
      <c r="E756" t="inlineStr">
        <is>
          <t>HULTSFRED</t>
        </is>
      </c>
      <c r="G756" t="n">
        <v>4.9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43034-2025</t>
        </is>
      </c>
      <c r="B757" s="1" t="n">
        <v>45909.54364583334</v>
      </c>
      <c r="C757" s="1" t="n">
        <v>45948</v>
      </c>
      <c r="D757" t="inlineStr">
        <is>
          <t>KALMAR LÄN</t>
        </is>
      </c>
      <c r="E757" t="inlineStr">
        <is>
          <t>HULTSFRED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42869-2025</t>
        </is>
      </c>
      <c r="B758" s="1" t="n">
        <v>45908</v>
      </c>
      <c r="C758" s="1" t="n">
        <v>45948</v>
      </c>
      <c r="D758" t="inlineStr">
        <is>
          <t>KALMAR LÄN</t>
        </is>
      </c>
      <c r="E758" t="inlineStr">
        <is>
          <t>HULTSFRED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43208-2025</t>
        </is>
      </c>
      <c r="B759" s="1" t="n">
        <v>45910.45300925926</v>
      </c>
      <c r="C759" s="1" t="n">
        <v>45948</v>
      </c>
      <c r="D759" t="inlineStr">
        <is>
          <t>KALMAR LÄN</t>
        </is>
      </c>
      <c r="E759" t="inlineStr">
        <is>
          <t>HULTSFRED</t>
        </is>
      </c>
      <c r="F759" t="inlineStr">
        <is>
          <t>Kyrkan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43454-2025</t>
        </is>
      </c>
      <c r="B760" s="1" t="n">
        <v>45911.45987268518</v>
      </c>
      <c r="C760" s="1" t="n">
        <v>45948</v>
      </c>
      <c r="D760" t="inlineStr">
        <is>
          <t>KALMAR LÄN</t>
        </is>
      </c>
      <c r="E760" t="inlineStr">
        <is>
          <t>HULTSFRED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42873-2025</t>
        </is>
      </c>
      <c r="B761" s="1" t="n">
        <v>45908</v>
      </c>
      <c r="C761" s="1" t="n">
        <v>45948</v>
      </c>
      <c r="D761" t="inlineStr">
        <is>
          <t>KALMAR LÄN</t>
        </is>
      </c>
      <c r="E761" t="inlineStr">
        <is>
          <t>HULTSFRED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31791-2025</t>
        </is>
      </c>
      <c r="B762" s="1" t="n">
        <v>45834.54039351852</v>
      </c>
      <c r="C762" s="1" t="n">
        <v>45948</v>
      </c>
      <c r="D762" t="inlineStr">
        <is>
          <t>KALMAR LÄN</t>
        </is>
      </c>
      <c r="E762" t="inlineStr">
        <is>
          <t>HULTSFRED</t>
        </is>
      </c>
      <c r="G762" t="n">
        <v>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27594-2025</t>
        </is>
      </c>
      <c r="B763" s="1" t="n">
        <v>45813.52047453704</v>
      </c>
      <c r="C763" s="1" t="n">
        <v>45948</v>
      </c>
      <c r="D763" t="inlineStr">
        <is>
          <t>KALMAR LÄN</t>
        </is>
      </c>
      <c r="E763" t="inlineStr">
        <is>
          <t>HULTSFRED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42914-2025</t>
        </is>
      </c>
      <c r="B764" s="1" t="n">
        <v>45908</v>
      </c>
      <c r="C764" s="1" t="n">
        <v>45948</v>
      </c>
      <c r="D764" t="inlineStr">
        <is>
          <t>KALMAR LÄN</t>
        </is>
      </c>
      <c r="E764" t="inlineStr">
        <is>
          <t>HULTSFRED</t>
        </is>
      </c>
      <c r="G764" t="n">
        <v>3.1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42827-2025</t>
        </is>
      </c>
      <c r="B765" s="1" t="n">
        <v>45908</v>
      </c>
      <c r="C765" s="1" t="n">
        <v>45948</v>
      </c>
      <c r="D765" t="inlineStr">
        <is>
          <t>KALMAR LÄN</t>
        </is>
      </c>
      <c r="E765" t="inlineStr">
        <is>
          <t>HULTSFRED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5584-2025</t>
        </is>
      </c>
      <c r="B766" s="1" t="n">
        <v>45693.5546875</v>
      </c>
      <c r="C766" s="1" t="n">
        <v>45948</v>
      </c>
      <c r="D766" t="inlineStr">
        <is>
          <t>KALMAR LÄN</t>
        </is>
      </c>
      <c r="E766" t="inlineStr">
        <is>
          <t>HULTSFRED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5587-2025</t>
        </is>
      </c>
      <c r="B767" s="1" t="n">
        <v>45693.55793981482</v>
      </c>
      <c r="C767" s="1" t="n">
        <v>45948</v>
      </c>
      <c r="D767" t="inlineStr">
        <is>
          <t>KALMAR LÄN</t>
        </is>
      </c>
      <c r="E767" t="inlineStr">
        <is>
          <t>HULTSFRED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43859-2025</t>
        </is>
      </c>
      <c r="B768" s="1" t="n">
        <v>45912.65081018519</v>
      </c>
      <c r="C768" s="1" t="n">
        <v>45948</v>
      </c>
      <c r="D768" t="inlineStr">
        <is>
          <t>KALMAR LÄN</t>
        </is>
      </c>
      <c r="E768" t="inlineStr">
        <is>
          <t>HULTSFRED</t>
        </is>
      </c>
      <c r="G768" t="n">
        <v>3.6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43936-2025</t>
        </is>
      </c>
      <c r="B769" s="1" t="n">
        <v>45915.34211805555</v>
      </c>
      <c r="C769" s="1" t="n">
        <v>45948</v>
      </c>
      <c r="D769" t="inlineStr">
        <is>
          <t>KALMAR LÄN</t>
        </is>
      </c>
      <c r="E769" t="inlineStr">
        <is>
          <t>HULTSFRED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42847-2025</t>
        </is>
      </c>
      <c r="B770" s="1" t="n">
        <v>45908</v>
      </c>
      <c r="C770" s="1" t="n">
        <v>45948</v>
      </c>
      <c r="D770" t="inlineStr">
        <is>
          <t>KALMAR LÄN</t>
        </is>
      </c>
      <c r="E770" t="inlineStr">
        <is>
          <t>HULTSFRED</t>
        </is>
      </c>
      <c r="G770" t="n">
        <v>2.3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42859-2025</t>
        </is>
      </c>
      <c r="B771" s="1" t="n">
        <v>45908</v>
      </c>
      <c r="C771" s="1" t="n">
        <v>45948</v>
      </c>
      <c r="D771" t="inlineStr">
        <is>
          <t>KALMAR LÄN</t>
        </is>
      </c>
      <c r="E771" t="inlineStr">
        <is>
          <t>HULTSFRED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33684-2025</t>
        </is>
      </c>
      <c r="B772" s="1" t="n">
        <v>45841</v>
      </c>
      <c r="C772" s="1" t="n">
        <v>45948</v>
      </c>
      <c r="D772" t="inlineStr">
        <is>
          <t>KALMAR LÄN</t>
        </is>
      </c>
      <c r="E772" t="inlineStr">
        <is>
          <t>HULTSFRED</t>
        </is>
      </c>
      <c r="G772" t="n">
        <v>7.2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42824-2025</t>
        </is>
      </c>
      <c r="B773" s="1" t="n">
        <v>45908</v>
      </c>
      <c r="C773" s="1" t="n">
        <v>45948</v>
      </c>
      <c r="D773" t="inlineStr">
        <is>
          <t>KALMAR LÄN</t>
        </is>
      </c>
      <c r="E773" t="inlineStr">
        <is>
          <t>HULTSFRED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36677-2025</t>
        </is>
      </c>
      <c r="B774" s="1" t="n">
        <v>45873.39606481481</v>
      </c>
      <c r="C774" s="1" t="n">
        <v>45948</v>
      </c>
      <c r="D774" t="inlineStr">
        <is>
          <t>KALMAR LÄN</t>
        </is>
      </c>
      <c r="E774" t="inlineStr">
        <is>
          <t>HULTSFRED</t>
        </is>
      </c>
      <c r="G774" t="n">
        <v>3.6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16881-2025</t>
        </is>
      </c>
      <c r="B775" s="1" t="n">
        <v>45755.29855324074</v>
      </c>
      <c r="C775" s="1" t="n">
        <v>45948</v>
      </c>
      <c r="D775" t="inlineStr">
        <is>
          <t>KALMAR LÄN</t>
        </is>
      </c>
      <c r="E775" t="inlineStr">
        <is>
          <t>HULTSFRED</t>
        </is>
      </c>
      <c r="F775" t="inlineStr">
        <is>
          <t>Sveaskog</t>
        </is>
      </c>
      <c r="G775" t="n">
        <v>3.3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23852-2024</t>
        </is>
      </c>
      <c r="B776" s="1" t="n">
        <v>45455.5603587963</v>
      </c>
      <c r="C776" s="1" t="n">
        <v>45948</v>
      </c>
      <c r="D776" t="inlineStr">
        <is>
          <t>KALMAR LÄN</t>
        </is>
      </c>
      <c r="E776" t="inlineStr">
        <is>
          <t>HULTSFRED</t>
        </is>
      </c>
      <c r="G776" t="n">
        <v>2.2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44399-2025</t>
        </is>
      </c>
      <c r="B777" s="1" t="n">
        <v>45916.50309027778</v>
      </c>
      <c r="C777" s="1" t="n">
        <v>45948</v>
      </c>
      <c r="D777" t="inlineStr">
        <is>
          <t>KALMAR LÄN</t>
        </is>
      </c>
      <c r="E777" t="inlineStr">
        <is>
          <t>HULTSFRED</t>
        </is>
      </c>
      <c r="G777" t="n">
        <v>7.4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44412-2025</t>
        </is>
      </c>
      <c r="B778" s="1" t="n">
        <v>45916.54130787037</v>
      </c>
      <c r="C778" s="1" t="n">
        <v>45948</v>
      </c>
      <c r="D778" t="inlineStr">
        <is>
          <t>KALMAR LÄN</t>
        </is>
      </c>
      <c r="E778" t="inlineStr">
        <is>
          <t>HULTSFRED</t>
        </is>
      </c>
      <c r="G778" t="n">
        <v>2.2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44800-2025</t>
        </is>
      </c>
      <c r="B779" s="1" t="n">
        <v>45918</v>
      </c>
      <c r="C779" s="1" t="n">
        <v>45948</v>
      </c>
      <c r="D779" t="inlineStr">
        <is>
          <t>KALMAR LÄN</t>
        </is>
      </c>
      <c r="E779" t="inlineStr">
        <is>
          <t>HULTSFRED</t>
        </is>
      </c>
      <c r="G779" t="n">
        <v>3.5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44806-2025</t>
        </is>
      </c>
      <c r="B780" s="1" t="n">
        <v>45918</v>
      </c>
      <c r="C780" s="1" t="n">
        <v>45948</v>
      </c>
      <c r="D780" t="inlineStr">
        <is>
          <t>KALMAR LÄN</t>
        </is>
      </c>
      <c r="E780" t="inlineStr">
        <is>
          <t>HULTSFRED</t>
        </is>
      </c>
      <c r="G780" t="n">
        <v>2.2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30005-2025</t>
        </is>
      </c>
      <c r="B781" s="1" t="n">
        <v>45826.52912037037</v>
      </c>
      <c r="C781" s="1" t="n">
        <v>45948</v>
      </c>
      <c r="D781" t="inlineStr">
        <is>
          <t>KALMAR LÄN</t>
        </is>
      </c>
      <c r="E781" t="inlineStr">
        <is>
          <t>HULTSFRED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33683-2025</t>
        </is>
      </c>
      <c r="B782" s="1" t="n">
        <v>45841</v>
      </c>
      <c r="C782" s="1" t="n">
        <v>45948</v>
      </c>
      <c r="D782" t="inlineStr">
        <is>
          <t>KALMAR LÄN</t>
        </is>
      </c>
      <c r="E782" t="inlineStr">
        <is>
          <t>HULTSFRED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44799-2025</t>
        </is>
      </c>
      <c r="B783" s="1" t="n">
        <v>45918</v>
      </c>
      <c r="C783" s="1" t="n">
        <v>45948</v>
      </c>
      <c r="D783" t="inlineStr">
        <is>
          <t>KALMAR LÄN</t>
        </is>
      </c>
      <c r="E783" t="inlineStr">
        <is>
          <t>HULTSFRED</t>
        </is>
      </c>
      <c r="G783" t="n">
        <v>8.800000000000001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45822-2025</t>
        </is>
      </c>
      <c r="B784" s="1" t="n">
        <v>45923.5972337963</v>
      </c>
      <c r="C784" s="1" t="n">
        <v>45948</v>
      </c>
      <c r="D784" t="inlineStr">
        <is>
          <t>KALMAR LÄN</t>
        </is>
      </c>
      <c r="E784" t="inlineStr">
        <is>
          <t>HULTSFRED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45824-2025</t>
        </is>
      </c>
      <c r="B785" s="1" t="n">
        <v>45923.5996875</v>
      </c>
      <c r="C785" s="1" t="n">
        <v>45948</v>
      </c>
      <c r="D785" t="inlineStr">
        <is>
          <t>KALMAR LÄN</t>
        </is>
      </c>
      <c r="E785" t="inlineStr">
        <is>
          <t>HULTSFRED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45727-2025</t>
        </is>
      </c>
      <c r="B786" s="1" t="n">
        <v>45923.45716435185</v>
      </c>
      <c r="C786" s="1" t="n">
        <v>45948</v>
      </c>
      <c r="D786" t="inlineStr">
        <is>
          <t>KALMAR LÄN</t>
        </is>
      </c>
      <c r="E786" t="inlineStr">
        <is>
          <t>HULTSFRED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45860-2025</t>
        </is>
      </c>
      <c r="B787" s="1" t="n">
        <v>45923.64208333333</v>
      </c>
      <c r="C787" s="1" t="n">
        <v>45948</v>
      </c>
      <c r="D787" t="inlineStr">
        <is>
          <t>KALMAR LÄN</t>
        </is>
      </c>
      <c r="E787" t="inlineStr">
        <is>
          <t>HULTSFRED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45829-2025</t>
        </is>
      </c>
      <c r="B788" s="1" t="n">
        <v>45923.60203703704</v>
      </c>
      <c r="C788" s="1" t="n">
        <v>45948</v>
      </c>
      <c r="D788" t="inlineStr">
        <is>
          <t>KALMAR LÄN</t>
        </is>
      </c>
      <c r="E788" t="inlineStr">
        <is>
          <t>HULTSFRED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45834-2025</t>
        </is>
      </c>
      <c r="B789" s="1" t="n">
        <v>45923.60820601852</v>
      </c>
      <c r="C789" s="1" t="n">
        <v>45948</v>
      </c>
      <c r="D789" t="inlineStr">
        <is>
          <t>KALMAR LÄN</t>
        </is>
      </c>
      <c r="E789" t="inlineStr">
        <is>
          <t>HULTSFRED</t>
        </is>
      </c>
      <c r="G789" t="n">
        <v>3.1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45808-2025</t>
        </is>
      </c>
      <c r="B790" s="1" t="n">
        <v>45923.58523148148</v>
      </c>
      <c r="C790" s="1" t="n">
        <v>45948</v>
      </c>
      <c r="D790" t="inlineStr">
        <is>
          <t>KALMAR LÄN</t>
        </is>
      </c>
      <c r="E790" t="inlineStr">
        <is>
          <t>HULTSFRED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45839-2025</t>
        </is>
      </c>
      <c r="B791" s="1" t="n">
        <v>45923.61215277778</v>
      </c>
      <c r="C791" s="1" t="n">
        <v>45948</v>
      </c>
      <c r="D791" t="inlineStr">
        <is>
          <t>KALMAR LÄN</t>
        </is>
      </c>
      <c r="E791" t="inlineStr">
        <is>
          <t>HULTSFRED</t>
        </is>
      </c>
      <c r="G791" t="n">
        <v>2.9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45842-2025</t>
        </is>
      </c>
      <c r="B792" s="1" t="n">
        <v>45923.61527777778</v>
      </c>
      <c r="C792" s="1" t="n">
        <v>45948</v>
      </c>
      <c r="D792" t="inlineStr">
        <is>
          <t>KALMAR LÄN</t>
        </is>
      </c>
      <c r="E792" t="inlineStr">
        <is>
          <t>HULTSFRED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45807-2025</t>
        </is>
      </c>
      <c r="B793" s="1" t="n">
        <v>45923.58434027778</v>
      </c>
      <c r="C793" s="1" t="n">
        <v>45948</v>
      </c>
      <c r="D793" t="inlineStr">
        <is>
          <t>KALMAR LÄN</t>
        </is>
      </c>
      <c r="E793" t="inlineStr">
        <is>
          <t>HULTSFRED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45848-2025</t>
        </is>
      </c>
      <c r="B794" s="1" t="n">
        <v>45923.61694444445</v>
      </c>
      <c r="C794" s="1" t="n">
        <v>45948</v>
      </c>
      <c r="D794" t="inlineStr">
        <is>
          <t>KALMAR LÄN</t>
        </is>
      </c>
      <c r="E794" t="inlineStr">
        <is>
          <t>HULTSFRED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45867-2025</t>
        </is>
      </c>
      <c r="B795" s="1" t="n">
        <v>45923.64820601852</v>
      </c>
      <c r="C795" s="1" t="n">
        <v>45948</v>
      </c>
      <c r="D795" t="inlineStr">
        <is>
          <t>KALMAR LÄN</t>
        </is>
      </c>
      <c r="E795" t="inlineStr">
        <is>
          <t>HULTSFRED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37941-2025</t>
        </is>
      </c>
      <c r="B796" s="1" t="n">
        <v>45881.60173611111</v>
      </c>
      <c r="C796" s="1" t="n">
        <v>45948</v>
      </c>
      <c r="D796" t="inlineStr">
        <is>
          <t>KALMAR LÄN</t>
        </is>
      </c>
      <c r="E796" t="inlineStr">
        <is>
          <t>HULTSFRED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45816-2025</t>
        </is>
      </c>
      <c r="B797" s="1" t="n">
        <v>45923.59324074074</v>
      </c>
      <c r="C797" s="1" t="n">
        <v>45948</v>
      </c>
      <c r="D797" t="inlineStr">
        <is>
          <t>KALMAR LÄN</t>
        </is>
      </c>
      <c r="E797" t="inlineStr">
        <is>
          <t>HULTSFRED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45831-2025</t>
        </is>
      </c>
      <c r="B798" s="1" t="n">
        <v>45923.60518518519</v>
      </c>
      <c r="C798" s="1" t="n">
        <v>45948</v>
      </c>
      <c r="D798" t="inlineStr">
        <is>
          <t>KALMAR LÄN</t>
        </is>
      </c>
      <c r="E798" t="inlineStr">
        <is>
          <t>HULTSFRED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45865-2025</t>
        </is>
      </c>
      <c r="B799" s="1" t="n">
        <v>45923.64613425926</v>
      </c>
      <c r="C799" s="1" t="n">
        <v>45948</v>
      </c>
      <c r="D799" t="inlineStr">
        <is>
          <t>KALMAR LÄN</t>
        </is>
      </c>
      <c r="E799" t="inlineStr">
        <is>
          <t>HULTSFRED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37731-2025</t>
        </is>
      </c>
      <c r="B800" s="1" t="n">
        <v>45880.63050925926</v>
      </c>
      <c r="C800" s="1" t="n">
        <v>45948</v>
      </c>
      <c r="D800" t="inlineStr">
        <is>
          <t>KALMAR LÄN</t>
        </is>
      </c>
      <c r="E800" t="inlineStr">
        <is>
          <t>HULTSFRED</t>
        </is>
      </c>
      <c r="G800" t="n">
        <v>10.1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31421-2024</t>
        </is>
      </c>
      <c r="B801" s="1" t="n">
        <v>45505</v>
      </c>
      <c r="C801" s="1" t="n">
        <v>45948</v>
      </c>
      <c r="D801" t="inlineStr">
        <is>
          <t>KALMAR LÄN</t>
        </is>
      </c>
      <c r="E801" t="inlineStr">
        <is>
          <t>HULTSFRED</t>
        </is>
      </c>
      <c r="G801" t="n">
        <v>5.2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31422-2024</t>
        </is>
      </c>
      <c r="B802" s="1" t="n">
        <v>45505</v>
      </c>
      <c r="C802" s="1" t="n">
        <v>45948</v>
      </c>
      <c r="D802" t="inlineStr">
        <is>
          <t>KALMAR LÄN</t>
        </is>
      </c>
      <c r="E802" t="inlineStr">
        <is>
          <t>HULTSFRED</t>
        </is>
      </c>
      <c r="G802" t="n">
        <v>5.5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35177-2025</t>
        </is>
      </c>
      <c r="B803" s="1" t="n">
        <v>45852.91453703704</v>
      </c>
      <c r="C803" s="1" t="n">
        <v>45948</v>
      </c>
      <c r="D803" t="inlineStr">
        <is>
          <t>KALMAR LÄN</t>
        </is>
      </c>
      <c r="E803" t="inlineStr">
        <is>
          <t>HULTSFRED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46032-2025</t>
        </is>
      </c>
      <c r="B804" s="1" t="n">
        <v>45924.44417824074</v>
      </c>
      <c r="C804" s="1" t="n">
        <v>45948</v>
      </c>
      <c r="D804" t="inlineStr">
        <is>
          <t>KALMAR LÄN</t>
        </is>
      </c>
      <c r="E804" t="inlineStr">
        <is>
          <t>HULTSFRED</t>
        </is>
      </c>
      <c r="G804" t="n">
        <v>2.4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46026-2025</t>
        </is>
      </c>
      <c r="B805" s="1" t="n">
        <v>45924.43762731482</v>
      </c>
      <c r="C805" s="1" t="n">
        <v>45948</v>
      </c>
      <c r="D805" t="inlineStr">
        <is>
          <t>KALMAR LÄN</t>
        </is>
      </c>
      <c r="E805" t="inlineStr">
        <is>
          <t>HULTSFRED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46443-2025</t>
        </is>
      </c>
      <c r="B806" s="1" t="n">
        <v>45925.64373842593</v>
      </c>
      <c r="C806" s="1" t="n">
        <v>45948</v>
      </c>
      <c r="D806" t="inlineStr">
        <is>
          <t>KALMAR LÄN</t>
        </is>
      </c>
      <c r="E806" t="inlineStr">
        <is>
          <t>HULTSFRED</t>
        </is>
      </c>
      <c r="F806" t="inlineStr">
        <is>
          <t>Övriga Aktiebolag</t>
        </is>
      </c>
      <c r="G806" t="n">
        <v>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46446-2025</t>
        </is>
      </c>
      <c r="B807" s="1" t="n">
        <v>45925.6472337963</v>
      </c>
      <c r="C807" s="1" t="n">
        <v>45948</v>
      </c>
      <c r="D807" t="inlineStr">
        <is>
          <t>KALMAR LÄN</t>
        </is>
      </c>
      <c r="E807" t="inlineStr">
        <is>
          <t>HULTSFRED</t>
        </is>
      </c>
      <c r="F807" t="inlineStr">
        <is>
          <t>Övriga Aktiebolag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46439-2025</t>
        </is>
      </c>
      <c r="B808" s="1" t="n">
        <v>45925.64199074074</v>
      </c>
      <c r="C808" s="1" t="n">
        <v>45948</v>
      </c>
      <c r="D808" t="inlineStr">
        <is>
          <t>KALMAR LÄN</t>
        </is>
      </c>
      <c r="E808" t="inlineStr">
        <is>
          <t>HULTSFRED</t>
        </is>
      </c>
      <c r="F808" t="inlineStr">
        <is>
          <t>Övriga Aktiebolag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46448-2025</t>
        </is>
      </c>
      <c r="B809" s="1" t="n">
        <v>45925.64988425926</v>
      </c>
      <c r="C809" s="1" t="n">
        <v>45948</v>
      </c>
      <c r="D809" t="inlineStr">
        <is>
          <t>KALMAR LÄN</t>
        </is>
      </c>
      <c r="E809" t="inlineStr">
        <is>
          <t>HULTSFRED</t>
        </is>
      </c>
      <c r="F809" t="inlineStr">
        <is>
          <t>Övriga Aktiebolag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46449-2025</t>
        </is>
      </c>
      <c r="B810" s="1" t="n">
        <v>45925.65148148148</v>
      </c>
      <c r="C810" s="1" t="n">
        <v>45948</v>
      </c>
      <c r="D810" t="inlineStr">
        <is>
          <t>KALMAR LÄN</t>
        </is>
      </c>
      <c r="E810" t="inlineStr">
        <is>
          <t>HULTSFRED</t>
        </is>
      </c>
      <c r="F810" t="inlineStr">
        <is>
          <t>Övriga Aktiebolag</t>
        </is>
      </c>
      <c r="G810" t="n">
        <v>3.3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>
      <c r="A811" t="inlineStr">
        <is>
          <t>A 46444-2025</t>
        </is>
      </c>
      <c r="B811" s="1" t="n">
        <v>45925.64577546297</v>
      </c>
      <c r="C811" s="1" t="n">
        <v>45948</v>
      </c>
      <c r="D811" t="inlineStr">
        <is>
          <t>KALMAR LÄN</t>
        </is>
      </c>
      <c r="E811" t="inlineStr">
        <is>
          <t>HULTSFRED</t>
        </is>
      </c>
      <c r="F811" t="inlineStr">
        <is>
          <t>Övriga Aktiebolag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2025-10-18T11:37:18Z</dcterms:created>
  <dcterms:modified xmlns:dcterms="http://purl.org/dc/terms/" xmlns:xsi="http://www.w3.org/2001/XMLSchema-instance" xsi:type="dcterms:W3CDTF">2025-10-18T11:37:19Z</dcterms:modified>
</cp:coreProperties>
</file>