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45958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45958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45958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45958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45958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45958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10103-2022</t>
        </is>
      </c>
      <c r="B8" s="1" t="n">
        <v>44621.78134259259</v>
      </c>
      <c r="C8" s="1" t="n">
        <v>45958</v>
      </c>
      <c r="D8" t="inlineStr">
        <is>
          <t>KALMAR LÄN</t>
        </is>
      </c>
      <c r="E8" t="inlineStr">
        <is>
          <t>MÖNSTERÅS</t>
        </is>
      </c>
      <c r="G8" t="n">
        <v>1.5</v>
      </c>
      <c r="H8" t="n">
        <v>0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Jätteknäppare
Grön aspvedbock
Mindre timmerman
Mindre träfjäril
Bronshjon
Gulröd blankbock</t>
        </is>
      </c>
      <c r="S8">
        <f>HYPERLINK("https://klasma.github.io/Logging_0861/artfynd/A 10103-2022 artfynd.xlsx", "A 10103-2022")</f>
        <v/>
      </c>
      <c r="T8">
        <f>HYPERLINK("https://klasma.github.io/Logging_0861/kartor/A 10103-2022 karta.png", "A 10103-2022")</f>
        <v/>
      </c>
      <c r="V8">
        <f>HYPERLINK("https://klasma.github.io/Logging_0861/klagomål/A 10103-2022 FSC-klagomål.docx", "A 10103-2022")</f>
        <v/>
      </c>
      <c r="W8">
        <f>HYPERLINK("https://klasma.github.io/Logging_0861/klagomålsmail/A 10103-2022 FSC-klagomål mail.docx", "A 10103-2022")</f>
        <v/>
      </c>
      <c r="X8">
        <f>HYPERLINK("https://klasma.github.io/Logging_0861/tillsyn/A 10103-2022 tillsynsbegäran.docx", "A 10103-2022")</f>
        <v/>
      </c>
      <c r="Y8">
        <f>HYPERLINK("https://klasma.github.io/Logging_0861/tillsynsmail/A 10103-2022 tillsynsbegäran mail.docx", "A 10103-2022")</f>
        <v/>
      </c>
    </row>
    <row r="9" ht="15" customHeight="1">
      <c r="A9" t="inlineStr">
        <is>
          <t>A 31889-2025</t>
        </is>
      </c>
      <c r="B9" s="1" t="n">
        <v>45834.66194444444</v>
      </c>
      <c r="C9" s="1" t="n">
        <v>45958</v>
      </c>
      <c r="D9" t="inlineStr">
        <is>
          <t>KALMAR LÄN</t>
        </is>
      </c>
      <c r="E9" t="inlineStr">
        <is>
          <t>MÖNSTERÅS</t>
        </is>
      </c>
      <c r="G9" t="n">
        <v>4.3</v>
      </c>
      <c r="H9" t="n">
        <v>5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Havsörn
Spillkråka
Talltita
Fällmossa
Gråkråka
Kungsfågel</t>
        </is>
      </c>
      <c r="S9">
        <f>HYPERLINK("https://klasma.github.io/Logging_0861/artfynd/A 31889-2025 artfynd.xlsx", "A 31889-2025")</f>
        <v/>
      </c>
      <c r="T9">
        <f>HYPERLINK("https://klasma.github.io/Logging_0861/kartor/A 31889-2025 karta.png", "A 31889-2025")</f>
        <v/>
      </c>
      <c r="V9">
        <f>HYPERLINK("https://klasma.github.io/Logging_0861/klagomål/A 31889-2025 FSC-klagomål.docx", "A 31889-2025")</f>
        <v/>
      </c>
      <c r="W9">
        <f>HYPERLINK("https://klasma.github.io/Logging_0861/klagomålsmail/A 31889-2025 FSC-klagomål mail.docx", "A 31889-2025")</f>
        <v/>
      </c>
      <c r="X9">
        <f>HYPERLINK("https://klasma.github.io/Logging_0861/tillsyn/A 31889-2025 tillsynsbegäran.docx", "A 31889-2025")</f>
        <v/>
      </c>
      <c r="Y9">
        <f>HYPERLINK("https://klasma.github.io/Logging_0861/tillsynsmail/A 31889-2025 tillsynsbegäran mail.docx", "A 31889-2025")</f>
        <v/>
      </c>
      <c r="Z9">
        <f>HYPERLINK("https://klasma.github.io/Logging_0861/fåglar/A 31889-2025 prioriterade fågelarter.docx", "A 31889-2025")</f>
        <v/>
      </c>
    </row>
    <row r="10" ht="15" customHeight="1">
      <c r="A10" t="inlineStr">
        <is>
          <t>A 34337-2025</t>
        </is>
      </c>
      <c r="B10" s="1" t="n">
        <v>45846.45671296296</v>
      </c>
      <c r="C10" s="1" t="n">
        <v>45958</v>
      </c>
      <c r="D10" t="inlineStr">
        <is>
          <t>KALMAR LÄN</t>
        </is>
      </c>
      <c r="E10" t="inlineStr">
        <is>
          <t>MÖNSTERÅS</t>
        </is>
      </c>
      <c r="G10" t="n">
        <v>4.5</v>
      </c>
      <c r="H10" t="n">
        <v>5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Havsörn
Spillkråka
Talltita
Vedskivlav
Gråkråka
Kungsfågel</t>
        </is>
      </c>
      <c r="S10">
        <f>HYPERLINK("https://klasma.github.io/Logging_0861/artfynd/A 34337-2025 artfynd.xlsx", "A 34337-2025")</f>
        <v/>
      </c>
      <c r="T10">
        <f>HYPERLINK("https://klasma.github.io/Logging_0861/kartor/A 34337-2025 karta.png", "A 34337-2025")</f>
        <v/>
      </c>
      <c r="V10">
        <f>HYPERLINK("https://klasma.github.io/Logging_0861/klagomål/A 34337-2025 FSC-klagomål.docx", "A 34337-2025")</f>
        <v/>
      </c>
      <c r="W10">
        <f>HYPERLINK("https://klasma.github.io/Logging_0861/klagomålsmail/A 34337-2025 FSC-klagomål mail.docx", "A 34337-2025")</f>
        <v/>
      </c>
      <c r="X10">
        <f>HYPERLINK("https://klasma.github.io/Logging_0861/tillsyn/A 34337-2025 tillsynsbegäran.docx", "A 34337-2025")</f>
        <v/>
      </c>
      <c r="Y10">
        <f>HYPERLINK("https://klasma.github.io/Logging_0861/tillsynsmail/A 34337-2025 tillsynsbegäran mail.docx", "A 34337-2025")</f>
        <v/>
      </c>
      <c r="Z10">
        <f>HYPERLINK("https://klasma.github.io/Logging_0861/fåglar/A 34337-2025 prioriterade fågelarter.docx", "A 34337-2025")</f>
        <v/>
      </c>
    </row>
    <row r="11" ht="15" customHeight="1">
      <c r="A11" t="inlineStr">
        <is>
          <t>A 34935-2025</t>
        </is>
      </c>
      <c r="B11" s="1" t="n">
        <v>45849.57523148148</v>
      </c>
      <c r="C11" s="1" t="n">
        <v>45958</v>
      </c>
      <c r="D11" t="inlineStr">
        <is>
          <t>KALMAR LÄN</t>
        </is>
      </c>
      <c r="E11" t="inlineStr">
        <is>
          <t>MÖNSTERÅS</t>
        </is>
      </c>
      <c r="G11" t="n">
        <v>3.1</v>
      </c>
      <c r="H11" t="n">
        <v>4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Grönhjon
Grönsångare
Spillkråka
Vågbandad barkbock
Kungsfågel</t>
        </is>
      </c>
      <c r="S11">
        <f>HYPERLINK("https://klasma.github.io/Logging_0861/artfynd/A 34935-2025 artfynd.xlsx", "A 34935-2025")</f>
        <v/>
      </c>
      <c r="T11">
        <f>HYPERLINK("https://klasma.github.io/Logging_0861/kartor/A 34935-2025 karta.png", "A 34935-2025")</f>
        <v/>
      </c>
      <c r="U11">
        <f>HYPERLINK("https://klasma.github.io/Logging_0861/knärot/A 34935-2025 karta knärot.png", "A 34935-2025")</f>
        <v/>
      </c>
      <c r="V11">
        <f>HYPERLINK("https://klasma.github.io/Logging_0861/klagomål/A 34935-2025 FSC-klagomål.docx", "A 34935-2025")</f>
        <v/>
      </c>
      <c r="W11">
        <f>HYPERLINK("https://klasma.github.io/Logging_0861/klagomålsmail/A 34935-2025 FSC-klagomål mail.docx", "A 34935-2025")</f>
        <v/>
      </c>
      <c r="X11">
        <f>HYPERLINK("https://klasma.github.io/Logging_0861/tillsyn/A 34935-2025 tillsynsbegäran.docx", "A 34935-2025")</f>
        <v/>
      </c>
      <c r="Y11">
        <f>HYPERLINK("https://klasma.github.io/Logging_0861/tillsynsmail/A 34935-2025 tillsynsbegäran mail.docx", "A 34935-2025")</f>
        <v/>
      </c>
      <c r="Z11">
        <f>HYPERLINK("https://klasma.github.io/Logging_0861/fåglar/A 34935-2025 prioriterade fågelarter.docx", "A 34935-2025")</f>
        <v/>
      </c>
    </row>
    <row r="12" ht="15" customHeight="1">
      <c r="A12" t="inlineStr">
        <is>
          <t>A 42153-2025</t>
        </is>
      </c>
      <c r="B12" s="1" t="n">
        <v>45904.39041666667</v>
      </c>
      <c r="C12" s="1" t="n">
        <v>45958</v>
      </c>
      <c r="D12" t="inlineStr">
        <is>
          <t>KALMAR LÄN</t>
        </is>
      </c>
      <c r="E12" t="inlineStr">
        <is>
          <t>MÖNSTERÅS</t>
        </is>
      </c>
      <c r="G12" t="n">
        <v>6.4</v>
      </c>
      <c r="H12" t="n">
        <v>2</v>
      </c>
      <c r="I12" t="n">
        <v>1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Kolflarnlav
Spillkråka
Tallticka
Vedskivlav
Blåmossa
Kungsfågel</t>
        </is>
      </c>
      <c r="S12">
        <f>HYPERLINK("https://klasma.github.io/Logging_0861/artfynd/A 42153-2025 artfynd.xlsx", "A 42153-2025")</f>
        <v/>
      </c>
      <c r="T12">
        <f>HYPERLINK("https://klasma.github.io/Logging_0861/kartor/A 42153-2025 karta.png", "A 42153-2025")</f>
        <v/>
      </c>
      <c r="V12">
        <f>HYPERLINK("https://klasma.github.io/Logging_0861/klagomål/A 42153-2025 FSC-klagomål.docx", "A 42153-2025")</f>
        <v/>
      </c>
      <c r="W12">
        <f>HYPERLINK("https://klasma.github.io/Logging_0861/klagomålsmail/A 42153-2025 FSC-klagomål mail.docx", "A 42153-2025")</f>
        <v/>
      </c>
      <c r="X12">
        <f>HYPERLINK("https://klasma.github.io/Logging_0861/tillsyn/A 42153-2025 tillsynsbegäran.docx", "A 42153-2025")</f>
        <v/>
      </c>
      <c r="Y12">
        <f>HYPERLINK("https://klasma.github.io/Logging_0861/tillsynsmail/A 42153-2025 tillsynsbegäran mail.docx", "A 42153-2025")</f>
        <v/>
      </c>
      <c r="Z12">
        <f>HYPERLINK("https://klasma.github.io/Logging_0861/fåglar/A 42153-2025 prioriterade fågelarter.docx", "A 42153-2025")</f>
        <v/>
      </c>
    </row>
    <row r="13" ht="15" customHeight="1">
      <c r="A13" t="inlineStr">
        <is>
          <t>A 37143-2024</t>
        </is>
      </c>
      <c r="B13" s="1" t="n">
        <v>45539.59673611111</v>
      </c>
      <c r="C13" s="1" t="n">
        <v>45958</v>
      </c>
      <c r="D13" t="inlineStr">
        <is>
          <t>KALMAR LÄN</t>
        </is>
      </c>
      <c r="E13" t="inlineStr">
        <is>
          <t>MÖNSTERÅS</t>
        </is>
      </c>
      <c r="G13" t="n">
        <v>0.9</v>
      </c>
      <c r="H13" t="n">
        <v>5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Brunlångöra
Nordfladdermus
Dvärgpipistrell
Större brunfladdermus
Vattenfladdermus</t>
        </is>
      </c>
      <c r="S13">
        <f>HYPERLINK("https://klasma.github.io/Logging_0861/artfynd/A 37143-2024 artfynd.xlsx", "A 37143-2024")</f>
        <v/>
      </c>
      <c r="T13">
        <f>HYPERLINK("https://klasma.github.io/Logging_0861/kartor/A 37143-2024 karta.png", "A 37143-2024")</f>
        <v/>
      </c>
      <c r="V13">
        <f>HYPERLINK("https://klasma.github.io/Logging_0861/klagomål/A 37143-2024 FSC-klagomål.docx", "A 37143-2024")</f>
        <v/>
      </c>
      <c r="W13">
        <f>HYPERLINK("https://klasma.github.io/Logging_0861/klagomålsmail/A 37143-2024 FSC-klagomål mail.docx", "A 37143-2024")</f>
        <v/>
      </c>
      <c r="X13">
        <f>HYPERLINK("https://klasma.github.io/Logging_0861/tillsyn/A 37143-2024 tillsynsbegäran.docx", "A 37143-2024")</f>
        <v/>
      </c>
      <c r="Y13">
        <f>HYPERLINK("https://klasma.github.io/Logging_0861/tillsynsmail/A 37143-2024 tillsynsbegäran mail.docx", "A 37143-2024")</f>
        <v/>
      </c>
    </row>
    <row r="14" ht="15" customHeight="1">
      <c r="A14" t="inlineStr">
        <is>
          <t>A 64870-2023</t>
        </is>
      </c>
      <c r="B14" s="1" t="n">
        <v>45282</v>
      </c>
      <c r="C14" s="1" t="n">
        <v>45958</v>
      </c>
      <c r="D14" t="inlineStr">
        <is>
          <t>KALMAR LÄN</t>
        </is>
      </c>
      <c r="E14" t="inlineStr">
        <is>
          <t>MÖNSTERÅS</t>
        </is>
      </c>
      <c r="G14" t="n">
        <v>12.3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Knärot
Spillkråka
Talltita
Blåmossa
Grönpyrola</t>
        </is>
      </c>
      <c r="S14">
        <f>HYPERLINK("https://klasma.github.io/Logging_0861/artfynd/A 64870-2023 artfynd.xlsx", "A 64870-2023")</f>
        <v/>
      </c>
      <c r="T14">
        <f>HYPERLINK("https://klasma.github.io/Logging_0861/kartor/A 64870-2023 karta.png", "A 64870-2023")</f>
        <v/>
      </c>
      <c r="U14">
        <f>HYPERLINK("https://klasma.github.io/Logging_0861/knärot/A 64870-2023 karta knärot.png", "A 64870-2023")</f>
        <v/>
      </c>
      <c r="V14">
        <f>HYPERLINK("https://klasma.github.io/Logging_0861/klagomål/A 64870-2023 FSC-klagomål.docx", "A 64870-2023")</f>
        <v/>
      </c>
      <c r="W14">
        <f>HYPERLINK("https://klasma.github.io/Logging_0861/klagomålsmail/A 64870-2023 FSC-klagomål mail.docx", "A 64870-2023")</f>
        <v/>
      </c>
      <c r="X14">
        <f>HYPERLINK("https://klasma.github.io/Logging_0861/tillsyn/A 64870-2023 tillsynsbegäran.docx", "A 64870-2023")</f>
        <v/>
      </c>
      <c r="Y14">
        <f>HYPERLINK("https://klasma.github.io/Logging_0861/tillsynsmail/A 64870-2023 tillsynsbegäran mail.docx", "A 64870-2023")</f>
        <v/>
      </c>
      <c r="Z14">
        <f>HYPERLINK("https://klasma.github.io/Logging_0861/fåglar/A 64870-2023 prioriterade fågelarter.docx", "A 64870-2023")</f>
        <v/>
      </c>
    </row>
    <row r="15" ht="15" customHeight="1">
      <c r="A15" t="inlineStr">
        <is>
          <t>A 12708-2025</t>
        </is>
      </c>
      <c r="B15" s="1" t="n">
        <v>45733</v>
      </c>
      <c r="C15" s="1" t="n">
        <v>45958</v>
      </c>
      <c r="D15" t="inlineStr">
        <is>
          <t>KALMAR LÄN</t>
        </is>
      </c>
      <c r="E15" t="inlineStr">
        <is>
          <t>MÖNSTERÅS</t>
        </is>
      </c>
      <c r="G15" t="n">
        <v>4.4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Talltita
Blåmossa
Grönpyrola</t>
        </is>
      </c>
      <c r="S15">
        <f>HYPERLINK("https://klasma.github.io/Logging_0861/artfynd/A 12708-2025 artfynd.xlsx", "A 12708-2025")</f>
        <v/>
      </c>
      <c r="T15">
        <f>HYPERLINK("https://klasma.github.io/Logging_0861/kartor/A 12708-2025 karta.png", "A 12708-2025")</f>
        <v/>
      </c>
      <c r="U15">
        <f>HYPERLINK("https://klasma.github.io/Logging_0861/knärot/A 12708-2025 karta knärot.png", "A 12708-2025")</f>
        <v/>
      </c>
      <c r="V15">
        <f>HYPERLINK("https://klasma.github.io/Logging_0861/klagomål/A 12708-2025 FSC-klagomål.docx", "A 12708-2025")</f>
        <v/>
      </c>
      <c r="W15">
        <f>HYPERLINK("https://klasma.github.io/Logging_0861/klagomålsmail/A 12708-2025 FSC-klagomål mail.docx", "A 12708-2025")</f>
        <v/>
      </c>
      <c r="X15">
        <f>HYPERLINK("https://klasma.github.io/Logging_0861/tillsyn/A 12708-2025 tillsynsbegäran.docx", "A 12708-2025")</f>
        <v/>
      </c>
      <c r="Y15">
        <f>HYPERLINK("https://klasma.github.io/Logging_0861/tillsynsmail/A 12708-2025 tillsynsbegäran mail.docx", "A 12708-2025")</f>
        <v/>
      </c>
      <c r="Z15">
        <f>HYPERLINK("https://klasma.github.io/Logging_0861/fåglar/A 12708-2025 prioriterade fågelarter.docx", "A 12708-2025")</f>
        <v/>
      </c>
    </row>
    <row r="16" ht="15" customHeight="1">
      <c r="A16" t="inlineStr">
        <is>
          <t>A 49075-2025</t>
        </is>
      </c>
      <c r="B16" s="1" t="n">
        <v>45937.65545138889</v>
      </c>
      <c r="C16" s="1" t="n">
        <v>45958</v>
      </c>
      <c r="D16" t="inlineStr">
        <is>
          <t>KALMAR LÄN</t>
        </is>
      </c>
      <c r="E16" t="inlineStr">
        <is>
          <t>MÖNSTERÅS</t>
        </is>
      </c>
      <c r="G16" t="n">
        <v>7.2</v>
      </c>
      <c r="H16" t="n">
        <v>5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Gråkråka
Gröngöling</t>
        </is>
      </c>
      <c r="S16">
        <f>HYPERLINK("https://klasma.github.io/Logging_0861/artfynd/A 49075-2025 artfynd.xlsx", "A 49075-2025")</f>
        <v/>
      </c>
      <c r="T16">
        <f>HYPERLINK("https://klasma.github.io/Logging_0861/kartor/A 49075-2025 karta.png", "A 49075-2025")</f>
        <v/>
      </c>
      <c r="U16">
        <f>HYPERLINK("https://klasma.github.io/Logging_0861/knärot/A 49075-2025 karta knärot.png", "A 49075-2025")</f>
        <v/>
      </c>
      <c r="V16">
        <f>HYPERLINK("https://klasma.github.io/Logging_0861/klagomål/A 49075-2025 FSC-klagomål.docx", "A 49075-2025")</f>
        <v/>
      </c>
      <c r="W16">
        <f>HYPERLINK("https://klasma.github.io/Logging_0861/klagomålsmail/A 49075-2025 FSC-klagomål mail.docx", "A 49075-2025")</f>
        <v/>
      </c>
      <c r="X16">
        <f>HYPERLINK("https://klasma.github.io/Logging_0861/tillsyn/A 49075-2025 tillsynsbegäran.docx", "A 49075-2025")</f>
        <v/>
      </c>
      <c r="Y16">
        <f>HYPERLINK("https://klasma.github.io/Logging_0861/tillsynsmail/A 49075-2025 tillsynsbegäran mail.docx", "A 49075-2025")</f>
        <v/>
      </c>
      <c r="Z16">
        <f>HYPERLINK("https://klasma.github.io/Logging_0861/fåglar/A 49075-2025 prioriterade fågelarter.docx", "A 49075-2025")</f>
        <v/>
      </c>
    </row>
    <row r="17" ht="15" customHeight="1">
      <c r="A17" t="inlineStr">
        <is>
          <t>A 43774-2021</t>
        </is>
      </c>
      <c r="B17" s="1" t="n">
        <v>44433</v>
      </c>
      <c r="C17" s="1" t="n">
        <v>45958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Asppraktbagge
Aspstumpbagge
Tvåtandad plattbagge
Törnskata</t>
        </is>
      </c>
      <c r="S17">
        <f>HYPERLINK("https://klasma.github.io/Logging_0861/artfynd/A 43774-2021 artfynd.xlsx", "A 43774-2021")</f>
        <v/>
      </c>
      <c r="T17">
        <f>HYPERLINK("https://klasma.github.io/Logging_0861/kartor/A 43774-2021 karta.png", "A 43774-2021")</f>
        <v/>
      </c>
      <c r="V17">
        <f>HYPERLINK("https://klasma.github.io/Logging_0861/klagomål/A 43774-2021 FSC-klagomål.docx", "A 43774-2021")</f>
        <v/>
      </c>
      <c r="W17">
        <f>HYPERLINK("https://klasma.github.io/Logging_0861/klagomålsmail/A 43774-2021 FSC-klagomål mail.docx", "A 43774-2021")</f>
        <v/>
      </c>
      <c r="X17">
        <f>HYPERLINK("https://klasma.github.io/Logging_0861/tillsyn/A 43774-2021 tillsynsbegäran.docx", "A 43774-2021")</f>
        <v/>
      </c>
      <c r="Y17">
        <f>HYPERLINK("https://klasma.github.io/Logging_0861/tillsynsmail/A 43774-2021 tillsynsbegäran mail.docx", "A 43774-2021")</f>
        <v/>
      </c>
      <c r="Z17">
        <f>HYPERLINK("https://klasma.github.io/Logging_0861/fåglar/A 43774-2021 prioriterade fågelarter.docx", "A 43774-2021")</f>
        <v/>
      </c>
    </row>
    <row r="18" ht="15" customHeight="1">
      <c r="A18" t="inlineStr">
        <is>
          <t>A 3238-2021</t>
        </is>
      </c>
      <c r="B18" s="1" t="n">
        <v>44215</v>
      </c>
      <c r="C18" s="1" t="n">
        <v>45958</v>
      </c>
      <c r="D18" t="inlineStr">
        <is>
          <t>KALMAR LÄN</t>
        </is>
      </c>
      <c r="E18" t="inlineStr">
        <is>
          <t>MÖNSTERÅS</t>
        </is>
      </c>
      <c r="G18" t="n">
        <v>17.1</v>
      </c>
      <c r="H18" t="n">
        <v>3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Granbarkgnagare
Dvärgpipistrell
Större brunfladdermus
Mattlummer</t>
        </is>
      </c>
      <c r="S18">
        <f>HYPERLINK("https://klasma.github.io/Logging_0861/artfynd/A 3238-2021 artfynd.xlsx", "A 3238-2021")</f>
        <v/>
      </c>
      <c r="T18">
        <f>HYPERLINK("https://klasma.github.io/Logging_0861/kartor/A 3238-2021 karta.png", "A 3238-2021")</f>
        <v/>
      </c>
      <c r="V18">
        <f>HYPERLINK("https://klasma.github.io/Logging_0861/klagomål/A 3238-2021 FSC-klagomål.docx", "A 3238-2021")</f>
        <v/>
      </c>
      <c r="W18">
        <f>HYPERLINK("https://klasma.github.io/Logging_0861/klagomålsmail/A 3238-2021 FSC-klagomål mail.docx", "A 3238-2021")</f>
        <v/>
      </c>
      <c r="X18">
        <f>HYPERLINK("https://klasma.github.io/Logging_0861/tillsyn/A 3238-2021 tillsynsbegäran.docx", "A 3238-2021")</f>
        <v/>
      </c>
      <c r="Y18">
        <f>HYPERLINK("https://klasma.github.io/Logging_0861/tillsynsmail/A 3238-2021 tillsynsbegäran mail.docx", "A 3238-2021")</f>
        <v/>
      </c>
    </row>
    <row r="19" ht="15" customHeight="1">
      <c r="A19" t="inlineStr">
        <is>
          <t>A 15307-2024</t>
        </is>
      </c>
      <c r="B19" s="1" t="n">
        <v>45400.64700231481</v>
      </c>
      <c r="C19" s="1" t="n">
        <v>45958</v>
      </c>
      <c r="D19" t="inlineStr">
        <is>
          <t>KALMAR LÄN</t>
        </is>
      </c>
      <c r="E19" t="inlineStr">
        <is>
          <t>MÖNSTERÅS</t>
        </is>
      </c>
      <c r="G19" t="n">
        <v>7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Grönpyrola
Blåsippa</t>
        </is>
      </c>
      <c r="S19">
        <f>HYPERLINK("https://klasma.github.io/Logging_0861/artfynd/A 15307-2024 artfynd.xlsx", "A 15307-2024")</f>
        <v/>
      </c>
      <c r="T19">
        <f>HYPERLINK("https://klasma.github.io/Logging_0861/kartor/A 15307-2024 karta.png", "A 15307-2024")</f>
        <v/>
      </c>
      <c r="U19">
        <f>HYPERLINK("https://klasma.github.io/Logging_0861/knärot/A 15307-2024 karta knärot.png", "A 15307-2024")</f>
        <v/>
      </c>
      <c r="V19">
        <f>HYPERLINK("https://klasma.github.io/Logging_0861/klagomål/A 15307-2024 FSC-klagomål.docx", "A 15307-2024")</f>
        <v/>
      </c>
      <c r="W19">
        <f>HYPERLINK("https://klasma.github.io/Logging_0861/klagomålsmail/A 15307-2024 FSC-klagomål mail.docx", "A 15307-2024")</f>
        <v/>
      </c>
      <c r="X19">
        <f>HYPERLINK("https://klasma.github.io/Logging_0861/tillsyn/A 15307-2024 tillsynsbegäran.docx", "A 15307-2024")</f>
        <v/>
      </c>
      <c r="Y19">
        <f>HYPERLINK("https://klasma.github.io/Logging_0861/tillsynsmail/A 15307-2024 tillsynsbegäran mail.docx", "A 15307-2024")</f>
        <v/>
      </c>
      <c r="Z19">
        <f>HYPERLINK("https://klasma.github.io/Logging_0861/fåglar/A 15307-2024 prioriterade fågelarter.docx", "A 15307-2024")</f>
        <v/>
      </c>
    </row>
    <row r="20" ht="15" customHeight="1">
      <c r="A20" t="inlineStr">
        <is>
          <t>A 33105-2025</t>
        </is>
      </c>
      <c r="B20" s="1" t="n">
        <v>45840.48475694445</v>
      </c>
      <c r="C20" s="1" t="n">
        <v>45958</v>
      </c>
      <c r="D20" t="inlineStr">
        <is>
          <t>KALMAR LÄN</t>
        </is>
      </c>
      <c r="E20" t="inlineStr">
        <is>
          <t>MÖNSTERÅS</t>
        </is>
      </c>
      <c r="G20" t="n">
        <v>6</v>
      </c>
      <c r="H20" t="n">
        <v>1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Spillkråka
Tallticka
Vedskivlav
Grovticka</t>
        </is>
      </c>
      <c r="S20">
        <f>HYPERLINK("https://klasma.github.io/Logging_0861/artfynd/A 33105-2025 artfynd.xlsx", "A 33105-2025")</f>
        <v/>
      </c>
      <c r="T20">
        <f>HYPERLINK("https://klasma.github.io/Logging_0861/kartor/A 33105-2025 karta.png", "A 33105-2025")</f>
        <v/>
      </c>
      <c r="V20">
        <f>HYPERLINK("https://klasma.github.io/Logging_0861/klagomål/A 33105-2025 FSC-klagomål.docx", "A 33105-2025")</f>
        <v/>
      </c>
      <c r="W20">
        <f>HYPERLINK("https://klasma.github.io/Logging_0861/klagomålsmail/A 33105-2025 FSC-klagomål mail.docx", "A 33105-2025")</f>
        <v/>
      </c>
      <c r="X20">
        <f>HYPERLINK("https://klasma.github.io/Logging_0861/tillsyn/A 33105-2025 tillsynsbegäran.docx", "A 33105-2025")</f>
        <v/>
      </c>
      <c r="Y20">
        <f>HYPERLINK("https://klasma.github.io/Logging_0861/tillsynsmail/A 33105-2025 tillsynsbegäran mail.docx", "A 33105-2025")</f>
        <v/>
      </c>
      <c r="Z20">
        <f>HYPERLINK("https://klasma.github.io/Logging_0861/fåglar/A 33105-2025 prioriterade fågelarter.docx", "A 33105-2025")</f>
        <v/>
      </c>
    </row>
    <row r="21" ht="15" customHeight="1">
      <c r="A21" t="inlineStr">
        <is>
          <t>A 53167-2022</t>
        </is>
      </c>
      <c r="B21" s="1" t="n">
        <v>44873</v>
      </c>
      <c r="C21" s="1" t="n">
        <v>45958</v>
      </c>
      <c r="D21" t="inlineStr">
        <is>
          <t>KALMAR LÄN</t>
        </is>
      </c>
      <c r="E21" t="inlineStr">
        <is>
          <t>MÖNSTERÅS</t>
        </is>
      </c>
      <c r="F21" t="inlineStr">
        <is>
          <t>Kyrkan</t>
        </is>
      </c>
      <c r="G21" t="n">
        <v>2</v>
      </c>
      <c r="H21" t="n">
        <v>1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Spillkråka
Blåmossa
Flagellkvastmossa
Vågbandad barkbock</t>
        </is>
      </c>
      <c r="S21">
        <f>HYPERLINK("https://klasma.github.io/Logging_0861/artfynd/A 53167-2022 artfynd.xlsx", "A 53167-2022")</f>
        <v/>
      </c>
      <c r="T21">
        <f>HYPERLINK("https://klasma.github.io/Logging_0861/kartor/A 53167-2022 karta.png", "A 53167-2022")</f>
        <v/>
      </c>
      <c r="V21">
        <f>HYPERLINK("https://klasma.github.io/Logging_0861/klagomål/A 53167-2022 FSC-klagomål.docx", "A 53167-2022")</f>
        <v/>
      </c>
      <c r="W21">
        <f>HYPERLINK("https://klasma.github.io/Logging_0861/klagomålsmail/A 53167-2022 FSC-klagomål mail.docx", "A 53167-2022")</f>
        <v/>
      </c>
      <c r="X21">
        <f>HYPERLINK("https://klasma.github.io/Logging_0861/tillsyn/A 53167-2022 tillsynsbegäran.docx", "A 53167-2022")</f>
        <v/>
      </c>
      <c r="Y21">
        <f>HYPERLINK("https://klasma.github.io/Logging_0861/tillsynsmail/A 53167-2022 tillsynsbegäran mail.docx", "A 53167-2022")</f>
        <v/>
      </c>
      <c r="Z21">
        <f>HYPERLINK("https://klasma.github.io/Logging_0861/fåglar/A 53167-2022 prioriterade fågelarter.docx", "A 53167-2022")</f>
        <v/>
      </c>
    </row>
    <row r="22" ht="15" customHeight="1">
      <c r="A22" t="inlineStr">
        <is>
          <t>A 46995-2021</t>
        </is>
      </c>
      <c r="B22" s="1" t="n">
        <v>44446</v>
      </c>
      <c r="C22" s="1" t="n">
        <v>45958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Murgröna
Blåsippa</t>
        </is>
      </c>
      <c r="S22">
        <f>HYPERLINK("https://klasma.github.io/Logging_0861/artfynd/A 46995-2021 artfynd.xlsx", "A 46995-2021")</f>
        <v/>
      </c>
      <c r="T22">
        <f>HYPERLINK("https://klasma.github.io/Logging_0861/kartor/A 46995-2021 karta.png", "A 46995-2021")</f>
        <v/>
      </c>
      <c r="U22">
        <f>HYPERLINK("https://klasma.github.io/Logging_0861/knärot/A 46995-2021 karta knärot.png", "A 46995-2021")</f>
        <v/>
      </c>
      <c r="V22">
        <f>HYPERLINK("https://klasma.github.io/Logging_0861/klagomål/A 46995-2021 FSC-klagomål.docx", "A 46995-2021")</f>
        <v/>
      </c>
      <c r="W22">
        <f>HYPERLINK("https://klasma.github.io/Logging_0861/klagomålsmail/A 46995-2021 FSC-klagomål mail.docx", "A 46995-2021")</f>
        <v/>
      </c>
      <c r="X22">
        <f>HYPERLINK("https://klasma.github.io/Logging_0861/tillsyn/A 46995-2021 tillsynsbegäran.docx", "A 46995-2021")</f>
        <v/>
      </c>
      <c r="Y22">
        <f>HYPERLINK("https://klasma.github.io/Logging_0861/tillsynsmail/A 46995-2021 tillsynsbegäran mail.docx", "A 46995-2021")</f>
        <v/>
      </c>
    </row>
    <row r="23" ht="15" customHeight="1">
      <c r="A23" t="inlineStr">
        <is>
          <t>A 36129-2024</t>
        </is>
      </c>
      <c r="B23" s="1" t="n">
        <v>45534.33709490741</v>
      </c>
      <c r="C23" s="1" t="n">
        <v>45958</v>
      </c>
      <c r="D23" t="inlineStr">
        <is>
          <t>KALMAR LÄN</t>
        </is>
      </c>
      <c r="E23" t="inlineStr">
        <is>
          <t>MÖNSTERÅS</t>
        </is>
      </c>
      <c r="G23" t="n">
        <v>15.2</v>
      </c>
      <c r="H23" t="n">
        <v>2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Spillkråka
Blåmossa
Kungsfågel</t>
        </is>
      </c>
      <c r="S23">
        <f>HYPERLINK("https://klasma.github.io/Logging_0861/artfynd/A 36129-2024 artfynd.xlsx", "A 36129-2024")</f>
        <v/>
      </c>
      <c r="T23">
        <f>HYPERLINK("https://klasma.github.io/Logging_0861/kartor/A 36129-2024 karta.png", "A 36129-2024")</f>
        <v/>
      </c>
      <c r="V23">
        <f>HYPERLINK("https://klasma.github.io/Logging_0861/klagomål/A 36129-2024 FSC-klagomål.docx", "A 36129-2024")</f>
        <v/>
      </c>
      <c r="W23">
        <f>HYPERLINK("https://klasma.github.io/Logging_0861/klagomålsmail/A 36129-2024 FSC-klagomål mail.docx", "A 36129-2024")</f>
        <v/>
      </c>
      <c r="X23">
        <f>HYPERLINK("https://klasma.github.io/Logging_0861/tillsyn/A 36129-2024 tillsynsbegäran.docx", "A 36129-2024")</f>
        <v/>
      </c>
      <c r="Y23">
        <f>HYPERLINK("https://klasma.github.io/Logging_0861/tillsynsmail/A 36129-2024 tillsynsbegäran mail.docx", "A 36129-2024")</f>
        <v/>
      </c>
      <c r="Z23">
        <f>HYPERLINK("https://klasma.github.io/Logging_0861/fåglar/A 36129-2024 prioriterade fågelarter.docx", "A 36129-2024")</f>
        <v/>
      </c>
    </row>
    <row r="24" ht="15" customHeight="1">
      <c r="A24" t="inlineStr">
        <is>
          <t>A 34207-2022</t>
        </is>
      </c>
      <c r="B24" s="1" t="n">
        <v>44791.65466435185</v>
      </c>
      <c r="C24" s="1" t="n">
        <v>45958</v>
      </c>
      <c r="D24" t="inlineStr">
        <is>
          <t>KALMAR LÄN</t>
        </is>
      </c>
      <c r="E24" t="inlineStr">
        <is>
          <t>MÖNSTERÅS</t>
        </is>
      </c>
      <c r="G24" t="n">
        <v>3.5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Sävsparv
Röd glada
Trädlärka</t>
        </is>
      </c>
      <c r="S24">
        <f>HYPERLINK("https://klasma.github.io/Logging_0861/artfynd/A 34207-2022 artfynd.xlsx", "A 34207-2022")</f>
        <v/>
      </c>
      <c r="T24">
        <f>HYPERLINK("https://klasma.github.io/Logging_0861/kartor/A 34207-2022 karta.png", "A 34207-2022")</f>
        <v/>
      </c>
      <c r="V24">
        <f>HYPERLINK("https://klasma.github.io/Logging_0861/klagomål/A 34207-2022 FSC-klagomål.docx", "A 34207-2022")</f>
        <v/>
      </c>
      <c r="W24">
        <f>HYPERLINK("https://klasma.github.io/Logging_0861/klagomålsmail/A 34207-2022 FSC-klagomål mail.docx", "A 34207-2022")</f>
        <v/>
      </c>
      <c r="X24">
        <f>HYPERLINK("https://klasma.github.io/Logging_0861/tillsyn/A 34207-2022 tillsynsbegäran.docx", "A 34207-2022")</f>
        <v/>
      </c>
      <c r="Y24">
        <f>HYPERLINK("https://klasma.github.io/Logging_0861/tillsynsmail/A 34207-2022 tillsynsbegäran mail.docx", "A 34207-2022")</f>
        <v/>
      </c>
      <c r="Z24">
        <f>HYPERLINK("https://klasma.github.io/Logging_0861/fåglar/A 34207-2022 prioriterade fågelarter.docx", "A 34207-2022")</f>
        <v/>
      </c>
    </row>
    <row r="25" ht="15" customHeight="1">
      <c r="A25" t="inlineStr">
        <is>
          <t>A 32821-2025</t>
        </is>
      </c>
      <c r="B25" s="1" t="n">
        <v>45839.53917824074</v>
      </c>
      <c r="C25" s="1" t="n">
        <v>45958</v>
      </c>
      <c r="D25" t="inlineStr">
        <is>
          <t>KALMAR LÄN</t>
        </is>
      </c>
      <c r="E25" t="inlineStr">
        <is>
          <t>MÖNSTERÅS</t>
        </is>
      </c>
      <c r="F25" t="inlineStr">
        <is>
          <t>Kommuner</t>
        </is>
      </c>
      <c r="G25" t="n">
        <v>4.8</v>
      </c>
      <c r="H25" t="n">
        <v>1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Spillkråka
Blåmossa
Grovticka</t>
        </is>
      </c>
      <c r="S25">
        <f>HYPERLINK("https://klasma.github.io/Logging_0861/artfynd/A 32821-2025 artfynd.xlsx", "A 32821-2025")</f>
        <v/>
      </c>
      <c r="T25">
        <f>HYPERLINK("https://klasma.github.io/Logging_0861/kartor/A 32821-2025 karta.png", "A 32821-2025")</f>
        <v/>
      </c>
      <c r="V25">
        <f>HYPERLINK("https://klasma.github.io/Logging_0861/klagomål/A 32821-2025 FSC-klagomål.docx", "A 32821-2025")</f>
        <v/>
      </c>
      <c r="W25">
        <f>HYPERLINK("https://klasma.github.io/Logging_0861/klagomålsmail/A 32821-2025 FSC-klagomål mail.docx", "A 32821-2025")</f>
        <v/>
      </c>
      <c r="X25">
        <f>HYPERLINK("https://klasma.github.io/Logging_0861/tillsyn/A 32821-2025 tillsynsbegäran.docx", "A 32821-2025")</f>
        <v/>
      </c>
      <c r="Y25">
        <f>HYPERLINK("https://klasma.github.io/Logging_0861/tillsynsmail/A 32821-2025 tillsynsbegäran mail.docx", "A 32821-2025")</f>
        <v/>
      </c>
      <c r="Z25">
        <f>HYPERLINK("https://klasma.github.io/Logging_0861/fåglar/A 32821-2025 prioriterade fågelarter.docx", "A 32821-2025")</f>
        <v/>
      </c>
    </row>
    <row r="26" ht="15" customHeight="1">
      <c r="A26" t="inlineStr">
        <is>
          <t>A 2719-2024</t>
        </is>
      </c>
      <c r="B26" s="1" t="n">
        <v>45314</v>
      </c>
      <c r="C26" s="1" t="n">
        <v>45958</v>
      </c>
      <c r="D26" t="inlineStr">
        <is>
          <t>KALMAR LÄN</t>
        </is>
      </c>
      <c r="E26" t="inlineStr">
        <is>
          <t>MÖNSTERÅS</t>
        </is>
      </c>
      <c r="G26" t="n">
        <v>3.4</v>
      </c>
      <c r="H26" t="n">
        <v>3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Nordfladdermus
Dvärgpipistrell
Större brunfladdermus</t>
        </is>
      </c>
      <c r="S26">
        <f>HYPERLINK("https://klasma.github.io/Logging_0861/artfynd/A 2719-2024 artfynd.xlsx", "A 2719-2024")</f>
        <v/>
      </c>
      <c r="T26">
        <f>HYPERLINK("https://klasma.github.io/Logging_0861/kartor/A 2719-2024 karta.png", "A 2719-2024")</f>
        <v/>
      </c>
      <c r="V26">
        <f>HYPERLINK("https://klasma.github.io/Logging_0861/klagomål/A 2719-2024 FSC-klagomål.docx", "A 2719-2024")</f>
        <v/>
      </c>
      <c r="W26">
        <f>HYPERLINK("https://klasma.github.io/Logging_0861/klagomålsmail/A 2719-2024 FSC-klagomål mail.docx", "A 2719-2024")</f>
        <v/>
      </c>
      <c r="X26">
        <f>HYPERLINK("https://klasma.github.io/Logging_0861/tillsyn/A 2719-2024 tillsynsbegäran.docx", "A 2719-2024")</f>
        <v/>
      </c>
      <c r="Y26">
        <f>HYPERLINK("https://klasma.github.io/Logging_0861/tillsynsmail/A 2719-2024 tillsynsbegäran mail.docx", "A 2719-2024")</f>
        <v/>
      </c>
    </row>
    <row r="27" ht="15" customHeight="1">
      <c r="A27" t="inlineStr">
        <is>
          <t>A 49122-2021</t>
        </is>
      </c>
      <c r="B27" s="1" t="n">
        <v>44453.79184027778</v>
      </c>
      <c r="C27" s="1" t="n">
        <v>45958</v>
      </c>
      <c r="D27" t="inlineStr">
        <is>
          <t>KALMAR LÄN</t>
        </is>
      </c>
      <c r="E27" t="inlineStr">
        <is>
          <t>MÖNSTERÅS</t>
        </is>
      </c>
      <c r="G27" t="n">
        <v>1.6</v>
      </c>
      <c r="H27" t="n">
        <v>1</v>
      </c>
      <c r="I27" t="n">
        <v>0</v>
      </c>
      <c r="J27" t="n">
        <v>2</v>
      </c>
      <c r="K27" t="n">
        <v>0</v>
      </c>
      <c r="L27" t="n">
        <v>1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Brandnäva
Spillkråka
Svedjenäva</t>
        </is>
      </c>
      <c r="S27">
        <f>HYPERLINK("https://klasma.github.io/Logging_0861/artfynd/A 49122-2021 artfynd.xlsx", "A 49122-2021")</f>
        <v/>
      </c>
      <c r="T27">
        <f>HYPERLINK("https://klasma.github.io/Logging_0861/kartor/A 49122-2021 karta.png", "A 49122-2021")</f>
        <v/>
      </c>
      <c r="V27">
        <f>HYPERLINK("https://klasma.github.io/Logging_0861/klagomål/A 49122-2021 FSC-klagomål.docx", "A 49122-2021")</f>
        <v/>
      </c>
      <c r="W27">
        <f>HYPERLINK("https://klasma.github.io/Logging_0861/klagomålsmail/A 49122-2021 FSC-klagomål mail.docx", "A 49122-2021")</f>
        <v/>
      </c>
      <c r="X27">
        <f>HYPERLINK("https://klasma.github.io/Logging_0861/tillsyn/A 49122-2021 tillsynsbegäran.docx", "A 49122-2021")</f>
        <v/>
      </c>
      <c r="Y27">
        <f>HYPERLINK("https://klasma.github.io/Logging_0861/tillsynsmail/A 49122-2021 tillsynsbegäran mail.docx", "A 49122-2021")</f>
        <v/>
      </c>
      <c r="Z27">
        <f>HYPERLINK("https://klasma.github.io/Logging_0861/fåglar/A 49122-2021 prioriterade fågelarter.docx", "A 49122-2021")</f>
        <v/>
      </c>
    </row>
    <row r="28" ht="15" customHeight="1">
      <c r="A28" t="inlineStr">
        <is>
          <t>A 24108-2024</t>
        </is>
      </c>
      <c r="B28" s="1" t="n">
        <v>45456.60729166667</v>
      </c>
      <c r="C28" s="1" t="n">
        <v>45958</v>
      </c>
      <c r="D28" t="inlineStr">
        <is>
          <t>KALMAR LÄN</t>
        </is>
      </c>
      <c r="E28" t="inlineStr">
        <is>
          <t>MÖNSTERÅS</t>
        </is>
      </c>
      <c r="G28" t="n">
        <v>3.5</v>
      </c>
      <c r="H28" t="n">
        <v>1</v>
      </c>
      <c r="I28" t="n">
        <v>1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Läderbagge
Ekticka
Gulnål</t>
        </is>
      </c>
      <c r="S28">
        <f>HYPERLINK("https://klasma.github.io/Logging_0861/artfynd/A 24108-2024 artfynd.xlsx", "A 24108-2024")</f>
        <v/>
      </c>
      <c r="T28">
        <f>HYPERLINK("https://klasma.github.io/Logging_0861/kartor/A 24108-2024 karta.png", "A 24108-2024")</f>
        <v/>
      </c>
      <c r="V28">
        <f>HYPERLINK("https://klasma.github.io/Logging_0861/klagomål/A 24108-2024 FSC-klagomål.docx", "A 24108-2024")</f>
        <v/>
      </c>
      <c r="W28">
        <f>HYPERLINK("https://klasma.github.io/Logging_0861/klagomålsmail/A 24108-2024 FSC-klagomål mail.docx", "A 24108-2024")</f>
        <v/>
      </c>
      <c r="X28">
        <f>HYPERLINK("https://klasma.github.io/Logging_0861/tillsyn/A 24108-2024 tillsynsbegäran.docx", "A 24108-2024")</f>
        <v/>
      </c>
      <c r="Y28">
        <f>HYPERLINK("https://klasma.github.io/Logging_0861/tillsynsmail/A 24108-2024 tillsynsbegäran mail.docx", "A 24108-2024")</f>
        <v/>
      </c>
    </row>
    <row r="29" ht="15" customHeight="1">
      <c r="A29" t="inlineStr">
        <is>
          <t>A 11926-2023</t>
        </is>
      </c>
      <c r="B29" s="1" t="n">
        <v>44993</v>
      </c>
      <c r="C29" s="1" t="n">
        <v>45958</v>
      </c>
      <c r="D29" t="inlineStr">
        <is>
          <t>KALMAR LÄN</t>
        </is>
      </c>
      <c r="E29" t="inlineStr">
        <is>
          <t>MÖNSTERÅS</t>
        </is>
      </c>
      <c r="G29" t="n">
        <v>3.7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Blåmossa
Nattskärra
Skogsödla</t>
        </is>
      </c>
      <c r="S29">
        <f>HYPERLINK("https://klasma.github.io/Logging_0861/artfynd/A 11926-2023 artfynd.xlsx", "A 11926-2023")</f>
        <v/>
      </c>
      <c r="T29">
        <f>HYPERLINK("https://klasma.github.io/Logging_0861/kartor/A 11926-2023 karta.png", "A 11926-2023")</f>
        <v/>
      </c>
      <c r="V29">
        <f>HYPERLINK("https://klasma.github.io/Logging_0861/klagomål/A 11926-2023 FSC-klagomål.docx", "A 11926-2023")</f>
        <v/>
      </c>
      <c r="W29">
        <f>HYPERLINK("https://klasma.github.io/Logging_0861/klagomålsmail/A 11926-2023 FSC-klagomål mail.docx", "A 11926-2023")</f>
        <v/>
      </c>
      <c r="X29">
        <f>HYPERLINK("https://klasma.github.io/Logging_0861/tillsyn/A 11926-2023 tillsynsbegäran.docx", "A 11926-2023")</f>
        <v/>
      </c>
      <c r="Y29">
        <f>HYPERLINK("https://klasma.github.io/Logging_0861/tillsynsmail/A 11926-2023 tillsynsbegäran mail.docx", "A 11926-2023")</f>
        <v/>
      </c>
      <c r="Z29">
        <f>HYPERLINK("https://klasma.github.io/Logging_0861/fåglar/A 11926-2023 prioriterade fågelarter.docx", "A 11926-2023")</f>
        <v/>
      </c>
    </row>
    <row r="30" ht="15" customHeight="1">
      <c r="A30" t="inlineStr">
        <is>
          <t>A 36365-2024</t>
        </is>
      </c>
      <c r="B30" s="1" t="n">
        <v>45534</v>
      </c>
      <c r="C30" s="1" t="n">
        <v>45958</v>
      </c>
      <c r="D30" t="inlineStr">
        <is>
          <t>KALMAR LÄN</t>
        </is>
      </c>
      <c r="E30" t="inlineStr">
        <is>
          <t>MÖNSTERÅS</t>
        </is>
      </c>
      <c r="F30" t="inlineStr">
        <is>
          <t>Kommuner</t>
        </is>
      </c>
      <c r="G30" t="n">
        <v>1.9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Järnsparv
Vanlig padda</t>
        </is>
      </c>
      <c r="S30">
        <f>HYPERLINK("https://klasma.github.io/Logging_0861/artfynd/A 36365-2024 artfynd.xlsx", "A 36365-2024")</f>
        <v/>
      </c>
      <c r="T30">
        <f>HYPERLINK("https://klasma.github.io/Logging_0861/kartor/A 36365-2024 karta.png", "A 36365-2024")</f>
        <v/>
      </c>
      <c r="V30">
        <f>HYPERLINK("https://klasma.github.io/Logging_0861/klagomål/A 36365-2024 FSC-klagomål.docx", "A 36365-2024")</f>
        <v/>
      </c>
      <c r="W30">
        <f>HYPERLINK("https://klasma.github.io/Logging_0861/klagomålsmail/A 36365-2024 FSC-klagomål mail.docx", "A 36365-2024")</f>
        <v/>
      </c>
      <c r="X30">
        <f>HYPERLINK("https://klasma.github.io/Logging_0861/tillsyn/A 36365-2024 tillsynsbegäran.docx", "A 36365-2024")</f>
        <v/>
      </c>
      <c r="Y30">
        <f>HYPERLINK("https://klasma.github.io/Logging_0861/tillsynsmail/A 36365-2024 tillsynsbegäran mail.docx", "A 36365-2024")</f>
        <v/>
      </c>
      <c r="Z30">
        <f>HYPERLINK("https://klasma.github.io/Logging_0861/fåglar/A 36365-2024 prioriterade fågelarter.docx", "A 36365-2024")</f>
        <v/>
      </c>
    </row>
    <row r="31" ht="15" customHeight="1">
      <c r="A31" t="inlineStr">
        <is>
          <t>A 17528-2025</t>
        </is>
      </c>
      <c r="B31" s="1" t="n">
        <v>45757.58759259259</v>
      </c>
      <c r="C31" s="1" t="n">
        <v>45958</v>
      </c>
      <c r="D31" t="inlineStr">
        <is>
          <t>KALMAR LÄN</t>
        </is>
      </c>
      <c r="E31" t="inlineStr">
        <is>
          <t>MÖNSTERÅS</t>
        </is>
      </c>
      <c r="F31" t="inlineStr">
        <is>
          <t>Kyrkan</t>
        </is>
      </c>
      <c r="G31" t="n">
        <v>5.5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Spillkråka
Sparvuggla</t>
        </is>
      </c>
      <c r="S31">
        <f>HYPERLINK("https://klasma.github.io/Logging_0861/artfynd/A 17528-2025 artfynd.xlsx", "A 17528-2025")</f>
        <v/>
      </c>
      <c r="T31">
        <f>HYPERLINK("https://klasma.github.io/Logging_0861/kartor/A 17528-2025 karta.png", "A 17528-2025")</f>
        <v/>
      </c>
      <c r="V31">
        <f>HYPERLINK("https://klasma.github.io/Logging_0861/klagomål/A 17528-2025 FSC-klagomål.docx", "A 17528-2025")</f>
        <v/>
      </c>
      <c r="W31">
        <f>HYPERLINK("https://klasma.github.io/Logging_0861/klagomålsmail/A 17528-2025 FSC-klagomål mail.docx", "A 17528-2025")</f>
        <v/>
      </c>
      <c r="X31">
        <f>HYPERLINK("https://klasma.github.io/Logging_0861/tillsyn/A 17528-2025 tillsynsbegäran.docx", "A 17528-2025")</f>
        <v/>
      </c>
      <c r="Y31">
        <f>HYPERLINK("https://klasma.github.io/Logging_0861/tillsynsmail/A 17528-2025 tillsynsbegäran mail.docx", "A 17528-2025")</f>
        <v/>
      </c>
      <c r="Z31">
        <f>HYPERLINK("https://klasma.github.io/Logging_0861/fåglar/A 17528-2025 prioriterade fågelarter.docx", "A 17528-2025")</f>
        <v/>
      </c>
    </row>
    <row r="32" ht="15" customHeight="1">
      <c r="A32" t="inlineStr">
        <is>
          <t>A 11903-2021</t>
        </is>
      </c>
      <c r="B32" s="1" t="n">
        <v>44265.81850694444</v>
      </c>
      <c r="C32" s="1" t="n">
        <v>45958</v>
      </c>
      <c r="D32" t="inlineStr">
        <is>
          <t>KALMAR LÄN</t>
        </is>
      </c>
      <c r="E32" t="inlineStr">
        <is>
          <t>MÖNSTERÅS</t>
        </is>
      </c>
      <c r="G32" t="n">
        <v>6.5</v>
      </c>
      <c r="H32" t="n">
        <v>2</v>
      </c>
      <c r="I32" t="n">
        <v>0</v>
      </c>
      <c r="J32" t="n">
        <v>0</v>
      </c>
      <c r="K32" t="n">
        <v>2</v>
      </c>
      <c r="L32" t="n">
        <v>0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Kricka
Småfläckig sumphöna</t>
        </is>
      </c>
      <c r="S32">
        <f>HYPERLINK("https://klasma.github.io/Logging_0861/artfynd/A 11903-2021 artfynd.xlsx", "A 11903-2021")</f>
        <v/>
      </c>
      <c r="T32">
        <f>HYPERLINK("https://klasma.github.io/Logging_0861/kartor/A 11903-2021 karta.png", "A 11903-2021")</f>
        <v/>
      </c>
      <c r="V32">
        <f>HYPERLINK("https://klasma.github.io/Logging_0861/klagomål/A 11903-2021 FSC-klagomål.docx", "A 11903-2021")</f>
        <v/>
      </c>
      <c r="W32">
        <f>HYPERLINK("https://klasma.github.io/Logging_0861/klagomålsmail/A 11903-2021 FSC-klagomål mail.docx", "A 11903-2021")</f>
        <v/>
      </c>
      <c r="X32">
        <f>HYPERLINK("https://klasma.github.io/Logging_0861/tillsyn/A 11903-2021 tillsynsbegäran.docx", "A 11903-2021")</f>
        <v/>
      </c>
      <c r="Y32">
        <f>HYPERLINK("https://klasma.github.io/Logging_0861/tillsynsmail/A 11903-2021 tillsynsbegäran mail.docx", "A 11903-2021")</f>
        <v/>
      </c>
      <c r="Z32">
        <f>HYPERLINK("https://klasma.github.io/Logging_0861/fåglar/A 11903-2021 prioriterade fågelarter.docx", "A 11903-2021")</f>
        <v/>
      </c>
    </row>
    <row r="33" ht="15" customHeight="1">
      <c r="A33" t="inlineStr">
        <is>
          <t>A 40785-2022</t>
        </is>
      </c>
      <c r="B33" s="1" t="n">
        <v>44824</v>
      </c>
      <c r="C33" s="1" t="n">
        <v>45958</v>
      </c>
      <c r="D33" t="inlineStr">
        <is>
          <t>KALMAR LÄN</t>
        </is>
      </c>
      <c r="E33" t="inlineStr">
        <is>
          <t>MÖNSTERÅS</t>
        </is>
      </c>
      <c r="G33" t="n">
        <v>0.3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Blåsippa</t>
        </is>
      </c>
      <c r="S33">
        <f>HYPERLINK("https://klasma.github.io/Logging_0861/artfynd/A 40785-2022 artfynd.xlsx", "A 40785-2022")</f>
        <v/>
      </c>
      <c r="T33">
        <f>HYPERLINK("https://klasma.github.io/Logging_0861/kartor/A 40785-2022 karta.png", "A 40785-2022")</f>
        <v/>
      </c>
      <c r="U33">
        <f>HYPERLINK("https://klasma.github.io/Logging_0861/knärot/A 40785-2022 karta knärot.png", "A 40785-2022")</f>
        <v/>
      </c>
      <c r="V33">
        <f>HYPERLINK("https://klasma.github.io/Logging_0861/klagomål/A 40785-2022 FSC-klagomål.docx", "A 40785-2022")</f>
        <v/>
      </c>
      <c r="W33">
        <f>HYPERLINK("https://klasma.github.io/Logging_0861/klagomålsmail/A 40785-2022 FSC-klagomål mail.docx", "A 40785-2022")</f>
        <v/>
      </c>
      <c r="X33">
        <f>HYPERLINK("https://klasma.github.io/Logging_0861/tillsyn/A 40785-2022 tillsynsbegäran.docx", "A 40785-2022")</f>
        <v/>
      </c>
      <c r="Y33">
        <f>HYPERLINK("https://klasma.github.io/Logging_0861/tillsynsmail/A 40785-2022 tillsynsbegäran mail.docx", "A 40785-2022")</f>
        <v/>
      </c>
    </row>
    <row r="34" ht="15" customHeight="1">
      <c r="A34" t="inlineStr">
        <is>
          <t>A 40995-2024</t>
        </is>
      </c>
      <c r="B34" s="1" t="n">
        <v>45558</v>
      </c>
      <c r="C34" s="1" t="n">
        <v>45958</v>
      </c>
      <c r="D34" t="inlineStr">
        <is>
          <t>KALMAR LÄN</t>
        </is>
      </c>
      <c r="E34" t="inlineStr">
        <is>
          <t>MÖNSTERÅS</t>
        </is>
      </c>
      <c r="G34" t="n">
        <v>1.8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Åkerkulla
Mattlummer</t>
        </is>
      </c>
      <c r="S34">
        <f>HYPERLINK("https://klasma.github.io/Logging_0861/artfynd/A 40995-2024 artfynd.xlsx", "A 40995-2024")</f>
        <v/>
      </c>
      <c r="T34">
        <f>HYPERLINK("https://klasma.github.io/Logging_0861/kartor/A 40995-2024 karta.png", "A 40995-2024")</f>
        <v/>
      </c>
      <c r="V34">
        <f>HYPERLINK("https://klasma.github.io/Logging_0861/klagomål/A 40995-2024 FSC-klagomål.docx", "A 40995-2024")</f>
        <v/>
      </c>
      <c r="W34">
        <f>HYPERLINK("https://klasma.github.io/Logging_0861/klagomålsmail/A 40995-2024 FSC-klagomål mail.docx", "A 40995-2024")</f>
        <v/>
      </c>
      <c r="X34">
        <f>HYPERLINK("https://klasma.github.io/Logging_0861/tillsyn/A 40995-2024 tillsynsbegäran.docx", "A 40995-2024")</f>
        <v/>
      </c>
      <c r="Y34">
        <f>HYPERLINK("https://klasma.github.io/Logging_0861/tillsynsmail/A 40995-2024 tillsynsbegäran mail.docx", "A 40995-2024")</f>
        <v/>
      </c>
    </row>
    <row r="35" ht="15" customHeight="1">
      <c r="A35" t="inlineStr">
        <is>
          <t>A 26272-2023</t>
        </is>
      </c>
      <c r="B35" s="1" t="n">
        <v>45091</v>
      </c>
      <c r="C35" s="1" t="n">
        <v>45958</v>
      </c>
      <c r="D35" t="inlineStr">
        <is>
          <t>KALMAR LÄN</t>
        </is>
      </c>
      <c r="E35" t="inlineStr">
        <is>
          <t>MÖNSTERÅS</t>
        </is>
      </c>
      <c r="G35" t="n">
        <v>1.6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Dvärgpipistrell
Större brunfladdermus</t>
        </is>
      </c>
      <c r="S35">
        <f>HYPERLINK("https://klasma.github.io/Logging_0861/artfynd/A 26272-2023 artfynd.xlsx", "A 26272-2023")</f>
        <v/>
      </c>
      <c r="T35">
        <f>HYPERLINK("https://klasma.github.io/Logging_0861/kartor/A 26272-2023 karta.png", "A 26272-2023")</f>
        <v/>
      </c>
      <c r="V35">
        <f>HYPERLINK("https://klasma.github.io/Logging_0861/klagomål/A 26272-2023 FSC-klagomål.docx", "A 26272-2023")</f>
        <v/>
      </c>
      <c r="W35">
        <f>HYPERLINK("https://klasma.github.io/Logging_0861/klagomålsmail/A 26272-2023 FSC-klagomål mail.docx", "A 26272-2023")</f>
        <v/>
      </c>
      <c r="X35">
        <f>HYPERLINK("https://klasma.github.io/Logging_0861/tillsyn/A 26272-2023 tillsynsbegäran.docx", "A 26272-2023")</f>
        <v/>
      </c>
      <c r="Y35">
        <f>HYPERLINK("https://klasma.github.io/Logging_0861/tillsynsmail/A 26272-2023 tillsynsbegäran mail.docx", "A 26272-2023")</f>
        <v/>
      </c>
    </row>
    <row r="36" ht="15" customHeight="1">
      <c r="A36" t="inlineStr">
        <is>
          <t>A 31881-2023</t>
        </is>
      </c>
      <c r="B36" s="1" t="n">
        <v>45106</v>
      </c>
      <c r="C36" s="1" t="n">
        <v>45958</v>
      </c>
      <c r="D36" t="inlineStr">
        <is>
          <t>KALMAR LÄN</t>
        </is>
      </c>
      <c r="E36" t="inlineStr">
        <is>
          <t>MÖNSTERÅS</t>
        </is>
      </c>
      <c r="G36" t="n">
        <v>5.9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Klubbsprötad bastardsvärmare
Vågbandad barkbock</t>
        </is>
      </c>
      <c r="S36">
        <f>HYPERLINK("https://klasma.github.io/Logging_0861/artfynd/A 31881-2023 artfynd.xlsx", "A 31881-2023")</f>
        <v/>
      </c>
      <c r="T36">
        <f>HYPERLINK("https://klasma.github.io/Logging_0861/kartor/A 31881-2023 karta.png", "A 31881-2023")</f>
        <v/>
      </c>
      <c r="V36">
        <f>HYPERLINK("https://klasma.github.io/Logging_0861/klagomål/A 31881-2023 FSC-klagomål.docx", "A 31881-2023")</f>
        <v/>
      </c>
      <c r="W36">
        <f>HYPERLINK("https://klasma.github.io/Logging_0861/klagomålsmail/A 31881-2023 FSC-klagomål mail.docx", "A 31881-2023")</f>
        <v/>
      </c>
      <c r="X36">
        <f>HYPERLINK("https://klasma.github.io/Logging_0861/tillsyn/A 31881-2023 tillsynsbegäran.docx", "A 31881-2023")</f>
        <v/>
      </c>
      <c r="Y36">
        <f>HYPERLINK("https://klasma.github.io/Logging_0861/tillsynsmail/A 31881-2023 tillsynsbegäran mail.docx", "A 31881-2023")</f>
        <v/>
      </c>
    </row>
    <row r="37" ht="15" customHeight="1">
      <c r="A37" t="inlineStr">
        <is>
          <t>A 15941-2024</t>
        </is>
      </c>
      <c r="B37" s="1" t="n">
        <v>45405.47848379629</v>
      </c>
      <c r="C37" s="1" t="n">
        <v>45958</v>
      </c>
      <c r="D37" t="inlineStr">
        <is>
          <t>KALMAR LÄN</t>
        </is>
      </c>
      <c r="E37" t="inlineStr">
        <is>
          <t>MÖNSTERÅS</t>
        </is>
      </c>
      <c r="G37" t="n">
        <v>5.9</v>
      </c>
      <c r="H37" t="n">
        <v>2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Knärot
Spillkråka</t>
        </is>
      </c>
      <c r="S37">
        <f>HYPERLINK("https://klasma.github.io/Logging_0861/artfynd/A 15941-2024 artfynd.xlsx", "A 15941-2024")</f>
        <v/>
      </c>
      <c r="T37">
        <f>HYPERLINK("https://klasma.github.io/Logging_0861/kartor/A 15941-2024 karta.png", "A 15941-2024")</f>
        <v/>
      </c>
      <c r="U37">
        <f>HYPERLINK("https://klasma.github.io/Logging_0861/knärot/A 15941-2024 karta knärot.png", "A 15941-2024")</f>
        <v/>
      </c>
      <c r="V37">
        <f>HYPERLINK("https://klasma.github.io/Logging_0861/klagomål/A 15941-2024 FSC-klagomål.docx", "A 15941-2024")</f>
        <v/>
      </c>
      <c r="W37">
        <f>HYPERLINK("https://klasma.github.io/Logging_0861/klagomålsmail/A 15941-2024 FSC-klagomål mail.docx", "A 15941-2024")</f>
        <v/>
      </c>
      <c r="X37">
        <f>HYPERLINK("https://klasma.github.io/Logging_0861/tillsyn/A 15941-2024 tillsynsbegäran.docx", "A 15941-2024")</f>
        <v/>
      </c>
      <c r="Y37">
        <f>HYPERLINK("https://klasma.github.io/Logging_0861/tillsynsmail/A 15941-2024 tillsynsbegäran mail.docx", "A 15941-2024")</f>
        <v/>
      </c>
      <c r="Z37">
        <f>HYPERLINK("https://klasma.github.io/Logging_0861/fåglar/A 15941-2024 prioriterade fågelarter.docx", "A 15941-2024")</f>
        <v/>
      </c>
    </row>
    <row r="38" ht="15" customHeight="1">
      <c r="A38" t="inlineStr">
        <is>
          <t>A 58899-2023</t>
        </is>
      </c>
      <c r="B38" s="1" t="n">
        <v>45250</v>
      </c>
      <c r="C38" s="1" t="n">
        <v>45958</v>
      </c>
      <c r="D38" t="inlineStr">
        <is>
          <t>KALMAR LÄN</t>
        </is>
      </c>
      <c r="E38" t="inlineStr">
        <is>
          <t>MÖNSTERÅS</t>
        </is>
      </c>
      <c r="G38" t="n">
        <v>1.3</v>
      </c>
      <c r="H38" t="n">
        <v>2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Spillkråka</t>
        </is>
      </c>
      <c r="S38">
        <f>HYPERLINK("https://klasma.github.io/Logging_0861/artfynd/A 58899-2023 artfynd.xlsx", "A 58899-2023")</f>
        <v/>
      </c>
      <c r="T38">
        <f>HYPERLINK("https://klasma.github.io/Logging_0861/kartor/A 58899-2023 karta.png", "A 58899-2023")</f>
        <v/>
      </c>
      <c r="U38">
        <f>HYPERLINK("https://klasma.github.io/Logging_0861/knärot/A 58899-2023 karta knärot.png", "A 58899-2023")</f>
        <v/>
      </c>
      <c r="V38">
        <f>HYPERLINK("https://klasma.github.io/Logging_0861/klagomål/A 58899-2023 FSC-klagomål.docx", "A 58899-2023")</f>
        <v/>
      </c>
      <c r="W38">
        <f>HYPERLINK("https://klasma.github.io/Logging_0861/klagomålsmail/A 58899-2023 FSC-klagomål mail.docx", "A 58899-2023")</f>
        <v/>
      </c>
      <c r="X38">
        <f>HYPERLINK("https://klasma.github.io/Logging_0861/tillsyn/A 58899-2023 tillsynsbegäran.docx", "A 58899-2023")</f>
        <v/>
      </c>
      <c r="Y38">
        <f>HYPERLINK("https://klasma.github.io/Logging_0861/tillsynsmail/A 58899-2023 tillsynsbegäran mail.docx", "A 58899-2023")</f>
        <v/>
      </c>
      <c r="Z38">
        <f>HYPERLINK("https://klasma.github.io/Logging_0861/fåglar/A 58899-2023 prioriterade fågelarter.docx", "A 58899-2023")</f>
        <v/>
      </c>
    </row>
    <row r="39" ht="15" customHeight="1">
      <c r="A39" t="inlineStr">
        <is>
          <t>A 16431-2023</t>
        </is>
      </c>
      <c r="B39" s="1" t="n">
        <v>45022</v>
      </c>
      <c r="C39" s="1" t="n">
        <v>45958</v>
      </c>
      <c r="D39" t="inlineStr">
        <is>
          <t>KALMAR LÄN</t>
        </is>
      </c>
      <c r="E39" t="inlineStr">
        <is>
          <t>MÖNSTERÅS</t>
        </is>
      </c>
      <c r="G39" t="n">
        <v>9.4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Sårläka
Vätteros</t>
        </is>
      </c>
      <c r="S39">
        <f>HYPERLINK("https://klasma.github.io/Logging_0861/artfynd/A 16431-2023 artfynd.xlsx", "A 16431-2023")</f>
        <v/>
      </c>
      <c r="T39">
        <f>HYPERLINK("https://klasma.github.io/Logging_0861/kartor/A 16431-2023 karta.png", "A 16431-2023")</f>
        <v/>
      </c>
      <c r="V39">
        <f>HYPERLINK("https://klasma.github.io/Logging_0861/klagomål/A 16431-2023 FSC-klagomål.docx", "A 16431-2023")</f>
        <v/>
      </c>
      <c r="W39">
        <f>HYPERLINK("https://klasma.github.io/Logging_0861/klagomålsmail/A 16431-2023 FSC-klagomål mail.docx", "A 16431-2023")</f>
        <v/>
      </c>
      <c r="X39">
        <f>HYPERLINK("https://klasma.github.io/Logging_0861/tillsyn/A 16431-2023 tillsynsbegäran.docx", "A 16431-2023")</f>
        <v/>
      </c>
      <c r="Y39">
        <f>HYPERLINK("https://klasma.github.io/Logging_0861/tillsynsmail/A 16431-2023 tillsynsbegäran mail.docx", "A 16431-2023")</f>
        <v/>
      </c>
    </row>
    <row r="40" ht="15" customHeight="1">
      <c r="A40" t="inlineStr">
        <is>
          <t>A 4313-2021</t>
        </is>
      </c>
      <c r="B40" s="1" t="n">
        <v>44223</v>
      </c>
      <c r="C40" s="1" t="n">
        <v>45958</v>
      </c>
      <c r="D40" t="inlineStr">
        <is>
          <t>KALMAR LÄN</t>
        </is>
      </c>
      <c r="E40" t="inlineStr">
        <is>
          <t>MÖNSTERÅS</t>
        </is>
      </c>
      <c r="G40" t="n">
        <v>16.5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HYPERLINK("https://klasma.github.io/Logging_0861/artfynd/A 4313-2021 artfynd.xlsx", "A 4313-2021")</f>
        <v/>
      </c>
      <c r="T40">
        <f>HYPERLINK("https://klasma.github.io/Logging_0861/kartor/A 4313-2021 karta.png", "A 4313-2021")</f>
        <v/>
      </c>
      <c r="U40">
        <f>HYPERLINK("https://klasma.github.io/Logging_0861/knärot/A 4313-2021 karta knärot.png", "A 4313-2021")</f>
        <v/>
      </c>
      <c r="V40">
        <f>HYPERLINK("https://klasma.github.io/Logging_0861/klagomål/A 4313-2021 FSC-klagomål.docx", "A 4313-2021")</f>
        <v/>
      </c>
      <c r="W40">
        <f>HYPERLINK("https://klasma.github.io/Logging_0861/klagomålsmail/A 4313-2021 FSC-klagomål mail.docx", "A 4313-2021")</f>
        <v/>
      </c>
      <c r="X40">
        <f>HYPERLINK("https://klasma.github.io/Logging_0861/tillsyn/A 4313-2021 tillsynsbegäran.docx", "A 4313-2021")</f>
        <v/>
      </c>
      <c r="Y40">
        <f>HYPERLINK("https://klasma.github.io/Logging_0861/tillsynsmail/A 4313-2021 tillsynsbegäran mail.docx", "A 4313-2021")</f>
        <v/>
      </c>
    </row>
    <row r="41" ht="15" customHeight="1">
      <c r="A41" t="inlineStr">
        <is>
          <t>A 34097-2021</t>
        </is>
      </c>
      <c r="B41" s="1" t="n">
        <v>44379.43670138889</v>
      </c>
      <c r="C41" s="1" t="n">
        <v>45958</v>
      </c>
      <c r="D41" t="inlineStr">
        <is>
          <t>KALMAR LÄN</t>
        </is>
      </c>
      <c r="E41" t="inlineStr">
        <is>
          <t>MÖNSTERÅS</t>
        </is>
      </c>
      <c r="G41" t="n">
        <v>7.5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HYPERLINK("https://klasma.github.io/Logging_0861/artfynd/A 34097-2021 artfynd.xlsx", "A 34097-2021")</f>
        <v/>
      </c>
      <c r="T41">
        <f>HYPERLINK("https://klasma.github.io/Logging_0861/kartor/A 34097-2021 karta.png", "A 34097-2021")</f>
        <v/>
      </c>
      <c r="V41">
        <f>HYPERLINK("https://klasma.github.io/Logging_0861/klagomål/A 34097-2021 FSC-klagomål.docx", "A 34097-2021")</f>
        <v/>
      </c>
      <c r="W41">
        <f>HYPERLINK("https://klasma.github.io/Logging_0861/klagomålsmail/A 34097-2021 FSC-klagomål mail.docx", "A 34097-2021")</f>
        <v/>
      </c>
      <c r="X41">
        <f>HYPERLINK("https://klasma.github.io/Logging_0861/tillsyn/A 34097-2021 tillsynsbegäran.docx", "A 34097-2021")</f>
        <v/>
      </c>
      <c r="Y41">
        <f>HYPERLINK("https://klasma.github.io/Logging_0861/tillsynsmail/A 34097-2021 tillsynsbegäran mail.docx", "A 34097-2021")</f>
        <v/>
      </c>
    </row>
    <row r="42" ht="15" customHeight="1">
      <c r="A42" t="inlineStr">
        <is>
          <t>A 23879-2024</t>
        </is>
      </c>
      <c r="B42" s="1" t="n">
        <v>45455.63559027778</v>
      </c>
      <c r="C42" s="1" t="n">
        <v>45958</v>
      </c>
      <c r="D42" t="inlineStr">
        <is>
          <t>KALMAR LÄN</t>
        </is>
      </c>
      <c r="E42" t="inlineStr">
        <is>
          <t>MÖNSTERÅS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Ekticka</t>
        </is>
      </c>
      <c r="S42">
        <f>HYPERLINK("https://klasma.github.io/Logging_0861/artfynd/A 23879-2024 artfynd.xlsx", "A 23879-2024")</f>
        <v/>
      </c>
      <c r="T42">
        <f>HYPERLINK("https://klasma.github.io/Logging_0861/kartor/A 23879-2024 karta.png", "A 23879-2024")</f>
        <v/>
      </c>
      <c r="V42">
        <f>HYPERLINK("https://klasma.github.io/Logging_0861/klagomål/A 23879-2024 FSC-klagomål.docx", "A 23879-2024")</f>
        <v/>
      </c>
      <c r="W42">
        <f>HYPERLINK("https://klasma.github.io/Logging_0861/klagomålsmail/A 23879-2024 FSC-klagomål mail.docx", "A 23879-2024")</f>
        <v/>
      </c>
      <c r="X42">
        <f>HYPERLINK("https://klasma.github.io/Logging_0861/tillsyn/A 23879-2024 tillsynsbegäran.docx", "A 23879-2024")</f>
        <v/>
      </c>
      <c r="Y42">
        <f>HYPERLINK("https://klasma.github.io/Logging_0861/tillsynsmail/A 23879-2024 tillsynsbegäran mail.docx", "A 23879-2024")</f>
        <v/>
      </c>
    </row>
    <row r="43" ht="15" customHeight="1">
      <c r="A43" t="inlineStr">
        <is>
          <t>A 61490-2024</t>
        </is>
      </c>
      <c r="B43" s="1" t="n">
        <v>45646.54944444444</v>
      </c>
      <c r="C43" s="1" t="n">
        <v>45958</v>
      </c>
      <c r="D43" t="inlineStr">
        <is>
          <t>KALMAR LÄN</t>
        </is>
      </c>
      <c r="E43" t="inlineStr">
        <is>
          <t>MÖNSTERÅS</t>
        </is>
      </c>
      <c r="F43" t="inlineStr">
        <is>
          <t>Kommuner</t>
        </is>
      </c>
      <c r="G43" t="n">
        <v>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Taggbock</t>
        </is>
      </c>
      <c r="S43">
        <f>HYPERLINK("https://klasma.github.io/Logging_0861/artfynd/A 61490-2024 artfynd.xlsx", "A 61490-2024")</f>
        <v/>
      </c>
      <c r="T43">
        <f>HYPERLINK("https://klasma.github.io/Logging_0861/kartor/A 61490-2024 karta.png", "A 61490-2024")</f>
        <v/>
      </c>
      <c r="V43">
        <f>HYPERLINK("https://klasma.github.io/Logging_0861/klagomål/A 61490-2024 FSC-klagomål.docx", "A 61490-2024")</f>
        <v/>
      </c>
      <c r="W43">
        <f>HYPERLINK("https://klasma.github.io/Logging_0861/klagomålsmail/A 61490-2024 FSC-klagomål mail.docx", "A 61490-2024")</f>
        <v/>
      </c>
      <c r="X43">
        <f>HYPERLINK("https://klasma.github.io/Logging_0861/tillsyn/A 61490-2024 tillsynsbegäran.docx", "A 61490-2024")</f>
        <v/>
      </c>
      <c r="Y43">
        <f>HYPERLINK("https://klasma.github.io/Logging_0861/tillsynsmail/A 61490-2024 tillsynsbegäran mail.docx", "A 61490-2024")</f>
        <v/>
      </c>
    </row>
    <row r="44" ht="15" customHeight="1">
      <c r="A44" t="inlineStr">
        <is>
          <t>A 47672-2022</t>
        </is>
      </c>
      <c r="B44" s="1" t="n">
        <v>44854</v>
      </c>
      <c r="C44" s="1" t="n">
        <v>45958</v>
      </c>
      <c r="D44" t="inlineStr">
        <is>
          <t>KALMAR LÄN</t>
        </is>
      </c>
      <c r="E44" t="inlineStr">
        <is>
          <t>MÖNSTERÅS</t>
        </is>
      </c>
      <c r="G44" t="n">
        <v>4.6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HYPERLINK("https://klasma.github.io/Logging_0861/artfynd/A 47672-2022 artfynd.xlsx", "A 47672-2022")</f>
        <v/>
      </c>
      <c r="T44">
        <f>HYPERLINK("https://klasma.github.io/Logging_0861/kartor/A 47672-2022 karta.png", "A 47672-2022")</f>
        <v/>
      </c>
      <c r="U44">
        <f>HYPERLINK("https://klasma.github.io/Logging_0861/knärot/A 47672-2022 karta knärot.png", "A 47672-2022")</f>
        <v/>
      </c>
      <c r="V44">
        <f>HYPERLINK("https://klasma.github.io/Logging_0861/klagomål/A 47672-2022 FSC-klagomål.docx", "A 47672-2022")</f>
        <v/>
      </c>
      <c r="W44">
        <f>HYPERLINK("https://klasma.github.io/Logging_0861/klagomålsmail/A 47672-2022 FSC-klagomål mail.docx", "A 47672-2022")</f>
        <v/>
      </c>
      <c r="X44">
        <f>HYPERLINK("https://klasma.github.io/Logging_0861/tillsyn/A 47672-2022 tillsynsbegäran.docx", "A 47672-2022")</f>
        <v/>
      </c>
      <c r="Y44">
        <f>HYPERLINK("https://klasma.github.io/Logging_0861/tillsynsmail/A 47672-2022 tillsynsbegäran mail.docx", "A 47672-2022")</f>
        <v/>
      </c>
    </row>
    <row r="45" ht="15" customHeight="1">
      <c r="A45" t="inlineStr">
        <is>
          <t>A 41879-2022</t>
        </is>
      </c>
      <c r="B45" s="1" t="n">
        <v>44827</v>
      </c>
      <c r="C45" s="1" t="n">
        <v>45958</v>
      </c>
      <c r="D45" t="inlineStr">
        <is>
          <t>KALMAR LÄN</t>
        </is>
      </c>
      <c r="E45" t="inlineStr">
        <is>
          <t>MÖNSTERÅS</t>
        </is>
      </c>
      <c r="F45" t="inlineStr">
        <is>
          <t>Kyrkan</t>
        </is>
      </c>
      <c r="G45" t="n">
        <v>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Brunag</t>
        </is>
      </c>
      <c r="S45">
        <f>HYPERLINK("https://klasma.github.io/Logging_0861/artfynd/A 41879-2022 artfynd.xlsx", "A 41879-2022")</f>
        <v/>
      </c>
      <c r="T45">
        <f>HYPERLINK("https://klasma.github.io/Logging_0861/kartor/A 41879-2022 karta.png", "A 41879-2022")</f>
        <v/>
      </c>
      <c r="V45">
        <f>HYPERLINK("https://klasma.github.io/Logging_0861/klagomål/A 41879-2022 FSC-klagomål.docx", "A 41879-2022")</f>
        <v/>
      </c>
      <c r="W45">
        <f>HYPERLINK("https://klasma.github.io/Logging_0861/klagomålsmail/A 41879-2022 FSC-klagomål mail.docx", "A 41879-2022")</f>
        <v/>
      </c>
      <c r="X45">
        <f>HYPERLINK("https://klasma.github.io/Logging_0861/tillsyn/A 41879-2022 tillsynsbegäran.docx", "A 41879-2022")</f>
        <v/>
      </c>
      <c r="Y45">
        <f>HYPERLINK("https://klasma.github.io/Logging_0861/tillsynsmail/A 41879-2022 tillsynsbegäran mail.docx", "A 41879-2022")</f>
        <v/>
      </c>
    </row>
    <row r="46" ht="15" customHeight="1">
      <c r="A46" t="inlineStr">
        <is>
          <t>A 10178-2024</t>
        </is>
      </c>
      <c r="B46" s="1" t="n">
        <v>45364.79518518518</v>
      </c>
      <c r="C46" s="1" t="n">
        <v>45958</v>
      </c>
      <c r="D46" t="inlineStr">
        <is>
          <t>KALMAR LÄN</t>
        </is>
      </c>
      <c r="E46" t="inlineStr">
        <is>
          <t>MÖNSTERÅS</t>
        </is>
      </c>
      <c r="F46" t="inlineStr">
        <is>
          <t>Övriga Aktiebolag</t>
        </is>
      </c>
      <c r="G46" t="n">
        <v>4.8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HYPERLINK("https://klasma.github.io/Logging_0861/artfynd/A 10178-2024 artfynd.xlsx", "A 10178-2024")</f>
        <v/>
      </c>
      <c r="T46">
        <f>HYPERLINK("https://klasma.github.io/Logging_0861/kartor/A 10178-2024 karta.png", "A 10178-2024")</f>
        <v/>
      </c>
      <c r="V46">
        <f>HYPERLINK("https://klasma.github.io/Logging_0861/klagomål/A 10178-2024 FSC-klagomål.docx", "A 10178-2024")</f>
        <v/>
      </c>
      <c r="W46">
        <f>HYPERLINK("https://klasma.github.io/Logging_0861/klagomålsmail/A 10178-2024 FSC-klagomål mail.docx", "A 10178-2024")</f>
        <v/>
      </c>
      <c r="X46">
        <f>HYPERLINK("https://klasma.github.io/Logging_0861/tillsyn/A 10178-2024 tillsynsbegäran.docx", "A 10178-2024")</f>
        <v/>
      </c>
      <c r="Y46">
        <f>HYPERLINK("https://klasma.github.io/Logging_0861/tillsynsmail/A 10178-2024 tillsynsbegäran mail.docx", "A 10178-2024")</f>
        <v/>
      </c>
      <c r="Z46">
        <f>HYPERLINK("https://klasma.github.io/Logging_0861/fåglar/A 10178-2024 prioriterade fågelarter.docx", "A 10178-2024")</f>
        <v/>
      </c>
    </row>
    <row r="47" ht="15" customHeight="1">
      <c r="A47" t="inlineStr">
        <is>
          <t>A 34097-2021</t>
        </is>
      </c>
      <c r="B47" s="1" t="n">
        <v>44379.43670138889</v>
      </c>
      <c r="C47" s="1" t="n">
        <v>45958</v>
      </c>
      <c r="D47" t="inlineStr">
        <is>
          <t>KALMAR LÄN</t>
        </is>
      </c>
      <c r="E47" t="inlineStr">
        <is>
          <t>MÖNSTERÅS</t>
        </is>
      </c>
      <c r="G47" t="n">
        <v>7.5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HYPERLINK("https://klasma.github.io/Logging_0861/artfynd/A 34097-2021 artfynd.xlsx", "A 34097-2021")</f>
        <v/>
      </c>
      <c r="T47">
        <f>HYPERLINK("https://klasma.github.io/Logging_0861/kartor/A 34097-2021 karta.png", "A 34097-2021")</f>
        <v/>
      </c>
      <c r="V47">
        <f>HYPERLINK("https://klasma.github.io/Logging_0861/klagomål/A 34097-2021 FSC-klagomål.docx", "A 34097-2021")</f>
        <v/>
      </c>
      <c r="W47">
        <f>HYPERLINK("https://klasma.github.io/Logging_0861/klagomålsmail/A 34097-2021 FSC-klagomål mail.docx", "A 34097-2021")</f>
        <v/>
      </c>
      <c r="X47">
        <f>HYPERLINK("https://klasma.github.io/Logging_0861/tillsyn/A 34097-2021 tillsynsbegäran.docx", "A 34097-2021")</f>
        <v/>
      </c>
      <c r="Y47">
        <f>HYPERLINK("https://klasma.github.io/Logging_0861/tillsynsmail/A 34097-2021 tillsynsbegäran mail.docx", "A 34097-2021")</f>
        <v/>
      </c>
    </row>
    <row r="48" ht="15" customHeight="1">
      <c r="A48" t="inlineStr">
        <is>
          <t>A 31170-2021</t>
        </is>
      </c>
      <c r="B48" s="1" t="n">
        <v>44368</v>
      </c>
      <c r="C48" s="1" t="n">
        <v>45958</v>
      </c>
      <c r="D48" t="inlineStr">
        <is>
          <t>KALMAR LÄN</t>
        </is>
      </c>
      <c r="E48" t="inlineStr">
        <is>
          <t>MÖNSTERÅS</t>
        </is>
      </c>
      <c r="G48" t="n">
        <v>20.1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HYPERLINK("https://klasma.github.io/Logging_0861/artfynd/A 31170-2021 artfynd.xlsx", "A 31170-2021")</f>
        <v/>
      </c>
      <c r="T48">
        <f>HYPERLINK("https://klasma.github.io/Logging_0861/kartor/A 31170-2021 karta.png", "A 31170-2021")</f>
        <v/>
      </c>
      <c r="U48">
        <f>HYPERLINK("https://klasma.github.io/Logging_0861/knärot/A 31170-2021 karta knärot.png", "A 31170-2021")</f>
        <v/>
      </c>
      <c r="V48">
        <f>HYPERLINK("https://klasma.github.io/Logging_0861/klagomål/A 31170-2021 FSC-klagomål.docx", "A 31170-2021")</f>
        <v/>
      </c>
      <c r="W48">
        <f>HYPERLINK("https://klasma.github.io/Logging_0861/klagomålsmail/A 31170-2021 FSC-klagomål mail.docx", "A 31170-2021")</f>
        <v/>
      </c>
      <c r="X48">
        <f>HYPERLINK("https://klasma.github.io/Logging_0861/tillsyn/A 31170-2021 tillsynsbegäran.docx", "A 31170-2021")</f>
        <v/>
      </c>
      <c r="Y48">
        <f>HYPERLINK("https://klasma.github.io/Logging_0861/tillsynsmail/A 31170-2021 tillsynsbegäran mail.docx", "A 31170-2021")</f>
        <v/>
      </c>
    </row>
    <row r="49" ht="15" customHeight="1">
      <c r="A49" t="inlineStr">
        <is>
          <t>A 34081-2022</t>
        </is>
      </c>
      <c r="B49" s="1" t="n">
        <v>44791</v>
      </c>
      <c r="C49" s="1" t="n">
        <v>45958</v>
      </c>
      <c r="D49" t="inlineStr">
        <is>
          <t>KALMAR LÄN</t>
        </is>
      </c>
      <c r="E49" t="inlineStr">
        <is>
          <t>MÖNSTERÅS</t>
        </is>
      </c>
      <c r="G49" t="n">
        <v>1.9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HYPERLINK("https://klasma.github.io/Logging_0861/artfynd/A 34081-2022 artfynd.xlsx", "A 34081-2022")</f>
        <v/>
      </c>
      <c r="T49">
        <f>HYPERLINK("https://klasma.github.io/Logging_0861/kartor/A 34081-2022 karta.png", "A 34081-2022")</f>
        <v/>
      </c>
      <c r="U49">
        <f>HYPERLINK("https://klasma.github.io/Logging_0861/knärot/A 34081-2022 karta knärot.png", "A 34081-2022")</f>
        <v/>
      </c>
      <c r="V49">
        <f>HYPERLINK("https://klasma.github.io/Logging_0861/klagomål/A 34081-2022 FSC-klagomål.docx", "A 34081-2022")</f>
        <v/>
      </c>
      <c r="W49">
        <f>HYPERLINK("https://klasma.github.io/Logging_0861/klagomålsmail/A 34081-2022 FSC-klagomål mail.docx", "A 34081-2022")</f>
        <v/>
      </c>
      <c r="X49">
        <f>HYPERLINK("https://klasma.github.io/Logging_0861/tillsyn/A 34081-2022 tillsynsbegäran.docx", "A 34081-2022")</f>
        <v/>
      </c>
      <c r="Y49">
        <f>HYPERLINK("https://klasma.github.io/Logging_0861/tillsynsmail/A 34081-2022 tillsynsbegäran mail.docx", "A 34081-2022")</f>
        <v/>
      </c>
    </row>
    <row r="50" ht="15" customHeight="1">
      <c r="A50" t="inlineStr">
        <is>
          <t>A 36886-2024</t>
        </is>
      </c>
      <c r="B50" s="1" t="n">
        <v>45538.60297453704</v>
      </c>
      <c r="C50" s="1" t="n">
        <v>45958</v>
      </c>
      <c r="D50" t="inlineStr">
        <is>
          <t>KALMAR LÄN</t>
        </is>
      </c>
      <c r="E50" t="inlineStr">
        <is>
          <t>MÖNSTERÅS</t>
        </is>
      </c>
      <c r="G50" t="n">
        <v>10.2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HYPERLINK("https://klasma.github.io/Logging_0861/artfynd/A 36886-2024 artfynd.xlsx", "A 36886-2024")</f>
        <v/>
      </c>
      <c r="T50">
        <f>HYPERLINK("https://klasma.github.io/Logging_0861/kartor/A 36886-2024 karta.png", "A 36886-2024")</f>
        <v/>
      </c>
      <c r="V50">
        <f>HYPERLINK("https://klasma.github.io/Logging_0861/klagomål/A 36886-2024 FSC-klagomål.docx", "A 36886-2024")</f>
        <v/>
      </c>
      <c r="W50">
        <f>HYPERLINK("https://klasma.github.io/Logging_0861/klagomålsmail/A 36886-2024 FSC-klagomål mail.docx", "A 36886-2024")</f>
        <v/>
      </c>
      <c r="X50">
        <f>HYPERLINK("https://klasma.github.io/Logging_0861/tillsyn/A 36886-2024 tillsynsbegäran.docx", "A 36886-2024")</f>
        <v/>
      </c>
      <c r="Y50">
        <f>HYPERLINK("https://klasma.github.io/Logging_0861/tillsynsmail/A 36886-2024 tillsynsbegäran mail.docx", "A 36886-2024")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45958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HYPERLINK("https://klasma.github.io/Logging_0861/artfynd/A 25218-2023 artfynd.xlsx", "A 25218-2023")</f>
        <v/>
      </c>
      <c r="T51">
        <f>HYPERLINK("https://klasma.github.io/Logging_0861/kartor/A 25218-2023 karta.png", "A 25218-2023")</f>
        <v/>
      </c>
      <c r="V51">
        <f>HYPERLINK("https://klasma.github.io/Logging_0861/klagomål/A 25218-2023 FSC-klagomål.docx", "A 25218-2023")</f>
        <v/>
      </c>
      <c r="W51">
        <f>HYPERLINK("https://klasma.github.io/Logging_0861/klagomålsmail/A 25218-2023 FSC-klagomål mail.docx", "A 25218-2023")</f>
        <v/>
      </c>
      <c r="X51">
        <f>HYPERLINK("https://klasma.github.io/Logging_0861/tillsyn/A 25218-2023 tillsynsbegäran.docx", "A 25218-2023")</f>
        <v/>
      </c>
      <c r="Y51">
        <f>HYPERLINK("https://klasma.github.io/Logging_0861/tillsynsmail/A 25218-2023 tillsynsbegäran mail.docx", "A 25218-2023")</f>
        <v/>
      </c>
    </row>
    <row r="52" ht="15" customHeight="1">
      <c r="A52" t="inlineStr">
        <is>
          <t>A 7941-2024</t>
        </is>
      </c>
      <c r="B52" s="1" t="n">
        <v>45350.52813657407</v>
      </c>
      <c r="C52" s="1" t="n">
        <v>45958</v>
      </c>
      <c r="D52" t="inlineStr">
        <is>
          <t>KALMAR LÄN</t>
        </is>
      </c>
      <c r="E52" t="inlineStr">
        <is>
          <t>MÖNSTERÅS</t>
        </is>
      </c>
      <c r="F52" t="inlineStr">
        <is>
          <t>Övriga Aktiebolag</t>
        </is>
      </c>
      <c r="G52" t="n">
        <v>5.6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Kricka</t>
        </is>
      </c>
      <c r="S52">
        <f>HYPERLINK("https://klasma.github.io/Logging_0861/artfynd/A 7941-2024 artfynd.xlsx", "A 7941-2024")</f>
        <v/>
      </c>
      <c r="T52">
        <f>HYPERLINK("https://klasma.github.io/Logging_0861/kartor/A 7941-2024 karta.png", "A 7941-2024")</f>
        <v/>
      </c>
      <c r="V52">
        <f>HYPERLINK("https://klasma.github.io/Logging_0861/klagomål/A 7941-2024 FSC-klagomål.docx", "A 7941-2024")</f>
        <v/>
      </c>
      <c r="W52">
        <f>HYPERLINK("https://klasma.github.io/Logging_0861/klagomålsmail/A 7941-2024 FSC-klagomål mail.docx", "A 7941-2024")</f>
        <v/>
      </c>
      <c r="X52">
        <f>HYPERLINK("https://klasma.github.io/Logging_0861/tillsyn/A 7941-2024 tillsynsbegäran.docx", "A 7941-2024")</f>
        <v/>
      </c>
      <c r="Y52">
        <f>HYPERLINK("https://klasma.github.io/Logging_0861/tillsynsmail/A 7941-2024 tillsynsbegäran mail.docx", "A 7941-2024")</f>
        <v/>
      </c>
      <c r="Z52">
        <f>HYPERLINK("https://klasma.github.io/Logging_0861/fåglar/A 7941-2024 prioriterade fågelarter.docx", "A 7941-2024")</f>
        <v/>
      </c>
    </row>
    <row r="53" ht="15" customHeight="1">
      <c r="A53" t="inlineStr">
        <is>
          <t>A 41198-2023</t>
        </is>
      </c>
      <c r="B53" s="1" t="n">
        <v>45174</v>
      </c>
      <c r="C53" s="1" t="n">
        <v>45958</v>
      </c>
      <c r="D53" t="inlineStr">
        <is>
          <t>KALMAR LÄN</t>
        </is>
      </c>
      <c r="E53" t="inlineStr">
        <is>
          <t>MÖNSTERÅS</t>
        </is>
      </c>
      <c r="G53" t="n">
        <v>3.5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Revlummer</t>
        </is>
      </c>
      <c r="S53">
        <f>HYPERLINK("https://klasma.github.io/Logging_0861/artfynd/A 41198-2023 artfynd.xlsx", "A 41198-2023")</f>
        <v/>
      </c>
      <c r="T53">
        <f>HYPERLINK("https://klasma.github.io/Logging_0861/kartor/A 41198-2023 karta.png", "A 41198-2023")</f>
        <v/>
      </c>
      <c r="V53">
        <f>HYPERLINK("https://klasma.github.io/Logging_0861/klagomål/A 41198-2023 FSC-klagomål.docx", "A 41198-2023")</f>
        <v/>
      </c>
      <c r="W53">
        <f>HYPERLINK("https://klasma.github.io/Logging_0861/klagomålsmail/A 41198-2023 FSC-klagomål mail.docx", "A 41198-2023")</f>
        <v/>
      </c>
      <c r="X53">
        <f>HYPERLINK("https://klasma.github.io/Logging_0861/tillsyn/A 41198-2023 tillsynsbegäran.docx", "A 41198-2023")</f>
        <v/>
      </c>
      <c r="Y53">
        <f>HYPERLINK("https://klasma.github.io/Logging_0861/tillsynsmail/A 41198-2023 tillsynsbegäran mail.docx", "A 41198-2023")</f>
        <v/>
      </c>
    </row>
    <row r="54" ht="15" customHeight="1">
      <c r="A54" t="inlineStr">
        <is>
          <t>A 54924-2022</t>
        </is>
      </c>
      <c r="B54" s="1" t="n">
        <v>44886</v>
      </c>
      <c r="C54" s="1" t="n">
        <v>45958</v>
      </c>
      <c r="D54" t="inlineStr">
        <is>
          <t>KALMAR LÄN</t>
        </is>
      </c>
      <c r="E54" t="inlineStr">
        <is>
          <t>MÖNSTERÅS</t>
        </is>
      </c>
      <c r="G54" t="n">
        <v>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HYPERLINK("https://klasma.github.io/Logging_0861/artfynd/A 54924-2022 artfynd.xlsx", "A 54924-2022")</f>
        <v/>
      </c>
      <c r="T54">
        <f>HYPERLINK("https://klasma.github.io/Logging_0861/kartor/A 54924-2022 karta.png", "A 54924-2022")</f>
        <v/>
      </c>
      <c r="U54">
        <f>HYPERLINK("https://klasma.github.io/Logging_0861/knärot/A 54924-2022 karta knärot.png", "A 54924-2022")</f>
        <v/>
      </c>
      <c r="V54">
        <f>HYPERLINK("https://klasma.github.io/Logging_0861/klagomål/A 54924-2022 FSC-klagomål.docx", "A 54924-2022")</f>
        <v/>
      </c>
      <c r="W54">
        <f>HYPERLINK("https://klasma.github.io/Logging_0861/klagomålsmail/A 54924-2022 FSC-klagomål mail.docx", "A 54924-2022")</f>
        <v/>
      </c>
      <c r="X54">
        <f>HYPERLINK("https://klasma.github.io/Logging_0861/tillsyn/A 54924-2022 tillsynsbegäran.docx", "A 54924-2022")</f>
        <v/>
      </c>
      <c r="Y54">
        <f>HYPERLINK("https://klasma.github.io/Logging_0861/tillsynsmail/A 54924-2022 tillsynsbegäran mail.docx", "A 54924-2022")</f>
        <v/>
      </c>
    </row>
    <row r="55" ht="15" customHeight="1">
      <c r="A55" t="inlineStr">
        <is>
          <t>A 45331-2025</t>
        </is>
      </c>
      <c r="B55" s="1" t="n">
        <v>45922.33814814815</v>
      </c>
      <c r="C55" s="1" t="n">
        <v>45958</v>
      </c>
      <c r="D55" t="inlineStr">
        <is>
          <t>KALMAR LÄN</t>
        </is>
      </c>
      <c r="E55" t="inlineStr">
        <is>
          <t>MÖNSTERÅS</t>
        </is>
      </c>
      <c r="G55" t="n">
        <v>1.1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HYPERLINK("https://klasma.github.io/Logging_0861/artfynd/A 45331-2025 artfynd.xlsx", "A 45331-2025")</f>
        <v/>
      </c>
      <c r="T55">
        <f>HYPERLINK("https://klasma.github.io/Logging_0861/kartor/A 45331-2025 karta.png", "A 45331-2025")</f>
        <v/>
      </c>
      <c r="V55">
        <f>HYPERLINK("https://klasma.github.io/Logging_0861/klagomål/A 45331-2025 FSC-klagomål.docx", "A 45331-2025")</f>
        <v/>
      </c>
      <c r="W55">
        <f>HYPERLINK("https://klasma.github.io/Logging_0861/klagomålsmail/A 45331-2025 FSC-klagomål mail.docx", "A 45331-2025")</f>
        <v/>
      </c>
      <c r="X55">
        <f>HYPERLINK("https://klasma.github.io/Logging_0861/tillsyn/A 45331-2025 tillsynsbegäran.docx", "A 45331-2025")</f>
        <v/>
      </c>
      <c r="Y55">
        <f>HYPERLINK("https://klasma.github.io/Logging_0861/tillsynsmail/A 45331-2025 tillsynsbegäran mail.docx", "A 45331-2025")</f>
        <v/>
      </c>
      <c r="Z55">
        <f>HYPERLINK("https://klasma.github.io/Logging_0861/fåglar/A 45331-2025 prioriterade fågelarter.docx", "A 45331-2025")</f>
        <v/>
      </c>
    </row>
    <row r="56" ht="15" customHeight="1">
      <c r="A56" t="inlineStr">
        <is>
          <t>A 53173-2022</t>
        </is>
      </c>
      <c r="B56" s="1" t="n">
        <v>44876.54432870371</v>
      </c>
      <c r="C56" s="1" t="n">
        <v>45958</v>
      </c>
      <c r="D56" t="inlineStr">
        <is>
          <t>KALMAR LÄN</t>
        </is>
      </c>
      <c r="E56" t="inlineStr">
        <is>
          <t>MÖNSTERÅS</t>
        </is>
      </c>
      <c r="G56" t="n">
        <v>1.4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Havsörn</t>
        </is>
      </c>
      <c r="S56">
        <f>HYPERLINK("https://klasma.github.io/Logging_0861/artfynd/A 53173-2022 artfynd.xlsx", "A 53173-2022")</f>
        <v/>
      </c>
      <c r="T56">
        <f>HYPERLINK("https://klasma.github.io/Logging_0861/kartor/A 53173-2022 karta.png", "A 53173-2022")</f>
        <v/>
      </c>
      <c r="V56">
        <f>HYPERLINK("https://klasma.github.io/Logging_0861/klagomål/A 53173-2022 FSC-klagomål.docx", "A 53173-2022")</f>
        <v/>
      </c>
      <c r="W56">
        <f>HYPERLINK("https://klasma.github.io/Logging_0861/klagomålsmail/A 53173-2022 FSC-klagomål mail.docx", "A 53173-2022")</f>
        <v/>
      </c>
      <c r="X56">
        <f>HYPERLINK("https://klasma.github.io/Logging_0861/tillsyn/A 53173-2022 tillsynsbegäran.docx", "A 53173-2022")</f>
        <v/>
      </c>
      <c r="Y56">
        <f>HYPERLINK("https://klasma.github.io/Logging_0861/tillsynsmail/A 53173-2022 tillsynsbegäran mail.docx", "A 53173-2022")</f>
        <v/>
      </c>
      <c r="Z56">
        <f>HYPERLINK("https://klasma.github.io/Logging_0861/fåglar/A 53173-2022 prioriterade fågelarter.docx", "A 53173-2022")</f>
        <v/>
      </c>
    </row>
    <row r="57" ht="15" customHeight="1">
      <c r="A57" t="inlineStr">
        <is>
          <t>A 25605-2024</t>
        </is>
      </c>
      <c r="B57" s="1" t="n">
        <v>45463.63111111111</v>
      </c>
      <c r="C57" s="1" t="n">
        <v>45958</v>
      </c>
      <c r="D57" t="inlineStr">
        <is>
          <t>KALMAR LÄN</t>
        </is>
      </c>
      <c r="E57" t="inlineStr">
        <is>
          <t>MÖNSTERÅS</t>
        </is>
      </c>
      <c r="G57" t="n">
        <v>1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Gullviva</t>
        </is>
      </c>
      <c r="S57">
        <f>HYPERLINK("https://klasma.github.io/Logging_0861/artfynd/A 25605-2024 artfynd.xlsx", "A 25605-2024")</f>
        <v/>
      </c>
      <c r="T57">
        <f>HYPERLINK("https://klasma.github.io/Logging_0861/kartor/A 25605-2024 karta.png", "A 25605-2024")</f>
        <v/>
      </c>
      <c r="V57">
        <f>HYPERLINK("https://klasma.github.io/Logging_0861/klagomål/A 25605-2024 FSC-klagomål.docx", "A 25605-2024")</f>
        <v/>
      </c>
      <c r="W57">
        <f>HYPERLINK("https://klasma.github.io/Logging_0861/klagomålsmail/A 25605-2024 FSC-klagomål mail.docx", "A 25605-2024")</f>
        <v/>
      </c>
      <c r="X57">
        <f>HYPERLINK("https://klasma.github.io/Logging_0861/tillsyn/A 25605-2024 tillsynsbegäran.docx", "A 25605-2024")</f>
        <v/>
      </c>
      <c r="Y57">
        <f>HYPERLINK("https://klasma.github.io/Logging_0861/tillsynsmail/A 25605-2024 tillsynsbegäran mail.docx", "A 25605-2024")</f>
        <v/>
      </c>
    </row>
    <row r="58" ht="15" customHeight="1">
      <c r="A58" t="inlineStr">
        <is>
          <t>A 26274-2023</t>
        </is>
      </c>
      <c r="B58" s="1" t="n">
        <v>45091</v>
      </c>
      <c r="C58" s="1" t="n">
        <v>45958</v>
      </c>
      <c r="D58" t="inlineStr">
        <is>
          <t>KALMAR LÄN</t>
        </is>
      </c>
      <c r="E58" t="inlineStr">
        <is>
          <t>MÖNSTERÅS</t>
        </is>
      </c>
      <c r="G58" t="n">
        <v>2.1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Havsörn</t>
        </is>
      </c>
      <c r="S58">
        <f>HYPERLINK("https://klasma.github.io/Logging_0861/artfynd/A 26274-2023 artfynd.xlsx", "A 26274-2023")</f>
        <v/>
      </c>
      <c r="T58">
        <f>HYPERLINK("https://klasma.github.io/Logging_0861/kartor/A 26274-2023 karta.png", "A 26274-2023")</f>
        <v/>
      </c>
      <c r="V58">
        <f>HYPERLINK("https://klasma.github.io/Logging_0861/klagomål/A 26274-2023 FSC-klagomål.docx", "A 26274-2023")</f>
        <v/>
      </c>
      <c r="W58">
        <f>HYPERLINK("https://klasma.github.io/Logging_0861/klagomålsmail/A 26274-2023 FSC-klagomål mail.docx", "A 26274-2023")</f>
        <v/>
      </c>
      <c r="X58">
        <f>HYPERLINK("https://klasma.github.io/Logging_0861/tillsyn/A 26274-2023 tillsynsbegäran.docx", "A 26274-2023")</f>
        <v/>
      </c>
      <c r="Y58">
        <f>HYPERLINK("https://klasma.github.io/Logging_0861/tillsynsmail/A 26274-2023 tillsynsbegäran mail.docx", "A 26274-2023")</f>
        <v/>
      </c>
      <c r="Z58">
        <f>HYPERLINK("https://klasma.github.io/Logging_0861/fåglar/A 26274-2023 prioriterade fågelarter.docx", "A 26274-2023")</f>
        <v/>
      </c>
    </row>
    <row r="59" ht="15" customHeight="1">
      <c r="A59" t="inlineStr">
        <is>
          <t>A 25231-2023</t>
        </is>
      </c>
      <c r="B59" s="1" t="n">
        <v>45086</v>
      </c>
      <c r="C59" s="1" t="n">
        <v>45958</v>
      </c>
      <c r="D59" t="inlineStr">
        <is>
          <t>KALMAR LÄN</t>
        </is>
      </c>
      <c r="E59" t="inlineStr">
        <is>
          <t>MÖNSTERÅS</t>
        </is>
      </c>
      <c r="G59" t="n">
        <v>6.4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Hasselmus</t>
        </is>
      </c>
      <c r="S59">
        <f>HYPERLINK("https://klasma.github.io/Logging_0861/artfynd/A 25231-2023 artfynd.xlsx", "A 25231-2023")</f>
        <v/>
      </c>
      <c r="T59">
        <f>HYPERLINK("https://klasma.github.io/Logging_0861/kartor/A 25231-2023 karta.png", "A 25231-2023")</f>
        <v/>
      </c>
      <c r="V59">
        <f>HYPERLINK("https://klasma.github.io/Logging_0861/klagomål/A 25231-2023 FSC-klagomål.docx", "A 25231-2023")</f>
        <v/>
      </c>
      <c r="W59">
        <f>HYPERLINK("https://klasma.github.io/Logging_0861/klagomålsmail/A 25231-2023 FSC-klagomål mail.docx", "A 25231-2023")</f>
        <v/>
      </c>
      <c r="X59">
        <f>HYPERLINK("https://klasma.github.io/Logging_0861/tillsyn/A 25231-2023 tillsynsbegäran.docx", "A 25231-2023")</f>
        <v/>
      </c>
      <c r="Y59">
        <f>HYPERLINK("https://klasma.github.io/Logging_0861/tillsynsmail/A 25231-2023 tillsynsbegäran mail.docx", "A 25231-2023")</f>
        <v/>
      </c>
    </row>
    <row r="60" ht="15" customHeight="1">
      <c r="A60" t="inlineStr">
        <is>
          <t>A 15898-2024</t>
        </is>
      </c>
      <c r="B60" s="1" t="n">
        <v>45405.40247685185</v>
      </c>
      <c r="C60" s="1" t="n">
        <v>45958</v>
      </c>
      <c r="D60" t="inlineStr">
        <is>
          <t>KALMAR LÄN</t>
        </is>
      </c>
      <c r="E60" t="inlineStr">
        <is>
          <t>MÖNSTERÅS</t>
        </is>
      </c>
      <c r="G60" t="n">
        <v>0.7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HYPERLINK("https://klasma.github.io/Logging_0861/artfynd/A 15898-2024 artfynd.xlsx", "A 15898-2024")</f>
        <v/>
      </c>
      <c r="T60">
        <f>HYPERLINK("https://klasma.github.io/Logging_0861/kartor/A 15898-2024 karta.png", "A 15898-2024")</f>
        <v/>
      </c>
      <c r="V60">
        <f>HYPERLINK("https://klasma.github.io/Logging_0861/klagomål/A 15898-2024 FSC-klagomål.docx", "A 15898-2024")</f>
        <v/>
      </c>
      <c r="W60">
        <f>HYPERLINK("https://klasma.github.io/Logging_0861/klagomålsmail/A 15898-2024 FSC-klagomål mail.docx", "A 15898-2024")</f>
        <v/>
      </c>
      <c r="X60">
        <f>HYPERLINK("https://klasma.github.io/Logging_0861/tillsyn/A 15898-2024 tillsynsbegäran.docx", "A 15898-2024")</f>
        <v/>
      </c>
      <c r="Y60">
        <f>HYPERLINK("https://klasma.github.io/Logging_0861/tillsynsmail/A 15898-2024 tillsynsbegäran mail.docx", "A 15898-2024")</f>
        <v/>
      </c>
    </row>
    <row r="61" ht="15" customHeight="1">
      <c r="A61" t="inlineStr">
        <is>
          <t>A 11262-2021</t>
        </is>
      </c>
      <c r="B61" s="1" t="n">
        <v>44260</v>
      </c>
      <c r="C61" s="1" t="n">
        <v>45958</v>
      </c>
      <c r="D61" t="inlineStr">
        <is>
          <t>KALMAR LÄN</t>
        </is>
      </c>
      <c r="E61" t="inlineStr">
        <is>
          <t>MÖNSTERÅS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61442-2020</t>
        </is>
      </c>
      <c r="B62" s="1" t="n">
        <v>44157</v>
      </c>
      <c r="C62" s="1" t="n">
        <v>45958</v>
      </c>
      <c r="D62" t="inlineStr">
        <is>
          <t>KALMAR LÄN</t>
        </is>
      </c>
      <c r="E62" t="inlineStr">
        <is>
          <t>MÖNSTERÅS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65911-2020</t>
        </is>
      </c>
      <c r="B63" s="1" t="n">
        <v>44175</v>
      </c>
      <c r="C63" s="1" t="n">
        <v>45958</v>
      </c>
      <c r="D63" t="inlineStr">
        <is>
          <t>KALMAR LÄN</t>
        </is>
      </c>
      <c r="E63" t="inlineStr">
        <is>
          <t>MÖNSTERÅS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57335-2020</t>
        </is>
      </c>
      <c r="B64" s="1" t="n">
        <v>44139.74001157407</v>
      </c>
      <c r="C64" s="1" t="n">
        <v>45958</v>
      </c>
      <c r="D64" t="inlineStr">
        <is>
          <t>KALMAR LÄN</t>
        </is>
      </c>
      <c r="E64" t="inlineStr">
        <is>
          <t>MÖNSTERÅS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64550-2021</t>
        </is>
      </c>
      <c r="B65" s="1" t="n">
        <v>44511.63819444444</v>
      </c>
      <c r="C65" s="1" t="n">
        <v>45958</v>
      </c>
      <c r="D65" t="inlineStr">
        <is>
          <t>KALMAR LÄN</t>
        </is>
      </c>
      <c r="E65" t="inlineStr">
        <is>
          <t>MÖNSTERÅS</t>
        </is>
      </c>
      <c r="G65" t="n">
        <v>9.1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37064-2021</t>
        </is>
      </c>
      <c r="B66" s="1" t="n">
        <v>44394</v>
      </c>
      <c r="C66" s="1" t="n">
        <v>45958</v>
      </c>
      <c r="D66" t="inlineStr">
        <is>
          <t>KALMAR LÄN</t>
        </is>
      </c>
      <c r="E66" t="inlineStr">
        <is>
          <t>MÖNSTERÅS</t>
        </is>
      </c>
      <c r="G66" t="n">
        <v>9.199999999999999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3016-2021</t>
        </is>
      </c>
      <c r="B67" s="1" t="n">
        <v>44216</v>
      </c>
      <c r="C67" s="1" t="n">
        <v>45958</v>
      </c>
      <c r="D67" t="inlineStr">
        <is>
          <t>KALMAR LÄN</t>
        </is>
      </c>
      <c r="E67" t="inlineStr">
        <is>
          <t>MÖNSTERÅS</t>
        </is>
      </c>
      <c r="G67" t="n">
        <v>11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42139-2021</t>
        </is>
      </c>
      <c r="B68" s="1" t="n">
        <v>44426</v>
      </c>
      <c r="C68" s="1" t="n">
        <v>45958</v>
      </c>
      <c r="D68" t="inlineStr">
        <is>
          <t>KALMAR LÄN</t>
        </is>
      </c>
      <c r="E68" t="inlineStr">
        <is>
          <t>MÖNSTERÅS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35715-2022</t>
        </is>
      </c>
      <c r="B69" s="1" t="n">
        <v>44799</v>
      </c>
      <c r="C69" s="1" t="n">
        <v>45958</v>
      </c>
      <c r="D69" t="inlineStr">
        <is>
          <t>KALMAR LÄN</t>
        </is>
      </c>
      <c r="E69" t="inlineStr">
        <is>
          <t>MÖNSTERÅS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29347-2022</t>
        </is>
      </c>
      <c r="B70" s="1" t="n">
        <v>44753.34430555555</v>
      </c>
      <c r="C70" s="1" t="n">
        <v>45958</v>
      </c>
      <c r="D70" t="inlineStr">
        <is>
          <t>KALMAR LÄN</t>
        </is>
      </c>
      <c r="E70" t="inlineStr">
        <is>
          <t>MÖNSTERÅS</t>
        </is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11451-2021</t>
        </is>
      </c>
      <c r="B71" s="1" t="n">
        <v>44264.30541666667</v>
      </c>
      <c r="C71" s="1" t="n">
        <v>45958</v>
      </c>
      <c r="D71" t="inlineStr">
        <is>
          <t>KALMAR LÄN</t>
        </is>
      </c>
      <c r="E71" t="inlineStr">
        <is>
          <t>MÖNSTERÅS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70650-2021</t>
        </is>
      </c>
      <c r="B72" s="1" t="n">
        <v>44537</v>
      </c>
      <c r="C72" s="1" t="n">
        <v>45958</v>
      </c>
      <c r="D72" t="inlineStr">
        <is>
          <t>KALMAR LÄN</t>
        </is>
      </c>
      <c r="E72" t="inlineStr">
        <is>
          <t>MÖNSTERÅS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4567-2021</t>
        </is>
      </c>
      <c r="B73" s="1" t="n">
        <v>44224</v>
      </c>
      <c r="C73" s="1" t="n">
        <v>45958</v>
      </c>
      <c r="D73" t="inlineStr">
        <is>
          <t>KALMAR LÄN</t>
        </is>
      </c>
      <c r="E73" t="inlineStr">
        <is>
          <t>MÖNSTERÅS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7173-2022</t>
        </is>
      </c>
      <c r="B74" s="1" t="n">
        <v>44604.7769212963</v>
      </c>
      <c r="C74" s="1" t="n">
        <v>45958</v>
      </c>
      <c r="D74" t="inlineStr">
        <is>
          <t>KALMAR LÄN</t>
        </is>
      </c>
      <c r="E74" t="inlineStr">
        <is>
          <t>MÖNSTERÅS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2348-2021</t>
        </is>
      </c>
      <c r="B75" s="1" t="n">
        <v>44214</v>
      </c>
      <c r="C75" s="1" t="n">
        <v>45958</v>
      </c>
      <c r="D75" t="inlineStr">
        <is>
          <t>KALMAR LÄN</t>
        </is>
      </c>
      <c r="E75" t="inlineStr">
        <is>
          <t>MÖNSTERÅS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58244-2021</t>
        </is>
      </c>
      <c r="B76" s="1" t="n">
        <v>44487</v>
      </c>
      <c r="C76" s="1" t="n">
        <v>45958</v>
      </c>
      <c r="D76" t="inlineStr">
        <is>
          <t>KALMAR LÄN</t>
        </is>
      </c>
      <c r="E76" t="inlineStr">
        <is>
          <t>MÖNSTERÅS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40817-2022</t>
        </is>
      </c>
      <c r="B77" s="1" t="n">
        <v>44824.69974537037</v>
      </c>
      <c r="C77" s="1" t="n">
        <v>45958</v>
      </c>
      <c r="D77" t="inlineStr">
        <is>
          <t>KALMAR LÄN</t>
        </is>
      </c>
      <c r="E77" t="inlineStr">
        <is>
          <t>MÖNSTERÅS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45417-2021</t>
        </is>
      </c>
      <c r="B78" s="1" t="n">
        <v>44440</v>
      </c>
      <c r="C78" s="1" t="n">
        <v>45958</v>
      </c>
      <c r="D78" t="inlineStr">
        <is>
          <t>KALMAR LÄN</t>
        </is>
      </c>
      <c r="E78" t="inlineStr">
        <is>
          <t>MÖNSTERÅS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65124-2020</t>
        </is>
      </c>
      <c r="B79" s="1" t="n">
        <v>44168</v>
      </c>
      <c r="C79" s="1" t="n">
        <v>45958</v>
      </c>
      <c r="D79" t="inlineStr">
        <is>
          <t>KALMAR LÄN</t>
        </is>
      </c>
      <c r="E79" t="inlineStr">
        <is>
          <t>MÖNSTERÅS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14165-2022</t>
        </is>
      </c>
      <c r="B80" s="1" t="n">
        <v>44651</v>
      </c>
      <c r="C80" s="1" t="n">
        <v>45958</v>
      </c>
      <c r="D80" t="inlineStr">
        <is>
          <t>KALMAR LÄN</t>
        </is>
      </c>
      <c r="E80" t="inlineStr">
        <is>
          <t>MÖNSTERÅS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18825-2022</t>
        </is>
      </c>
      <c r="B81" s="1" t="n">
        <v>44690</v>
      </c>
      <c r="C81" s="1" t="n">
        <v>45958</v>
      </c>
      <c r="D81" t="inlineStr">
        <is>
          <t>KALMAR LÄN</t>
        </is>
      </c>
      <c r="E81" t="inlineStr">
        <is>
          <t>MÖNSTERÅS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68164-2020</t>
        </is>
      </c>
      <c r="B82" s="1" t="n">
        <v>44183</v>
      </c>
      <c r="C82" s="1" t="n">
        <v>45958</v>
      </c>
      <c r="D82" t="inlineStr">
        <is>
          <t>KALMAR LÄN</t>
        </is>
      </c>
      <c r="E82" t="inlineStr">
        <is>
          <t>MÖNSTERÅS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30887-2021</t>
        </is>
      </c>
      <c r="B83" s="1" t="n">
        <v>44365</v>
      </c>
      <c r="C83" s="1" t="n">
        <v>45958</v>
      </c>
      <c r="D83" t="inlineStr">
        <is>
          <t>KALMAR LÄN</t>
        </is>
      </c>
      <c r="E83" t="inlineStr">
        <is>
          <t>MÖNSTERÅS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65774-2020</t>
        </is>
      </c>
      <c r="B84" s="1" t="n">
        <v>44174</v>
      </c>
      <c r="C84" s="1" t="n">
        <v>45958</v>
      </c>
      <c r="D84" t="inlineStr">
        <is>
          <t>KALMAR LÄN</t>
        </is>
      </c>
      <c r="E84" t="inlineStr">
        <is>
          <t>MÖNSTERÅS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2983-2021</t>
        </is>
      </c>
      <c r="B85" s="1" t="n">
        <v>44216</v>
      </c>
      <c r="C85" s="1" t="n">
        <v>45958</v>
      </c>
      <c r="D85" t="inlineStr">
        <is>
          <t>KALMAR LÄN</t>
        </is>
      </c>
      <c r="E85" t="inlineStr">
        <is>
          <t>MÖNSTERÅS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20250-2022</t>
        </is>
      </c>
      <c r="B86" s="1" t="n">
        <v>44698</v>
      </c>
      <c r="C86" s="1" t="n">
        <v>45958</v>
      </c>
      <c r="D86" t="inlineStr">
        <is>
          <t>KALMAR LÄN</t>
        </is>
      </c>
      <c r="E86" t="inlineStr">
        <is>
          <t>MÖNSTERÅS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51358-2021</t>
        </is>
      </c>
      <c r="B87" s="1" t="n">
        <v>44461</v>
      </c>
      <c r="C87" s="1" t="n">
        <v>45958</v>
      </c>
      <c r="D87" t="inlineStr">
        <is>
          <t>KALMAR LÄN</t>
        </is>
      </c>
      <c r="E87" t="inlineStr">
        <is>
          <t>MÖNSTERÅS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50069-2022</t>
        </is>
      </c>
      <c r="B88" s="1" t="n">
        <v>44865.48043981481</v>
      </c>
      <c r="C88" s="1" t="n">
        <v>45958</v>
      </c>
      <c r="D88" t="inlineStr">
        <is>
          <t>KALMAR LÄN</t>
        </is>
      </c>
      <c r="E88" t="inlineStr">
        <is>
          <t>MÖNSTERÅS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49498-2021</t>
        </is>
      </c>
      <c r="B89" s="1" t="n">
        <v>44455</v>
      </c>
      <c r="C89" s="1" t="n">
        <v>45958</v>
      </c>
      <c r="D89" t="inlineStr">
        <is>
          <t>KALMAR LÄN</t>
        </is>
      </c>
      <c r="E89" t="inlineStr">
        <is>
          <t>MÖNSTERÅS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11702-2022</t>
        </is>
      </c>
      <c r="B90" s="1" t="n">
        <v>44634</v>
      </c>
      <c r="C90" s="1" t="n">
        <v>45958</v>
      </c>
      <c r="D90" t="inlineStr">
        <is>
          <t>KALMAR LÄN</t>
        </is>
      </c>
      <c r="E90" t="inlineStr">
        <is>
          <t>MÖNSTERÅS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68239-2020</t>
        </is>
      </c>
      <c r="B91" s="1" t="n">
        <v>44183</v>
      </c>
      <c r="C91" s="1" t="n">
        <v>45958</v>
      </c>
      <c r="D91" t="inlineStr">
        <is>
          <t>KALMAR LÄN</t>
        </is>
      </c>
      <c r="E91" t="inlineStr">
        <is>
          <t>MÖNSTERÅS</t>
        </is>
      </c>
      <c r="G91" t="n">
        <v>13.3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40405-2021</t>
        </is>
      </c>
      <c r="B92" s="1" t="n">
        <v>44419</v>
      </c>
      <c r="C92" s="1" t="n">
        <v>45958</v>
      </c>
      <c r="D92" t="inlineStr">
        <is>
          <t>KALMAR LÄN</t>
        </is>
      </c>
      <c r="E92" t="inlineStr">
        <is>
          <t>MÖNSTERÅS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50016-2022</t>
        </is>
      </c>
      <c r="B93" s="1" t="n">
        <v>44865.44211805556</v>
      </c>
      <c r="C93" s="1" t="n">
        <v>45958</v>
      </c>
      <c r="D93" t="inlineStr">
        <is>
          <t>KALMAR LÄN</t>
        </is>
      </c>
      <c r="E93" t="inlineStr">
        <is>
          <t>MÖNSTERÅS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5604-2021</t>
        </is>
      </c>
      <c r="B94" s="1" t="n">
        <v>44230</v>
      </c>
      <c r="C94" s="1" t="n">
        <v>45958</v>
      </c>
      <c r="D94" t="inlineStr">
        <is>
          <t>KALMAR LÄN</t>
        </is>
      </c>
      <c r="E94" t="inlineStr">
        <is>
          <t>MÖNSTERÅS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50489-2021</t>
        </is>
      </c>
      <c r="B95" s="1" t="n">
        <v>44459.56368055556</v>
      </c>
      <c r="C95" s="1" t="n">
        <v>45958</v>
      </c>
      <c r="D95" t="inlineStr">
        <is>
          <t>KALMAR LÄN</t>
        </is>
      </c>
      <c r="E95" t="inlineStr">
        <is>
          <t>MÖNSTERÅS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58568-2020</t>
        </is>
      </c>
      <c r="B96" s="1" t="n">
        <v>44145</v>
      </c>
      <c r="C96" s="1" t="n">
        <v>45958</v>
      </c>
      <c r="D96" t="inlineStr">
        <is>
          <t>KALMAR LÄN</t>
        </is>
      </c>
      <c r="E96" t="inlineStr">
        <is>
          <t>MÖNSTERÅS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60738-2020</t>
        </is>
      </c>
      <c r="B97" s="1" t="n">
        <v>44153</v>
      </c>
      <c r="C97" s="1" t="n">
        <v>45958</v>
      </c>
      <c r="D97" t="inlineStr">
        <is>
          <t>KALMAR LÄN</t>
        </is>
      </c>
      <c r="E97" t="inlineStr">
        <is>
          <t>MÖNSTERÅS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73186-2021</t>
        </is>
      </c>
      <c r="B98" s="1" t="n">
        <v>44546</v>
      </c>
      <c r="C98" s="1" t="n">
        <v>45958</v>
      </c>
      <c r="D98" t="inlineStr">
        <is>
          <t>KALMAR LÄN</t>
        </is>
      </c>
      <c r="E98" t="inlineStr">
        <is>
          <t>MÖNSTERÅS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58772-2021</t>
        </is>
      </c>
      <c r="B99" s="1" t="n">
        <v>44489</v>
      </c>
      <c r="C99" s="1" t="n">
        <v>45958</v>
      </c>
      <c r="D99" t="inlineStr">
        <is>
          <t>KALMAR LÄN</t>
        </is>
      </c>
      <c r="E99" t="inlineStr">
        <is>
          <t>MÖNSTERÅS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68241-2020</t>
        </is>
      </c>
      <c r="B100" s="1" t="n">
        <v>44183</v>
      </c>
      <c r="C100" s="1" t="n">
        <v>45958</v>
      </c>
      <c r="D100" t="inlineStr">
        <is>
          <t>KALMAR LÄN</t>
        </is>
      </c>
      <c r="E100" t="inlineStr">
        <is>
          <t>MÖNSTERÅS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7238-2022</t>
        </is>
      </c>
      <c r="B101" s="1" t="n">
        <v>44606</v>
      </c>
      <c r="C101" s="1" t="n">
        <v>45958</v>
      </c>
      <c r="D101" t="inlineStr">
        <is>
          <t>KALMAR LÄN</t>
        </is>
      </c>
      <c r="E101" t="inlineStr">
        <is>
          <t>MÖNSTERÅS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70594-2021</t>
        </is>
      </c>
      <c r="B102" s="1" t="n">
        <v>44537</v>
      </c>
      <c r="C102" s="1" t="n">
        <v>45958</v>
      </c>
      <c r="D102" t="inlineStr">
        <is>
          <t>KALMAR LÄN</t>
        </is>
      </c>
      <c r="E102" t="inlineStr">
        <is>
          <t>MÖNSTERÅS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2542-2021</t>
        </is>
      </c>
      <c r="B103" s="1" t="n">
        <v>44214</v>
      </c>
      <c r="C103" s="1" t="n">
        <v>45958</v>
      </c>
      <c r="D103" t="inlineStr">
        <is>
          <t>KALMAR LÄN</t>
        </is>
      </c>
      <c r="E103" t="inlineStr">
        <is>
          <t>MÖNSTERÅS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13743-2022</t>
        </is>
      </c>
      <c r="B104" s="1" t="n">
        <v>44649</v>
      </c>
      <c r="C104" s="1" t="n">
        <v>45958</v>
      </c>
      <c r="D104" t="inlineStr">
        <is>
          <t>KALMAR LÄN</t>
        </is>
      </c>
      <c r="E104" t="inlineStr">
        <is>
          <t>MÖNSTERÅS</t>
        </is>
      </c>
      <c r="F104" t="inlineStr">
        <is>
          <t>Kommuner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9863-2021</t>
        </is>
      </c>
      <c r="B105" s="1" t="n">
        <v>44253</v>
      </c>
      <c r="C105" s="1" t="n">
        <v>45958</v>
      </c>
      <c r="D105" t="inlineStr">
        <is>
          <t>KALMAR LÄN</t>
        </is>
      </c>
      <c r="E105" t="inlineStr">
        <is>
          <t>MÖNSTERÅS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51532-2022</t>
        </is>
      </c>
      <c r="B106" s="1" t="n">
        <v>44869.80046296296</v>
      </c>
      <c r="C106" s="1" t="n">
        <v>45958</v>
      </c>
      <c r="D106" t="inlineStr">
        <is>
          <t>KALMAR LÄN</t>
        </is>
      </c>
      <c r="E106" t="inlineStr">
        <is>
          <t>MÖNSTERÅS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66046-2021</t>
        </is>
      </c>
      <c r="B107" s="1" t="n">
        <v>44517</v>
      </c>
      <c r="C107" s="1" t="n">
        <v>45958</v>
      </c>
      <c r="D107" t="inlineStr">
        <is>
          <t>KALMAR LÄN</t>
        </is>
      </c>
      <c r="E107" t="inlineStr">
        <is>
          <t>MÖNSTERÅS</t>
        </is>
      </c>
      <c r="F107" t="inlineStr">
        <is>
          <t>Kommuner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24743-2022</t>
        </is>
      </c>
      <c r="B108" s="1" t="n">
        <v>44727</v>
      </c>
      <c r="C108" s="1" t="n">
        <v>45958</v>
      </c>
      <c r="D108" t="inlineStr">
        <is>
          <t>KALMAR LÄN</t>
        </is>
      </c>
      <c r="E108" t="inlineStr">
        <is>
          <t>MÖNSTERÅS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54488-2022</t>
        </is>
      </c>
      <c r="B109" s="1" t="n">
        <v>44882.67111111111</v>
      </c>
      <c r="C109" s="1" t="n">
        <v>45958</v>
      </c>
      <c r="D109" t="inlineStr">
        <is>
          <t>KALMAR LÄN</t>
        </is>
      </c>
      <c r="E109" t="inlineStr">
        <is>
          <t>MÖNSTERÅS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5596-2022</t>
        </is>
      </c>
      <c r="B110" s="1" t="n">
        <v>44595</v>
      </c>
      <c r="C110" s="1" t="n">
        <v>45958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32034-2021</t>
        </is>
      </c>
      <c r="B111" s="1" t="n">
        <v>44370</v>
      </c>
      <c r="C111" s="1" t="n">
        <v>45958</v>
      </c>
      <c r="D111" t="inlineStr">
        <is>
          <t>KALMAR LÄN</t>
        </is>
      </c>
      <c r="E111" t="inlineStr">
        <is>
          <t>MÖNSTERÅS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41689-2022</t>
        </is>
      </c>
      <c r="B112" s="1" t="n">
        <v>44827</v>
      </c>
      <c r="C112" s="1" t="n">
        <v>45958</v>
      </c>
      <c r="D112" t="inlineStr">
        <is>
          <t>KALMAR LÄN</t>
        </is>
      </c>
      <c r="E112" t="inlineStr">
        <is>
          <t>MÖNSTERÅS</t>
        </is>
      </c>
      <c r="G112" t="n">
        <v>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42125-2021</t>
        </is>
      </c>
      <c r="B113" s="1" t="n">
        <v>44426</v>
      </c>
      <c r="C113" s="1" t="n">
        <v>45958</v>
      </c>
      <c r="D113" t="inlineStr">
        <is>
          <t>KALMAR LÄN</t>
        </is>
      </c>
      <c r="E113" t="inlineStr">
        <is>
          <t>MÖNSTERÅS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64525-2021</t>
        </is>
      </c>
      <c r="B114" s="1" t="n">
        <v>44511.6225462963</v>
      </c>
      <c r="C114" s="1" t="n">
        <v>45958</v>
      </c>
      <c r="D114" t="inlineStr">
        <is>
          <t>KALMAR LÄN</t>
        </is>
      </c>
      <c r="E114" t="inlineStr">
        <is>
          <t>MÖNSTERÅS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36250-2021</t>
        </is>
      </c>
      <c r="B115" s="1" t="n">
        <v>44389</v>
      </c>
      <c r="C115" s="1" t="n">
        <v>45958</v>
      </c>
      <c r="D115" t="inlineStr">
        <is>
          <t>KALMAR LÄN</t>
        </is>
      </c>
      <c r="E115" t="inlineStr">
        <is>
          <t>MÖNSTERÅS</t>
        </is>
      </c>
      <c r="F115" t="inlineStr">
        <is>
          <t>Kyrkan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4974-2022</t>
        </is>
      </c>
      <c r="B116" s="1" t="n">
        <v>44593</v>
      </c>
      <c r="C116" s="1" t="n">
        <v>45958</v>
      </c>
      <c r="D116" t="inlineStr">
        <is>
          <t>KALMAR LÄN</t>
        </is>
      </c>
      <c r="E116" t="inlineStr">
        <is>
          <t>MÖNSTERÅS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12896-2022</t>
        </is>
      </c>
      <c r="B117" s="1" t="n">
        <v>44642</v>
      </c>
      <c r="C117" s="1" t="n">
        <v>45958</v>
      </c>
      <c r="D117" t="inlineStr">
        <is>
          <t>KALMAR LÄN</t>
        </is>
      </c>
      <c r="E117" t="inlineStr">
        <is>
          <t>MÖNSTERÅS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9545-2024</t>
        </is>
      </c>
      <c r="B118" s="1" t="n">
        <v>45359</v>
      </c>
      <c r="C118" s="1" t="n">
        <v>45958</v>
      </c>
      <c r="D118" t="inlineStr">
        <is>
          <t>KALMAR LÄN</t>
        </is>
      </c>
      <c r="E118" t="inlineStr">
        <is>
          <t>MÖNSTERÅS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49809-2021</t>
        </is>
      </c>
      <c r="B119" s="1" t="n">
        <v>44455</v>
      </c>
      <c r="C119" s="1" t="n">
        <v>45958</v>
      </c>
      <c r="D119" t="inlineStr">
        <is>
          <t>KALMAR LÄN</t>
        </is>
      </c>
      <c r="E119" t="inlineStr">
        <is>
          <t>MÖNSTERÅS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66212-2021</t>
        </is>
      </c>
      <c r="B120" s="1" t="n">
        <v>44518</v>
      </c>
      <c r="C120" s="1" t="n">
        <v>45958</v>
      </c>
      <c r="D120" t="inlineStr">
        <is>
          <t>KALMAR LÄN</t>
        </is>
      </c>
      <c r="E120" t="inlineStr">
        <is>
          <t>MÖNSTERÅS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40242-2022</t>
        </is>
      </c>
      <c r="B121" s="1" t="n">
        <v>44820</v>
      </c>
      <c r="C121" s="1" t="n">
        <v>45958</v>
      </c>
      <c r="D121" t="inlineStr">
        <is>
          <t>KALMAR LÄN</t>
        </is>
      </c>
      <c r="E121" t="inlineStr">
        <is>
          <t>MÖNSTERÅS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23720-2022</t>
        </is>
      </c>
      <c r="B122" s="1" t="n">
        <v>44722</v>
      </c>
      <c r="C122" s="1" t="n">
        <v>45958</v>
      </c>
      <c r="D122" t="inlineStr">
        <is>
          <t>KALMAR LÄN</t>
        </is>
      </c>
      <c r="E122" t="inlineStr">
        <is>
          <t>MÖNSTERÅS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57199-2020</t>
        </is>
      </c>
      <c r="B123" s="1" t="n">
        <v>44139</v>
      </c>
      <c r="C123" s="1" t="n">
        <v>45958</v>
      </c>
      <c r="D123" t="inlineStr">
        <is>
          <t>KALMAR LÄN</t>
        </is>
      </c>
      <c r="E123" t="inlineStr">
        <is>
          <t>MÖNSTERÅS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62078-2020</t>
        </is>
      </c>
      <c r="B124" s="1" t="n">
        <v>44159</v>
      </c>
      <c r="C124" s="1" t="n">
        <v>45958</v>
      </c>
      <c r="D124" t="inlineStr">
        <is>
          <t>KALMAR LÄN</t>
        </is>
      </c>
      <c r="E124" t="inlineStr">
        <is>
          <t>MÖNSTERÅS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58894-2023</t>
        </is>
      </c>
      <c r="B125" s="1" t="n">
        <v>45250</v>
      </c>
      <c r="C125" s="1" t="n">
        <v>45958</v>
      </c>
      <c r="D125" t="inlineStr">
        <is>
          <t>KALMAR LÄN</t>
        </is>
      </c>
      <c r="E125" t="inlineStr">
        <is>
          <t>MÖNSTERÅS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52646-2022</t>
        </is>
      </c>
      <c r="B126" s="1" t="n">
        <v>44874.78201388889</v>
      </c>
      <c r="C126" s="1" t="n">
        <v>45958</v>
      </c>
      <c r="D126" t="inlineStr">
        <is>
          <t>KALMAR LÄN</t>
        </is>
      </c>
      <c r="E126" t="inlineStr">
        <is>
          <t>MÖNSTERÅS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50054-2022</t>
        </is>
      </c>
      <c r="B127" s="1" t="n">
        <v>44865.47458333334</v>
      </c>
      <c r="C127" s="1" t="n">
        <v>45958</v>
      </c>
      <c r="D127" t="inlineStr">
        <is>
          <t>KALMAR LÄN</t>
        </is>
      </c>
      <c r="E127" t="inlineStr">
        <is>
          <t>MÖNSTERÅS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70644-2021</t>
        </is>
      </c>
      <c r="B128" s="1" t="n">
        <v>44537.49385416666</v>
      </c>
      <c r="C128" s="1" t="n">
        <v>45958</v>
      </c>
      <c r="D128" t="inlineStr">
        <is>
          <t>KALMAR LÄN</t>
        </is>
      </c>
      <c r="E128" t="inlineStr">
        <is>
          <t>MÖNSTERÅS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31384-2023</t>
        </is>
      </c>
      <c r="B129" s="1" t="n">
        <v>45114</v>
      </c>
      <c r="C129" s="1" t="n">
        <v>45958</v>
      </c>
      <c r="D129" t="inlineStr">
        <is>
          <t>KALMAR LÄN</t>
        </is>
      </c>
      <c r="E129" t="inlineStr">
        <is>
          <t>MÖNSTERÅS</t>
        </is>
      </c>
      <c r="F129" t="inlineStr">
        <is>
          <t>Kommuner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10108-2022</t>
        </is>
      </c>
      <c r="B130" s="1" t="n">
        <v>44621</v>
      </c>
      <c r="C130" s="1" t="n">
        <v>45958</v>
      </c>
      <c r="D130" t="inlineStr">
        <is>
          <t>KALMAR LÄN</t>
        </is>
      </c>
      <c r="E130" t="inlineStr">
        <is>
          <t>MÖNSTERÅS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34721-2021</t>
        </is>
      </c>
      <c r="B131" s="1" t="n">
        <v>44382</v>
      </c>
      <c r="C131" s="1" t="n">
        <v>45958</v>
      </c>
      <c r="D131" t="inlineStr">
        <is>
          <t>KALMAR LÄN</t>
        </is>
      </c>
      <c r="E131" t="inlineStr">
        <is>
          <t>MÖNSTERÅS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37419-2024</t>
        </is>
      </c>
      <c r="B132" s="1" t="n">
        <v>45540.63810185185</v>
      </c>
      <c r="C132" s="1" t="n">
        <v>45958</v>
      </c>
      <c r="D132" t="inlineStr">
        <is>
          <t>KALMAR LÄN</t>
        </is>
      </c>
      <c r="E132" t="inlineStr">
        <is>
          <t>MÖNSTERÅS</t>
        </is>
      </c>
      <c r="G132" t="n">
        <v>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4368-2021</t>
        </is>
      </c>
      <c r="B133" s="1" t="n">
        <v>44223</v>
      </c>
      <c r="C133" s="1" t="n">
        <v>45958</v>
      </c>
      <c r="D133" t="inlineStr">
        <is>
          <t>KALMAR LÄN</t>
        </is>
      </c>
      <c r="E133" t="inlineStr">
        <is>
          <t>MÖNSTERÅS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20498-2023</t>
        </is>
      </c>
      <c r="B134" s="1" t="n">
        <v>45057</v>
      </c>
      <c r="C134" s="1" t="n">
        <v>45958</v>
      </c>
      <c r="D134" t="inlineStr">
        <is>
          <t>KALMAR LÄN</t>
        </is>
      </c>
      <c r="E134" t="inlineStr">
        <is>
          <t>MÖNSTERÅS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24716-2022</t>
        </is>
      </c>
      <c r="B135" s="1" t="n">
        <v>44727</v>
      </c>
      <c r="C135" s="1" t="n">
        <v>45958</v>
      </c>
      <c r="D135" t="inlineStr">
        <is>
          <t>KALMAR LÄN</t>
        </is>
      </c>
      <c r="E135" t="inlineStr">
        <is>
          <t>MÖNSTERÅS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57439-2020</t>
        </is>
      </c>
      <c r="B136" s="1" t="n">
        <v>44140</v>
      </c>
      <c r="C136" s="1" t="n">
        <v>45958</v>
      </c>
      <c r="D136" t="inlineStr">
        <is>
          <t>KALMAR LÄN</t>
        </is>
      </c>
      <c r="E136" t="inlineStr">
        <is>
          <t>MÖNSTERÅS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52642-2022</t>
        </is>
      </c>
      <c r="B137" s="1" t="n">
        <v>44874.77633101852</v>
      </c>
      <c r="C137" s="1" t="n">
        <v>45958</v>
      </c>
      <c r="D137" t="inlineStr">
        <is>
          <t>KALMAR LÄN</t>
        </is>
      </c>
      <c r="E137" t="inlineStr">
        <is>
          <t>MÖNSTERÅS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66796-2021</t>
        </is>
      </c>
      <c r="B138" s="1" t="n">
        <v>44519</v>
      </c>
      <c r="C138" s="1" t="n">
        <v>45958</v>
      </c>
      <c r="D138" t="inlineStr">
        <is>
          <t>KALMAR LÄN</t>
        </is>
      </c>
      <c r="E138" t="inlineStr">
        <is>
          <t>MÖNSTERÅS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24488-2024</t>
        </is>
      </c>
      <c r="B139" s="1" t="n">
        <v>45459.67179398148</v>
      </c>
      <c r="C139" s="1" t="n">
        <v>45958</v>
      </c>
      <c r="D139" t="inlineStr">
        <is>
          <t>KALMAR LÄN</t>
        </is>
      </c>
      <c r="E139" t="inlineStr">
        <is>
          <t>MÖNSTERÅS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3731-2021</t>
        </is>
      </c>
      <c r="B140" s="1" t="n">
        <v>44221</v>
      </c>
      <c r="C140" s="1" t="n">
        <v>45958</v>
      </c>
      <c r="D140" t="inlineStr">
        <is>
          <t>KALMAR LÄN</t>
        </is>
      </c>
      <c r="E140" t="inlineStr">
        <is>
          <t>MÖNSTERÅS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36364-2023</t>
        </is>
      </c>
      <c r="B141" s="1" t="n">
        <v>45152</v>
      </c>
      <c r="C141" s="1" t="n">
        <v>45958</v>
      </c>
      <c r="D141" t="inlineStr">
        <is>
          <t>KALMAR LÄN</t>
        </is>
      </c>
      <c r="E141" t="inlineStr">
        <is>
          <t>MÖNSTERÅS</t>
        </is>
      </c>
      <c r="F141" t="inlineStr">
        <is>
          <t>Kommuner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38245-2023</t>
        </is>
      </c>
      <c r="B142" s="1" t="n">
        <v>45161</v>
      </c>
      <c r="C142" s="1" t="n">
        <v>45958</v>
      </c>
      <c r="D142" t="inlineStr">
        <is>
          <t>KALMAR LÄN</t>
        </is>
      </c>
      <c r="E142" t="inlineStr">
        <is>
          <t>MÖNSTERÅS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29461-2021</t>
        </is>
      </c>
      <c r="B143" s="1" t="n">
        <v>44361</v>
      </c>
      <c r="C143" s="1" t="n">
        <v>45958</v>
      </c>
      <c r="D143" t="inlineStr">
        <is>
          <t>KALMAR LÄN</t>
        </is>
      </c>
      <c r="E143" t="inlineStr">
        <is>
          <t>MÖNSTERÅS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55419-2021</t>
        </is>
      </c>
      <c r="B144" s="1" t="n">
        <v>44475</v>
      </c>
      <c r="C144" s="1" t="n">
        <v>45958</v>
      </c>
      <c r="D144" t="inlineStr">
        <is>
          <t>KALMAR LÄN</t>
        </is>
      </c>
      <c r="E144" t="inlineStr">
        <is>
          <t>MÖNSTERÅS</t>
        </is>
      </c>
      <c r="G144" t="n">
        <v>14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53502-2022</t>
        </is>
      </c>
      <c r="B145" s="1" t="n">
        <v>44879</v>
      </c>
      <c r="C145" s="1" t="n">
        <v>45958</v>
      </c>
      <c r="D145" t="inlineStr">
        <is>
          <t>KALMAR LÄN</t>
        </is>
      </c>
      <c r="E145" t="inlineStr">
        <is>
          <t>MÖNSTERÅS</t>
        </is>
      </c>
      <c r="G145" t="n">
        <v>9.6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1448-2022</t>
        </is>
      </c>
      <c r="B146" s="1" t="n">
        <v>44573</v>
      </c>
      <c r="C146" s="1" t="n">
        <v>45958</v>
      </c>
      <c r="D146" t="inlineStr">
        <is>
          <t>KALMAR LÄN</t>
        </is>
      </c>
      <c r="E146" t="inlineStr">
        <is>
          <t>MÖNSTERÅS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33658-2023</t>
        </is>
      </c>
      <c r="B147" s="1" t="n">
        <v>45132</v>
      </c>
      <c r="C147" s="1" t="n">
        <v>45958</v>
      </c>
      <c r="D147" t="inlineStr">
        <is>
          <t>KALMAR LÄN</t>
        </is>
      </c>
      <c r="E147" t="inlineStr">
        <is>
          <t>MÖNSTERÅS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34079-2022</t>
        </is>
      </c>
      <c r="B148" s="1" t="n">
        <v>44791</v>
      </c>
      <c r="C148" s="1" t="n">
        <v>45958</v>
      </c>
      <c r="D148" t="inlineStr">
        <is>
          <t>KALMAR LÄN</t>
        </is>
      </c>
      <c r="E148" t="inlineStr">
        <is>
          <t>MÖNSTERÅS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13224-2022</t>
        </is>
      </c>
      <c r="B149" s="1" t="n">
        <v>44644</v>
      </c>
      <c r="C149" s="1" t="n">
        <v>45958</v>
      </c>
      <c r="D149" t="inlineStr">
        <is>
          <t>KALMAR LÄN</t>
        </is>
      </c>
      <c r="E149" t="inlineStr">
        <is>
          <t>MÖNSTERÅS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14924-2023</t>
        </is>
      </c>
      <c r="B150" s="1" t="n">
        <v>45015</v>
      </c>
      <c r="C150" s="1" t="n">
        <v>45958</v>
      </c>
      <c r="D150" t="inlineStr">
        <is>
          <t>KALMAR LÄN</t>
        </is>
      </c>
      <c r="E150" t="inlineStr">
        <is>
          <t>MÖNSTERÅS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6223-2022</t>
        </is>
      </c>
      <c r="B151" s="1" t="n">
        <v>44600</v>
      </c>
      <c r="C151" s="1" t="n">
        <v>45958</v>
      </c>
      <c r="D151" t="inlineStr">
        <is>
          <t>KALMAR LÄN</t>
        </is>
      </c>
      <c r="E151" t="inlineStr">
        <is>
          <t>MÖNSTERÅS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20201-2024</t>
        </is>
      </c>
      <c r="B152" s="1" t="n">
        <v>45434.65105324074</v>
      </c>
      <c r="C152" s="1" t="n">
        <v>45958</v>
      </c>
      <c r="D152" t="inlineStr">
        <is>
          <t>KALMAR LÄN</t>
        </is>
      </c>
      <c r="E152" t="inlineStr">
        <is>
          <t>MÖNSTERÅS</t>
        </is>
      </c>
      <c r="F152" t="inlineStr">
        <is>
          <t>Kommuner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HYPERLINK("https://klasma.github.io/Logging_0861/knärot/A 20201-2024 karta knärot.png", "A 20201-2024")</f>
        <v/>
      </c>
      <c r="V152">
        <f>HYPERLINK("https://klasma.github.io/Logging_0861/klagomål/A 20201-2024 FSC-klagomål.docx", "A 20201-2024")</f>
        <v/>
      </c>
      <c r="W152">
        <f>HYPERLINK("https://klasma.github.io/Logging_0861/klagomålsmail/A 20201-2024 FSC-klagomål mail.docx", "A 20201-2024")</f>
        <v/>
      </c>
      <c r="X152">
        <f>HYPERLINK("https://klasma.github.io/Logging_0861/tillsyn/A 20201-2024 tillsynsbegäran.docx", "A 20201-2024")</f>
        <v/>
      </c>
      <c r="Y152">
        <f>HYPERLINK("https://klasma.github.io/Logging_0861/tillsynsmail/A 20201-2024 tillsynsbegäran mail.docx", "A 20201-2024")</f>
        <v/>
      </c>
    </row>
    <row r="153" ht="15" customHeight="1">
      <c r="A153" t="inlineStr">
        <is>
          <t>A 63471-2023</t>
        </is>
      </c>
      <c r="B153" s="1" t="n">
        <v>45274.63337962963</v>
      </c>
      <c r="C153" s="1" t="n">
        <v>45958</v>
      </c>
      <c r="D153" t="inlineStr">
        <is>
          <t>KALMAR LÄN</t>
        </is>
      </c>
      <c r="E153" t="inlineStr">
        <is>
          <t>MÖNSTERÅS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20645-2025</t>
        </is>
      </c>
      <c r="B154" s="1" t="n">
        <v>45776</v>
      </c>
      <c r="C154" s="1" t="n">
        <v>45958</v>
      </c>
      <c r="D154" t="inlineStr">
        <is>
          <t>KALMAR LÄN</t>
        </is>
      </c>
      <c r="E154" t="inlineStr">
        <is>
          <t>MÖNSTERÅS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9367-2025</t>
        </is>
      </c>
      <c r="B155" s="1" t="n">
        <v>45715.32221064815</v>
      </c>
      <c r="C155" s="1" t="n">
        <v>45958</v>
      </c>
      <c r="D155" t="inlineStr">
        <is>
          <t>KALMAR LÄN</t>
        </is>
      </c>
      <c r="E155" t="inlineStr">
        <is>
          <t>MÖNSTERÅS</t>
        </is>
      </c>
      <c r="G155" t="n">
        <v>15.2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9974-2022</t>
        </is>
      </c>
      <c r="B156" s="1" t="n">
        <v>44621.39148148148</v>
      </c>
      <c r="C156" s="1" t="n">
        <v>45958</v>
      </c>
      <c r="D156" t="inlineStr">
        <is>
          <t>KALMAR LÄN</t>
        </is>
      </c>
      <c r="E156" t="inlineStr">
        <is>
          <t>MÖNSTERÅS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31757-2023</t>
        </is>
      </c>
      <c r="B157" s="1" t="n">
        <v>45106</v>
      </c>
      <c r="C157" s="1" t="n">
        <v>45958</v>
      </c>
      <c r="D157" t="inlineStr">
        <is>
          <t>KALMAR LÄN</t>
        </is>
      </c>
      <c r="E157" t="inlineStr">
        <is>
          <t>MÖNSTERÅS</t>
        </is>
      </c>
      <c r="F157" t="inlineStr">
        <is>
          <t>Kyrkan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1653-2025</t>
        </is>
      </c>
      <c r="B158" s="1" t="n">
        <v>45670.65835648148</v>
      </c>
      <c r="C158" s="1" t="n">
        <v>45958</v>
      </c>
      <c r="D158" t="inlineStr">
        <is>
          <t>KALMAR LÄN</t>
        </is>
      </c>
      <c r="E158" t="inlineStr">
        <is>
          <t>MÖNSTERÅS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8632-2025</t>
        </is>
      </c>
      <c r="B159" s="1" t="n">
        <v>45711.74442129629</v>
      </c>
      <c r="C159" s="1" t="n">
        <v>45958</v>
      </c>
      <c r="D159" t="inlineStr">
        <is>
          <t>KALMAR LÄN</t>
        </is>
      </c>
      <c r="E159" t="inlineStr">
        <is>
          <t>MÖNSTERÅS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50352-2023</t>
        </is>
      </c>
      <c r="B160" s="1" t="n">
        <v>45216</v>
      </c>
      <c r="C160" s="1" t="n">
        <v>45958</v>
      </c>
      <c r="D160" t="inlineStr">
        <is>
          <t>KALMAR LÄN</t>
        </is>
      </c>
      <c r="E160" t="inlineStr">
        <is>
          <t>MÖNSTERÅS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26061-2023</t>
        </is>
      </c>
      <c r="B161" s="1" t="n">
        <v>45091</v>
      </c>
      <c r="C161" s="1" t="n">
        <v>45958</v>
      </c>
      <c r="D161" t="inlineStr">
        <is>
          <t>KALMAR LÄN</t>
        </is>
      </c>
      <c r="E161" t="inlineStr">
        <is>
          <t>MÖNSTERÅS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4474-2025</t>
        </is>
      </c>
      <c r="B162" s="1" t="n">
        <v>45686.62033564815</v>
      </c>
      <c r="C162" s="1" t="n">
        <v>45958</v>
      </c>
      <c r="D162" t="inlineStr">
        <is>
          <t>KALMAR LÄN</t>
        </is>
      </c>
      <c r="E162" t="inlineStr">
        <is>
          <t>MÖNSTERÅS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41581-2024</t>
        </is>
      </c>
      <c r="B163" s="1" t="n">
        <v>45560.55587962963</v>
      </c>
      <c r="C163" s="1" t="n">
        <v>45958</v>
      </c>
      <c r="D163" t="inlineStr">
        <is>
          <t>KALMAR LÄN</t>
        </is>
      </c>
      <c r="E163" t="inlineStr">
        <is>
          <t>MÖNSTERÅS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59298-2022</t>
        </is>
      </c>
      <c r="B164" s="1" t="n">
        <v>44904</v>
      </c>
      <c r="C164" s="1" t="n">
        <v>45958</v>
      </c>
      <c r="D164" t="inlineStr">
        <is>
          <t>KALMAR LÄN</t>
        </is>
      </c>
      <c r="E164" t="inlineStr">
        <is>
          <t>MÖNSTERÅS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2713-2024</t>
        </is>
      </c>
      <c r="B165" s="1" t="n">
        <v>45314</v>
      </c>
      <c r="C165" s="1" t="n">
        <v>45958</v>
      </c>
      <c r="D165" t="inlineStr">
        <is>
          <t>KALMAR LÄN</t>
        </is>
      </c>
      <c r="E165" t="inlineStr">
        <is>
          <t>MÖNSTERÅS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49498-2021</t>
        </is>
      </c>
      <c r="B166" s="1" t="n">
        <v>44455</v>
      </c>
      <c r="C166" s="1" t="n">
        <v>45958</v>
      </c>
      <c r="D166" t="inlineStr">
        <is>
          <t>KALMAR LÄN</t>
        </is>
      </c>
      <c r="E166" t="inlineStr">
        <is>
          <t>MÖNSTERÅS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16324-2023</t>
        </is>
      </c>
      <c r="B167" s="1" t="n">
        <v>45028</v>
      </c>
      <c r="C167" s="1" t="n">
        <v>45958</v>
      </c>
      <c r="D167" t="inlineStr">
        <is>
          <t>KALMAR LÄN</t>
        </is>
      </c>
      <c r="E167" t="inlineStr">
        <is>
          <t>MÖNSTERÅS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37235-2024</t>
        </is>
      </c>
      <c r="B168" s="1" t="n">
        <v>45540.31905092593</v>
      </c>
      <c r="C168" s="1" t="n">
        <v>45958</v>
      </c>
      <c r="D168" t="inlineStr">
        <is>
          <t>KALMAR LÄN</t>
        </is>
      </c>
      <c r="E168" t="inlineStr">
        <is>
          <t>MÖNSTERÅS</t>
        </is>
      </c>
      <c r="G168" t="n">
        <v>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17753-2023</t>
        </is>
      </c>
      <c r="B169" s="1" t="n">
        <v>45037</v>
      </c>
      <c r="C169" s="1" t="n">
        <v>45958</v>
      </c>
      <c r="D169" t="inlineStr">
        <is>
          <t>KALMAR LÄN</t>
        </is>
      </c>
      <c r="E169" t="inlineStr">
        <is>
          <t>MÖNSTERÅS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35805-2022</t>
        </is>
      </c>
      <c r="B170" s="1" t="n">
        <v>44802.30116898148</v>
      </c>
      <c r="C170" s="1" t="n">
        <v>45958</v>
      </c>
      <c r="D170" t="inlineStr">
        <is>
          <t>KALMAR LÄN</t>
        </is>
      </c>
      <c r="E170" t="inlineStr">
        <is>
          <t>MÖNSTERÅS</t>
        </is>
      </c>
      <c r="G170" t="n">
        <v>12.9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8981-2025</t>
        </is>
      </c>
      <c r="B171" s="1" t="n">
        <v>45713.53284722222</v>
      </c>
      <c r="C171" s="1" t="n">
        <v>45958</v>
      </c>
      <c r="D171" t="inlineStr">
        <is>
          <t>KALMAR LÄN</t>
        </is>
      </c>
      <c r="E171" t="inlineStr">
        <is>
          <t>MÖNSTERÅS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45689-2021</t>
        </is>
      </c>
      <c r="B172" s="1" t="n">
        <v>44441</v>
      </c>
      <c r="C172" s="1" t="n">
        <v>45958</v>
      </c>
      <c r="D172" t="inlineStr">
        <is>
          <t>KALMAR LÄN</t>
        </is>
      </c>
      <c r="E172" t="inlineStr">
        <is>
          <t>MÖNSTERÅS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46976-2025</t>
        </is>
      </c>
      <c r="B173" s="1" t="n">
        <v>45929.51736111111</v>
      </c>
      <c r="C173" s="1" t="n">
        <v>45958</v>
      </c>
      <c r="D173" t="inlineStr">
        <is>
          <t>KALMAR LÄN</t>
        </is>
      </c>
      <c r="E173" t="inlineStr">
        <is>
          <t>MÖNSTERÅS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61749-2024</t>
        </is>
      </c>
      <c r="B174" s="1" t="n">
        <v>45649.39033564815</v>
      </c>
      <c r="C174" s="1" t="n">
        <v>45958</v>
      </c>
      <c r="D174" t="inlineStr">
        <is>
          <t>KALMAR LÄN</t>
        </is>
      </c>
      <c r="E174" t="inlineStr">
        <is>
          <t>MÖNSTERÅS</t>
        </is>
      </c>
      <c r="F174" t="inlineStr">
        <is>
          <t>Övriga Aktiebolag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36607-2024</t>
        </is>
      </c>
      <c r="B175" s="1" t="n">
        <v>45537.57107638889</v>
      </c>
      <c r="C175" s="1" t="n">
        <v>45958</v>
      </c>
      <c r="D175" t="inlineStr">
        <is>
          <t>KALMAR LÄN</t>
        </is>
      </c>
      <c r="E175" t="inlineStr">
        <is>
          <t>MÖNSTERÅS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43746-2024</t>
        </is>
      </c>
      <c r="B176" s="1" t="n">
        <v>45569</v>
      </c>
      <c r="C176" s="1" t="n">
        <v>45958</v>
      </c>
      <c r="D176" t="inlineStr">
        <is>
          <t>KALMAR LÄN</t>
        </is>
      </c>
      <c r="E176" t="inlineStr">
        <is>
          <t>MÖNSTERÅS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49892-2024</t>
        </is>
      </c>
      <c r="B177" s="1" t="n">
        <v>45597.52</v>
      </c>
      <c r="C177" s="1" t="n">
        <v>45958</v>
      </c>
      <c r="D177" t="inlineStr">
        <is>
          <t>KALMAR LÄN</t>
        </is>
      </c>
      <c r="E177" t="inlineStr">
        <is>
          <t>MÖNSTERÅS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10388-2023</t>
        </is>
      </c>
      <c r="B178" s="1" t="n">
        <v>44981</v>
      </c>
      <c r="C178" s="1" t="n">
        <v>45958</v>
      </c>
      <c r="D178" t="inlineStr">
        <is>
          <t>KALMAR LÄN</t>
        </is>
      </c>
      <c r="E178" t="inlineStr">
        <is>
          <t>MÖNSTERÅS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32171-2021</t>
        </is>
      </c>
      <c r="B179" s="1" t="n">
        <v>44371</v>
      </c>
      <c r="C179" s="1" t="n">
        <v>45958</v>
      </c>
      <c r="D179" t="inlineStr">
        <is>
          <t>KALMAR LÄN</t>
        </is>
      </c>
      <c r="E179" t="inlineStr">
        <is>
          <t>MÖNSTERÅS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63047-2023</t>
        </is>
      </c>
      <c r="B180" s="1" t="n">
        <v>45272</v>
      </c>
      <c r="C180" s="1" t="n">
        <v>45958</v>
      </c>
      <c r="D180" t="inlineStr">
        <is>
          <t>KALMAR LÄN</t>
        </is>
      </c>
      <c r="E180" t="inlineStr">
        <is>
          <t>MÖNSTERÅS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39860-2024</t>
        </is>
      </c>
      <c r="B181" s="1" t="n">
        <v>45553.44331018518</v>
      </c>
      <c r="C181" s="1" t="n">
        <v>45958</v>
      </c>
      <c r="D181" t="inlineStr">
        <is>
          <t>KALMAR LÄN</t>
        </is>
      </c>
      <c r="E181" t="inlineStr">
        <is>
          <t>MÖNSTERÅS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43583-2023</t>
        </is>
      </c>
      <c r="B182" s="1" t="n">
        <v>45184</v>
      </c>
      <c r="C182" s="1" t="n">
        <v>45958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17123-2023</t>
        </is>
      </c>
      <c r="B183" s="1" t="n">
        <v>45034</v>
      </c>
      <c r="C183" s="1" t="n">
        <v>45958</v>
      </c>
      <c r="D183" t="inlineStr">
        <is>
          <t>KALMAR LÄN</t>
        </is>
      </c>
      <c r="E183" t="inlineStr">
        <is>
          <t>MÖNSTERÅS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2671-2024</t>
        </is>
      </c>
      <c r="B184" s="1" t="n">
        <v>45314</v>
      </c>
      <c r="C184" s="1" t="n">
        <v>45958</v>
      </c>
      <c r="D184" t="inlineStr">
        <is>
          <t>KALMAR LÄN</t>
        </is>
      </c>
      <c r="E184" t="inlineStr">
        <is>
          <t>MÖNSTERÅS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37233-2024</t>
        </is>
      </c>
      <c r="B185" s="1" t="n">
        <v>45540.31068287037</v>
      </c>
      <c r="C185" s="1" t="n">
        <v>45958</v>
      </c>
      <c r="D185" t="inlineStr">
        <is>
          <t>KALMAR LÄN</t>
        </is>
      </c>
      <c r="E185" t="inlineStr">
        <is>
          <t>MÖNSTERÅS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37237-2024</t>
        </is>
      </c>
      <c r="B186" s="1" t="n">
        <v>45540.33099537037</v>
      </c>
      <c r="C186" s="1" t="n">
        <v>45958</v>
      </c>
      <c r="D186" t="inlineStr">
        <is>
          <t>KALMAR LÄN</t>
        </is>
      </c>
      <c r="E186" t="inlineStr">
        <is>
          <t>MÖNSTERÅS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9215-2025</t>
        </is>
      </c>
      <c r="B187" s="1" t="n">
        <v>45714.51229166667</v>
      </c>
      <c r="C187" s="1" t="n">
        <v>45958</v>
      </c>
      <c r="D187" t="inlineStr">
        <is>
          <t>KALMAR LÄN</t>
        </is>
      </c>
      <c r="E187" t="inlineStr">
        <is>
          <t>MÖNSTERÅS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37180-2024</t>
        </is>
      </c>
      <c r="B188" s="1" t="n">
        <v>45539.64475694444</v>
      </c>
      <c r="C188" s="1" t="n">
        <v>45958</v>
      </c>
      <c r="D188" t="inlineStr">
        <is>
          <t>KALMAR LÄN</t>
        </is>
      </c>
      <c r="E188" t="inlineStr">
        <is>
          <t>MÖNSTERÅS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37239-2024</t>
        </is>
      </c>
      <c r="B189" s="1" t="n">
        <v>45540.34068287037</v>
      </c>
      <c r="C189" s="1" t="n">
        <v>45958</v>
      </c>
      <c r="D189" t="inlineStr">
        <is>
          <t>KALMAR LÄN</t>
        </is>
      </c>
      <c r="E189" t="inlineStr">
        <is>
          <t>MÖNSTERÅS</t>
        </is>
      </c>
      <c r="G189" t="n">
        <v>10.6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37245-2024</t>
        </is>
      </c>
      <c r="B190" s="1" t="n">
        <v>45540.34633101852</v>
      </c>
      <c r="C190" s="1" t="n">
        <v>45958</v>
      </c>
      <c r="D190" t="inlineStr">
        <is>
          <t>KALMAR LÄN</t>
        </is>
      </c>
      <c r="E190" t="inlineStr">
        <is>
          <t>MÖNSTERÅS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26494-2023</t>
        </is>
      </c>
      <c r="B191" s="1" t="n">
        <v>45092</v>
      </c>
      <c r="C191" s="1" t="n">
        <v>45958</v>
      </c>
      <c r="D191" t="inlineStr">
        <is>
          <t>KALMAR LÄN</t>
        </is>
      </c>
      <c r="E191" t="inlineStr">
        <is>
          <t>MÖNSTERÅS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61751-2024</t>
        </is>
      </c>
      <c r="B192" s="1" t="n">
        <v>45649.39400462963</v>
      </c>
      <c r="C192" s="1" t="n">
        <v>45958</v>
      </c>
      <c r="D192" t="inlineStr">
        <is>
          <t>KALMAR LÄN</t>
        </is>
      </c>
      <c r="E192" t="inlineStr">
        <is>
          <t>MÖNSTERÅS</t>
        </is>
      </c>
      <c r="F192" t="inlineStr">
        <is>
          <t>Övriga Aktiebolag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4981-2022</t>
        </is>
      </c>
      <c r="B193" s="1" t="n">
        <v>44593</v>
      </c>
      <c r="C193" s="1" t="n">
        <v>45958</v>
      </c>
      <c r="D193" t="inlineStr">
        <is>
          <t>KALMAR LÄN</t>
        </is>
      </c>
      <c r="E193" t="inlineStr">
        <is>
          <t>MÖNSTERÅS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23009-2025</t>
        </is>
      </c>
      <c r="B194" s="1" t="n">
        <v>45790.61526620371</v>
      </c>
      <c r="C194" s="1" t="n">
        <v>45958</v>
      </c>
      <c r="D194" t="inlineStr">
        <is>
          <t>KALMAR LÄN</t>
        </is>
      </c>
      <c r="E194" t="inlineStr">
        <is>
          <t>MÖNSTERÅS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8468-2024</t>
        </is>
      </c>
      <c r="B195" s="1" t="n">
        <v>45355.36631944445</v>
      </c>
      <c r="C195" s="1" t="n">
        <v>45958</v>
      </c>
      <c r="D195" t="inlineStr">
        <is>
          <t>KALMAR LÄN</t>
        </is>
      </c>
      <c r="E195" t="inlineStr">
        <is>
          <t>MÖNSTERÅS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36644-2024</t>
        </is>
      </c>
      <c r="B196" s="1" t="n">
        <v>45537.60454861111</v>
      </c>
      <c r="C196" s="1" t="n">
        <v>45958</v>
      </c>
      <c r="D196" t="inlineStr">
        <is>
          <t>KALMAR LÄN</t>
        </is>
      </c>
      <c r="E196" t="inlineStr">
        <is>
          <t>MÖNSTERÅS</t>
        </is>
      </c>
      <c r="G196" t="n">
        <v>7.3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36286-2022</t>
        </is>
      </c>
      <c r="B197" s="1" t="n">
        <v>44803.62930555556</v>
      </c>
      <c r="C197" s="1" t="n">
        <v>45958</v>
      </c>
      <c r="D197" t="inlineStr">
        <is>
          <t>KALMAR LÄN</t>
        </is>
      </c>
      <c r="E197" t="inlineStr">
        <is>
          <t>MÖNSTERÅS</t>
        </is>
      </c>
      <c r="F197" t="inlineStr">
        <is>
          <t>Övriga Aktiebolag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62276-2022</t>
        </is>
      </c>
      <c r="B198" s="1" t="n">
        <v>44923</v>
      </c>
      <c r="C198" s="1" t="n">
        <v>45958</v>
      </c>
      <c r="D198" t="inlineStr">
        <is>
          <t>KALMAR LÄN</t>
        </is>
      </c>
      <c r="E198" t="inlineStr">
        <is>
          <t>MÖNSTERÅS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8222-2025</t>
        </is>
      </c>
      <c r="B199" s="1" t="n">
        <v>45708.46113425926</v>
      </c>
      <c r="C199" s="1" t="n">
        <v>45958</v>
      </c>
      <c r="D199" t="inlineStr">
        <is>
          <t>KALMAR LÄN</t>
        </is>
      </c>
      <c r="E199" t="inlineStr">
        <is>
          <t>MÖNSTERÅS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23566-2025</t>
        </is>
      </c>
      <c r="B200" s="1" t="n">
        <v>45792.59854166667</v>
      </c>
      <c r="C200" s="1" t="n">
        <v>45958</v>
      </c>
      <c r="D200" t="inlineStr">
        <is>
          <t>KALMAR LÄN</t>
        </is>
      </c>
      <c r="E200" t="inlineStr">
        <is>
          <t>MÖNSTERÅS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23454-2025</t>
        </is>
      </c>
      <c r="B201" s="1" t="n">
        <v>45792.42443287037</v>
      </c>
      <c r="C201" s="1" t="n">
        <v>45958</v>
      </c>
      <c r="D201" t="inlineStr">
        <is>
          <t>KALMAR LÄN</t>
        </is>
      </c>
      <c r="E201" t="inlineStr">
        <is>
          <t>MÖNSTERÅS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10104-2022</t>
        </is>
      </c>
      <c r="B202" s="1" t="n">
        <v>44621.78886574074</v>
      </c>
      <c r="C202" s="1" t="n">
        <v>45958</v>
      </c>
      <c r="D202" t="inlineStr">
        <is>
          <t>KALMAR LÄN</t>
        </is>
      </c>
      <c r="E202" t="inlineStr">
        <is>
          <t>MÖNSTERÅS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1973-2023</t>
        </is>
      </c>
      <c r="B203" s="1" t="n">
        <v>44939</v>
      </c>
      <c r="C203" s="1" t="n">
        <v>45958</v>
      </c>
      <c r="D203" t="inlineStr">
        <is>
          <t>KALMAR LÄN</t>
        </is>
      </c>
      <c r="E203" t="inlineStr">
        <is>
          <t>MÖNSTERÅS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42941-2023</t>
        </is>
      </c>
      <c r="B204" s="1" t="n">
        <v>45182.57427083333</v>
      </c>
      <c r="C204" s="1" t="n">
        <v>45958</v>
      </c>
      <c r="D204" t="inlineStr">
        <is>
          <t>KALMAR LÄN</t>
        </is>
      </c>
      <c r="E204" t="inlineStr">
        <is>
          <t>MÖNSTERÅS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25165-2023</t>
        </is>
      </c>
      <c r="B205" s="1" t="n">
        <v>45086</v>
      </c>
      <c r="C205" s="1" t="n">
        <v>45958</v>
      </c>
      <c r="D205" t="inlineStr">
        <is>
          <t>KALMAR LÄN</t>
        </is>
      </c>
      <c r="E205" t="inlineStr">
        <is>
          <t>MÖNSTERÅS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63816-2023</t>
        </is>
      </c>
      <c r="B206" s="1" t="n">
        <v>45278.43667824074</v>
      </c>
      <c r="C206" s="1" t="n">
        <v>45958</v>
      </c>
      <c r="D206" t="inlineStr">
        <is>
          <t>KALMAR LÄN</t>
        </is>
      </c>
      <c r="E206" t="inlineStr">
        <is>
          <t>MÖNSTERÅS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52649-2022</t>
        </is>
      </c>
      <c r="B207" s="1" t="n">
        <v>44874.7847337963</v>
      </c>
      <c r="C207" s="1" t="n">
        <v>45958</v>
      </c>
      <c r="D207" t="inlineStr">
        <is>
          <t>KALMAR LÄN</t>
        </is>
      </c>
      <c r="E207" t="inlineStr">
        <is>
          <t>MÖNSTERÅS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36873-2024</t>
        </is>
      </c>
      <c r="B208" s="1" t="n">
        <v>45538.59396990741</v>
      </c>
      <c r="C208" s="1" t="n">
        <v>45958</v>
      </c>
      <c r="D208" t="inlineStr">
        <is>
          <t>KALMAR LÄN</t>
        </is>
      </c>
      <c r="E208" t="inlineStr">
        <is>
          <t>MÖNSTERÅS</t>
        </is>
      </c>
      <c r="G208" t="n">
        <v>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50298-2023</t>
        </is>
      </c>
      <c r="B209" s="1" t="n">
        <v>45209</v>
      </c>
      <c r="C209" s="1" t="n">
        <v>45958</v>
      </c>
      <c r="D209" t="inlineStr">
        <is>
          <t>KALMAR LÄN</t>
        </is>
      </c>
      <c r="E209" t="inlineStr">
        <is>
          <t>MÖNSTERÅS</t>
        </is>
      </c>
      <c r="G209" t="n">
        <v>6.1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10398-2023</t>
        </is>
      </c>
      <c r="B210" s="1" t="n">
        <v>44981</v>
      </c>
      <c r="C210" s="1" t="n">
        <v>45958</v>
      </c>
      <c r="D210" t="inlineStr">
        <is>
          <t>KALMAR LÄN</t>
        </is>
      </c>
      <c r="E210" t="inlineStr">
        <is>
          <t>MÖNSTERÅS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23788-2021</t>
        </is>
      </c>
      <c r="B211" s="1" t="n">
        <v>44335</v>
      </c>
      <c r="C211" s="1" t="n">
        <v>45958</v>
      </c>
      <c r="D211" t="inlineStr">
        <is>
          <t>KALMAR LÄN</t>
        </is>
      </c>
      <c r="E211" t="inlineStr">
        <is>
          <t>MÖNSTERÅS</t>
        </is>
      </c>
      <c r="G211" t="n">
        <v>7.6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15719-2024</t>
        </is>
      </c>
      <c r="B212" s="1" t="n">
        <v>45404.50043981482</v>
      </c>
      <c r="C212" s="1" t="n">
        <v>45958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43431-2024</t>
        </is>
      </c>
      <c r="B213" s="1" t="n">
        <v>45568.64324074074</v>
      </c>
      <c r="C213" s="1" t="n">
        <v>45958</v>
      </c>
      <c r="D213" t="inlineStr">
        <is>
          <t>KALMAR LÄN</t>
        </is>
      </c>
      <c r="E213" t="inlineStr">
        <is>
          <t>MÖNSTERÅS</t>
        </is>
      </c>
      <c r="F213" t="inlineStr">
        <is>
          <t>Övriga Aktiebolag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14906-2023</t>
        </is>
      </c>
      <c r="B214" s="1" t="n">
        <v>45015</v>
      </c>
      <c r="C214" s="1" t="n">
        <v>45958</v>
      </c>
      <c r="D214" t="inlineStr">
        <is>
          <t>KALMAR LÄN</t>
        </is>
      </c>
      <c r="E214" t="inlineStr">
        <is>
          <t>MÖNSTERÅS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40241-2022</t>
        </is>
      </c>
      <c r="B215" s="1" t="n">
        <v>44820</v>
      </c>
      <c r="C215" s="1" t="n">
        <v>45958</v>
      </c>
      <c r="D215" t="inlineStr">
        <is>
          <t>KALMAR LÄN</t>
        </is>
      </c>
      <c r="E215" t="inlineStr">
        <is>
          <t>MÖNSTERÅS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21567-2024</t>
        </is>
      </c>
      <c r="B216" s="1" t="n">
        <v>45441</v>
      </c>
      <c r="C216" s="1" t="n">
        <v>45958</v>
      </c>
      <c r="D216" t="inlineStr">
        <is>
          <t>KALMAR LÄN</t>
        </is>
      </c>
      <c r="E216" t="inlineStr">
        <is>
          <t>MÖNSTERÅS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6934-2025</t>
        </is>
      </c>
      <c r="B217" s="1" t="n">
        <v>45701.45549768519</v>
      </c>
      <c r="C217" s="1" t="n">
        <v>45958</v>
      </c>
      <c r="D217" t="inlineStr">
        <is>
          <t>KALMAR LÄN</t>
        </is>
      </c>
      <c r="E217" t="inlineStr">
        <is>
          <t>MÖNSTERÅS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25299-2025</t>
        </is>
      </c>
      <c r="B218" s="1" t="n">
        <v>45800.57025462963</v>
      </c>
      <c r="C218" s="1" t="n">
        <v>45958</v>
      </c>
      <c r="D218" t="inlineStr">
        <is>
          <t>KALMAR LÄN</t>
        </is>
      </c>
      <c r="E218" t="inlineStr">
        <is>
          <t>MÖNSTERÅS</t>
        </is>
      </c>
      <c r="G218" t="n">
        <v>5.5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26171-2025</t>
        </is>
      </c>
      <c r="B219" s="1" t="n">
        <v>45805</v>
      </c>
      <c r="C219" s="1" t="n">
        <v>45958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64514-2021</t>
        </is>
      </c>
      <c r="B220" s="1" t="n">
        <v>44511</v>
      </c>
      <c r="C220" s="1" t="n">
        <v>45958</v>
      </c>
      <c r="D220" t="inlineStr">
        <is>
          <t>KALMAR LÄN</t>
        </is>
      </c>
      <c r="E220" t="inlineStr">
        <is>
          <t>MÖNSTERÅS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26162-2025</t>
        </is>
      </c>
      <c r="B221" s="1" t="n">
        <v>45805.44922453703</v>
      </c>
      <c r="C221" s="1" t="n">
        <v>45958</v>
      </c>
      <c r="D221" t="inlineStr">
        <is>
          <t>KALMAR LÄN</t>
        </is>
      </c>
      <c r="E221" t="inlineStr">
        <is>
          <t>MÖNSTERÅS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26145-2025</t>
        </is>
      </c>
      <c r="B222" s="1" t="n">
        <v>45805.42946759259</v>
      </c>
      <c r="C222" s="1" t="n">
        <v>45958</v>
      </c>
      <c r="D222" t="inlineStr">
        <is>
          <t>KALMAR LÄN</t>
        </is>
      </c>
      <c r="E222" t="inlineStr">
        <is>
          <t>MÖNSTERÅS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26157-2025</t>
        </is>
      </c>
      <c r="B223" s="1" t="n">
        <v>45805.43984953704</v>
      </c>
      <c r="C223" s="1" t="n">
        <v>45958</v>
      </c>
      <c r="D223" t="inlineStr">
        <is>
          <t>KALMAR LÄN</t>
        </is>
      </c>
      <c r="E223" t="inlineStr">
        <is>
          <t>MÖNSTERÅS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47012-2025</t>
        </is>
      </c>
      <c r="B224" s="1" t="n">
        <v>45929.57331018519</v>
      </c>
      <c r="C224" s="1" t="n">
        <v>45958</v>
      </c>
      <c r="D224" t="inlineStr">
        <is>
          <t>KALMAR LÄN</t>
        </is>
      </c>
      <c r="E224" t="inlineStr">
        <is>
          <t>MÖNSTERÅS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37094-2022</t>
        </is>
      </c>
      <c r="B225" s="1" t="n">
        <v>44806</v>
      </c>
      <c r="C225" s="1" t="n">
        <v>45958</v>
      </c>
      <c r="D225" t="inlineStr">
        <is>
          <t>KALMAR LÄN</t>
        </is>
      </c>
      <c r="E225" t="inlineStr">
        <is>
          <t>MÖNSTERÅS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59802-2024</t>
        </is>
      </c>
      <c r="B226" s="1" t="n">
        <v>45639.59788194444</v>
      </c>
      <c r="C226" s="1" t="n">
        <v>45958</v>
      </c>
      <c r="D226" t="inlineStr">
        <is>
          <t>KALMAR LÄN</t>
        </is>
      </c>
      <c r="E226" t="inlineStr">
        <is>
          <t>MÖNSTERÅS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62218-2022</t>
        </is>
      </c>
      <c r="B227" s="1" t="n">
        <v>44922</v>
      </c>
      <c r="C227" s="1" t="n">
        <v>45958</v>
      </c>
      <c r="D227" t="inlineStr">
        <is>
          <t>KALMAR LÄN</t>
        </is>
      </c>
      <c r="E227" t="inlineStr">
        <is>
          <t>MÖNSTERÅS</t>
        </is>
      </c>
      <c r="G227" t="n">
        <v>6.9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214-2023</t>
        </is>
      </c>
      <c r="B228" s="1" t="n">
        <v>44928</v>
      </c>
      <c r="C228" s="1" t="n">
        <v>45958</v>
      </c>
      <c r="D228" t="inlineStr">
        <is>
          <t>KALMAR LÄN</t>
        </is>
      </c>
      <c r="E228" t="inlineStr">
        <is>
          <t>MÖNSTERÅS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31015-2023</t>
        </is>
      </c>
      <c r="B229" s="1" t="n">
        <v>45113</v>
      </c>
      <c r="C229" s="1" t="n">
        <v>45958</v>
      </c>
      <c r="D229" t="inlineStr">
        <is>
          <t>KALMAR LÄN</t>
        </is>
      </c>
      <c r="E229" t="inlineStr">
        <is>
          <t>MÖNSTERÅS</t>
        </is>
      </c>
      <c r="G229" t="n">
        <v>11.4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14610-2023</t>
        </is>
      </c>
      <c r="B230" s="1" t="n">
        <v>45013.63350694445</v>
      </c>
      <c r="C230" s="1" t="n">
        <v>45958</v>
      </c>
      <c r="D230" t="inlineStr">
        <is>
          <t>KALMAR LÄN</t>
        </is>
      </c>
      <c r="E230" t="inlineStr">
        <is>
          <t>MÖNSTERÅS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18843-2025</t>
        </is>
      </c>
      <c r="B231" s="1" t="n">
        <v>45764.40966435185</v>
      </c>
      <c r="C231" s="1" t="n">
        <v>45958</v>
      </c>
      <c r="D231" t="inlineStr">
        <is>
          <t>KALMAR LÄN</t>
        </is>
      </c>
      <c r="E231" t="inlineStr">
        <is>
          <t>MÖNSTERÅS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57763-2022</t>
        </is>
      </c>
      <c r="B232" s="1" t="n">
        <v>44897.59982638889</v>
      </c>
      <c r="C232" s="1" t="n">
        <v>45958</v>
      </c>
      <c r="D232" t="inlineStr">
        <is>
          <t>KALMAR LÄN</t>
        </is>
      </c>
      <c r="E232" t="inlineStr">
        <is>
          <t>MÖNSTERÅS</t>
        </is>
      </c>
      <c r="F232" t="inlineStr">
        <is>
          <t>Övriga Aktiebolag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37096-2022</t>
        </is>
      </c>
      <c r="B233" s="1" t="n">
        <v>44806.50565972222</v>
      </c>
      <c r="C233" s="1" t="n">
        <v>45958</v>
      </c>
      <c r="D233" t="inlineStr">
        <is>
          <t>KALMAR LÄN</t>
        </is>
      </c>
      <c r="E233" t="inlineStr">
        <is>
          <t>MÖNSTERÅS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28380-2024</t>
        </is>
      </c>
      <c r="B234" s="1" t="n">
        <v>45477.59359953704</v>
      </c>
      <c r="C234" s="1" t="n">
        <v>45958</v>
      </c>
      <c r="D234" t="inlineStr">
        <is>
          <t>KALMAR LÄN</t>
        </is>
      </c>
      <c r="E234" t="inlineStr">
        <is>
          <t>MÖNSTERÅS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9050-2023</t>
        </is>
      </c>
      <c r="B235" s="1" t="n">
        <v>44979.68982638889</v>
      </c>
      <c r="C235" s="1" t="n">
        <v>45958</v>
      </c>
      <c r="D235" t="inlineStr">
        <is>
          <t>KALMAR LÄN</t>
        </is>
      </c>
      <c r="E235" t="inlineStr">
        <is>
          <t>MÖNSTERÅS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38471-2023</t>
        </is>
      </c>
      <c r="B236" s="1" t="n">
        <v>45162.45815972222</v>
      </c>
      <c r="C236" s="1" t="n">
        <v>45958</v>
      </c>
      <c r="D236" t="inlineStr">
        <is>
          <t>KALMAR LÄN</t>
        </is>
      </c>
      <c r="E236" t="inlineStr">
        <is>
          <t>MÖNSTERÅS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24984-2023</t>
        </is>
      </c>
      <c r="B237" s="1" t="n">
        <v>45085</v>
      </c>
      <c r="C237" s="1" t="n">
        <v>45958</v>
      </c>
      <c r="D237" t="inlineStr">
        <is>
          <t>KALMAR LÄN</t>
        </is>
      </c>
      <c r="E237" t="inlineStr">
        <is>
          <t>MÖNSTERÅS</t>
        </is>
      </c>
      <c r="G237" t="n">
        <v>7.5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35883-2022</t>
        </is>
      </c>
      <c r="B238" s="1" t="n">
        <v>44802</v>
      </c>
      <c r="C238" s="1" t="n">
        <v>45958</v>
      </c>
      <c r="D238" t="inlineStr">
        <is>
          <t>KALMAR LÄN</t>
        </is>
      </c>
      <c r="E238" t="inlineStr">
        <is>
          <t>MÖNSTERÅS</t>
        </is>
      </c>
      <c r="G238" t="n">
        <v>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39212-2022</t>
        </is>
      </c>
      <c r="B239" s="1" t="n">
        <v>44817</v>
      </c>
      <c r="C239" s="1" t="n">
        <v>45958</v>
      </c>
      <c r="D239" t="inlineStr">
        <is>
          <t>KALMAR LÄN</t>
        </is>
      </c>
      <c r="E239" t="inlineStr">
        <is>
          <t>MÖNSTERÅS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8113-2023</t>
        </is>
      </c>
      <c r="B240" s="1" t="n">
        <v>44974</v>
      </c>
      <c r="C240" s="1" t="n">
        <v>45958</v>
      </c>
      <c r="D240" t="inlineStr">
        <is>
          <t>KALMAR LÄN</t>
        </is>
      </c>
      <c r="E240" t="inlineStr">
        <is>
          <t>MÖNSTERÅS</t>
        </is>
      </c>
      <c r="F240" t="inlineStr">
        <is>
          <t>Övriga Aktiebolag</t>
        </is>
      </c>
      <c r="G240" t="n">
        <v>8.5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14936-2023</t>
        </is>
      </c>
      <c r="B241" s="1" t="n">
        <v>45015</v>
      </c>
      <c r="C241" s="1" t="n">
        <v>45958</v>
      </c>
      <c r="D241" t="inlineStr">
        <is>
          <t>KALMAR LÄN</t>
        </is>
      </c>
      <c r="E241" t="inlineStr">
        <is>
          <t>MÖNSTERÅS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40344-2025</t>
        </is>
      </c>
      <c r="B242" s="1" t="n">
        <v>45895.47384259259</v>
      </c>
      <c r="C242" s="1" t="n">
        <v>45958</v>
      </c>
      <c r="D242" t="inlineStr">
        <is>
          <t>KALMAR LÄN</t>
        </is>
      </c>
      <c r="E242" t="inlineStr">
        <is>
          <t>MÖNSTERÅS</t>
        </is>
      </c>
      <c r="G242" t="n">
        <v>10.3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49089-2025</t>
        </is>
      </c>
      <c r="B243" s="1" t="n">
        <v>45937.67092592592</v>
      </c>
      <c r="C243" s="1" t="n">
        <v>45958</v>
      </c>
      <c r="D243" t="inlineStr">
        <is>
          <t>KALMAR LÄN</t>
        </is>
      </c>
      <c r="E243" t="inlineStr">
        <is>
          <t>MÖNSTERÅS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13902-2023</t>
        </is>
      </c>
      <c r="B244" s="1" t="n">
        <v>45008</v>
      </c>
      <c r="C244" s="1" t="n">
        <v>45958</v>
      </c>
      <c r="D244" t="inlineStr">
        <is>
          <t>KALMAR LÄN</t>
        </is>
      </c>
      <c r="E244" t="inlineStr">
        <is>
          <t>MÖNSTERÅS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30565-2025</t>
        </is>
      </c>
      <c r="B245" s="1" t="n">
        <v>45831.40432870371</v>
      </c>
      <c r="C245" s="1" t="n">
        <v>45958</v>
      </c>
      <c r="D245" t="inlineStr">
        <is>
          <t>KALMAR LÄN</t>
        </is>
      </c>
      <c r="E245" t="inlineStr">
        <is>
          <t>MÖNSTERÅS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27629-2023</t>
        </is>
      </c>
      <c r="B246" s="1" t="n">
        <v>45097.65108796296</v>
      </c>
      <c r="C246" s="1" t="n">
        <v>45958</v>
      </c>
      <c r="D246" t="inlineStr">
        <is>
          <t>KALMAR LÄN</t>
        </is>
      </c>
      <c r="E246" t="inlineStr">
        <is>
          <t>MÖNSTERÅS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36619-2024</t>
        </is>
      </c>
      <c r="B247" s="1" t="n">
        <v>45537.5820949074</v>
      </c>
      <c r="C247" s="1" t="n">
        <v>45958</v>
      </c>
      <c r="D247" t="inlineStr">
        <is>
          <t>KALMAR LÄN</t>
        </is>
      </c>
      <c r="E247" t="inlineStr">
        <is>
          <t>MÖNSTERÅS</t>
        </is>
      </c>
      <c r="G247" t="n">
        <v>7.4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28699-2025</t>
        </is>
      </c>
      <c r="B248" s="1" t="n">
        <v>45819.94459490741</v>
      </c>
      <c r="C248" s="1" t="n">
        <v>45958</v>
      </c>
      <c r="D248" t="inlineStr">
        <is>
          <t>KALMAR LÄN</t>
        </is>
      </c>
      <c r="E248" t="inlineStr">
        <is>
          <t>MÖNSTERÅS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63469-2023</t>
        </is>
      </c>
      <c r="B249" s="1" t="n">
        <v>45274.62921296297</v>
      </c>
      <c r="C249" s="1" t="n">
        <v>45958</v>
      </c>
      <c r="D249" t="inlineStr">
        <is>
          <t>KALMAR LÄN</t>
        </is>
      </c>
      <c r="E249" t="inlineStr">
        <is>
          <t>MÖNSTERÅS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36890-2024</t>
        </is>
      </c>
      <c r="B250" s="1" t="n">
        <v>45538.60950231482</v>
      </c>
      <c r="C250" s="1" t="n">
        <v>45958</v>
      </c>
      <c r="D250" t="inlineStr">
        <is>
          <t>KALMAR LÄN</t>
        </is>
      </c>
      <c r="E250" t="inlineStr">
        <is>
          <t>MÖNSTERÅS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36908-2024</t>
        </is>
      </c>
      <c r="B251" s="1" t="n">
        <v>45538.63414351852</v>
      </c>
      <c r="C251" s="1" t="n">
        <v>45958</v>
      </c>
      <c r="D251" t="inlineStr">
        <is>
          <t>KALMAR LÄN</t>
        </is>
      </c>
      <c r="E251" t="inlineStr">
        <is>
          <t>MÖNSTERÅS</t>
        </is>
      </c>
      <c r="G251" t="n">
        <v>19.2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15612-2021</t>
        </is>
      </c>
      <c r="B252" s="1" t="n">
        <v>44285.72333333334</v>
      </c>
      <c r="C252" s="1" t="n">
        <v>45958</v>
      </c>
      <c r="D252" t="inlineStr">
        <is>
          <t>KALMAR LÄN</t>
        </is>
      </c>
      <c r="E252" t="inlineStr">
        <is>
          <t>MÖNSTERÅS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62638-2023</t>
        </is>
      </c>
      <c r="B253" s="1" t="n">
        <v>45271.4174537037</v>
      </c>
      <c r="C253" s="1" t="n">
        <v>45958</v>
      </c>
      <c r="D253" t="inlineStr">
        <is>
          <t>KALMAR LÄN</t>
        </is>
      </c>
      <c r="E253" t="inlineStr">
        <is>
          <t>MÖNSTERÅS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18782-2025</t>
        </is>
      </c>
      <c r="B254" s="1" t="n">
        <v>45764.33587962963</v>
      </c>
      <c r="C254" s="1" t="n">
        <v>45958</v>
      </c>
      <c r="D254" t="inlineStr">
        <is>
          <t>KALMAR LÄN</t>
        </is>
      </c>
      <c r="E254" t="inlineStr">
        <is>
          <t>MÖNSTERÅS</t>
        </is>
      </c>
      <c r="G254" t="n">
        <v>3.8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18849-2025</t>
        </is>
      </c>
      <c r="B255" s="1" t="n">
        <v>45764.41733796296</v>
      </c>
      <c r="C255" s="1" t="n">
        <v>45958</v>
      </c>
      <c r="D255" t="inlineStr">
        <is>
          <t>KALMAR LÄN</t>
        </is>
      </c>
      <c r="E255" t="inlineStr">
        <is>
          <t>MÖNSTERÅS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18857-2025</t>
        </is>
      </c>
      <c r="B256" s="1" t="n">
        <v>45764.42305555556</v>
      </c>
      <c r="C256" s="1" t="n">
        <v>45958</v>
      </c>
      <c r="D256" t="inlineStr">
        <is>
          <t>KALMAR LÄN</t>
        </is>
      </c>
      <c r="E256" t="inlineStr">
        <is>
          <t>MÖNSTERÅS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38579-2022</t>
        </is>
      </c>
      <c r="B257" s="1" t="n">
        <v>44813</v>
      </c>
      <c r="C257" s="1" t="n">
        <v>45958</v>
      </c>
      <c r="D257" t="inlineStr">
        <is>
          <t>KALMAR LÄN</t>
        </is>
      </c>
      <c r="E257" t="inlineStr">
        <is>
          <t>MÖNSTERÅS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14900-2023</t>
        </is>
      </c>
      <c r="B258" s="1" t="n">
        <v>45015</v>
      </c>
      <c r="C258" s="1" t="n">
        <v>45958</v>
      </c>
      <c r="D258" t="inlineStr">
        <is>
          <t>KALMAR LÄN</t>
        </is>
      </c>
      <c r="E258" t="inlineStr">
        <is>
          <t>MÖNSTERÅS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25201-2023</t>
        </is>
      </c>
      <c r="B259" s="1" t="n">
        <v>45086</v>
      </c>
      <c r="C259" s="1" t="n">
        <v>45958</v>
      </c>
      <c r="D259" t="inlineStr">
        <is>
          <t>KALMAR LÄN</t>
        </is>
      </c>
      <c r="E259" t="inlineStr">
        <is>
          <t>MÖNSTERÅS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25205-2023</t>
        </is>
      </c>
      <c r="B260" s="1" t="n">
        <v>45086</v>
      </c>
      <c r="C260" s="1" t="n">
        <v>45958</v>
      </c>
      <c r="D260" t="inlineStr">
        <is>
          <t>KALMAR LÄN</t>
        </is>
      </c>
      <c r="E260" t="inlineStr">
        <is>
          <t>MÖNSTERÅS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56839-2024</t>
        </is>
      </c>
      <c r="B261" s="1" t="n">
        <v>45628.51412037037</v>
      </c>
      <c r="C261" s="1" t="n">
        <v>45958</v>
      </c>
      <c r="D261" t="inlineStr">
        <is>
          <t>KALMAR LÄN</t>
        </is>
      </c>
      <c r="E261" t="inlineStr">
        <is>
          <t>MÖNSTERÅS</t>
        </is>
      </c>
      <c r="G261" t="n">
        <v>5.8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10111-2024</t>
        </is>
      </c>
      <c r="B262" s="1" t="n">
        <v>45364</v>
      </c>
      <c r="C262" s="1" t="n">
        <v>45958</v>
      </c>
      <c r="D262" t="inlineStr">
        <is>
          <t>KALMAR LÄN</t>
        </is>
      </c>
      <c r="E262" t="inlineStr">
        <is>
          <t>MÖNSTERÅS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776-2023</t>
        </is>
      </c>
      <c r="B263" s="1" t="n">
        <v>44931</v>
      </c>
      <c r="C263" s="1" t="n">
        <v>45958</v>
      </c>
      <c r="D263" t="inlineStr">
        <is>
          <t>KALMAR LÄN</t>
        </is>
      </c>
      <c r="E263" t="inlineStr">
        <is>
          <t>MÖNSTERÅS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13964-2025</t>
        </is>
      </c>
      <c r="B264" s="1" t="n">
        <v>45738.34930555556</v>
      </c>
      <c r="C264" s="1" t="n">
        <v>45958</v>
      </c>
      <c r="D264" t="inlineStr">
        <is>
          <t>KALMAR LÄN</t>
        </is>
      </c>
      <c r="E264" t="inlineStr">
        <is>
          <t>MÖNSTERÅS</t>
        </is>
      </c>
      <c r="G264" t="n">
        <v>0.2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13967-2025</t>
        </is>
      </c>
      <c r="B265" s="1" t="n">
        <v>45738.36251157407</v>
      </c>
      <c r="C265" s="1" t="n">
        <v>45958</v>
      </c>
      <c r="D265" t="inlineStr">
        <is>
          <t>KALMAR LÄN</t>
        </is>
      </c>
      <c r="E265" t="inlineStr">
        <is>
          <t>MÖNSTERÅS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31016-2025</t>
        </is>
      </c>
      <c r="B266" s="1" t="n">
        <v>45832.51099537037</v>
      </c>
      <c r="C266" s="1" t="n">
        <v>45958</v>
      </c>
      <c r="D266" t="inlineStr">
        <is>
          <t>KALMAR LÄN</t>
        </is>
      </c>
      <c r="E266" t="inlineStr">
        <is>
          <t>MÖNSTERÅS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40188-2023</t>
        </is>
      </c>
      <c r="B267" s="1" t="n">
        <v>45169</v>
      </c>
      <c r="C267" s="1" t="n">
        <v>45958</v>
      </c>
      <c r="D267" t="inlineStr">
        <is>
          <t>KALMAR LÄN</t>
        </is>
      </c>
      <c r="E267" t="inlineStr">
        <is>
          <t>MÖNSTERÅS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41518-2025</t>
        </is>
      </c>
      <c r="B268" s="1" t="n">
        <v>45901.54518518518</v>
      </c>
      <c r="C268" s="1" t="n">
        <v>45958</v>
      </c>
      <c r="D268" t="inlineStr">
        <is>
          <t>KALMAR LÄN</t>
        </is>
      </c>
      <c r="E268" t="inlineStr">
        <is>
          <t>MÖNSTERÅS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44001-2023</t>
        </is>
      </c>
      <c r="B269" s="1" t="n">
        <v>45188</v>
      </c>
      <c r="C269" s="1" t="n">
        <v>45958</v>
      </c>
      <c r="D269" t="inlineStr">
        <is>
          <t>KALMAR LÄN</t>
        </is>
      </c>
      <c r="E269" t="inlineStr">
        <is>
          <t>MÖNSTERÅS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31373-2025</t>
        </is>
      </c>
      <c r="B270" s="1" t="n">
        <v>45833.44520833333</v>
      </c>
      <c r="C270" s="1" t="n">
        <v>45958</v>
      </c>
      <c r="D270" t="inlineStr">
        <is>
          <t>KALMAR LÄN</t>
        </is>
      </c>
      <c r="E270" t="inlineStr">
        <is>
          <t>MÖNSTERÅS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52963-2024</t>
        </is>
      </c>
      <c r="B271" s="1" t="n">
        <v>45611.31045138889</v>
      </c>
      <c r="C271" s="1" t="n">
        <v>45958</v>
      </c>
      <c r="D271" t="inlineStr">
        <is>
          <t>KALMAR LÄN</t>
        </is>
      </c>
      <c r="E271" t="inlineStr">
        <is>
          <t>MÖNSTERÅS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63355-2023</t>
        </is>
      </c>
      <c r="B272" s="1" t="n">
        <v>45274</v>
      </c>
      <c r="C272" s="1" t="n">
        <v>45958</v>
      </c>
      <c r="D272" t="inlineStr">
        <is>
          <t>KALMAR LÄN</t>
        </is>
      </c>
      <c r="E272" t="inlineStr">
        <is>
          <t>MÖNSTERÅS</t>
        </is>
      </c>
      <c r="G272" t="n">
        <v>8.199999999999999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27610-2023</t>
        </is>
      </c>
      <c r="B273" s="1" t="n">
        <v>45097</v>
      </c>
      <c r="C273" s="1" t="n">
        <v>45958</v>
      </c>
      <c r="D273" t="inlineStr">
        <is>
          <t>KALMAR LÄN</t>
        </is>
      </c>
      <c r="E273" t="inlineStr">
        <is>
          <t>MÖNSTERÅS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31671-2025</t>
        </is>
      </c>
      <c r="B274" s="1" t="n">
        <v>45834.36774305555</v>
      </c>
      <c r="C274" s="1" t="n">
        <v>45958</v>
      </c>
      <c r="D274" t="inlineStr">
        <is>
          <t>KALMAR LÄN</t>
        </is>
      </c>
      <c r="E274" t="inlineStr">
        <is>
          <t>MÖNSTERÅS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41977-2025</t>
        </is>
      </c>
      <c r="B275" s="1" t="n">
        <v>45903.50716435185</v>
      </c>
      <c r="C275" s="1" t="n">
        <v>45958</v>
      </c>
      <c r="D275" t="inlineStr">
        <is>
          <t>KALMAR LÄN</t>
        </is>
      </c>
      <c r="E275" t="inlineStr">
        <is>
          <t>MÖNSTERÅS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41854-2025</t>
        </is>
      </c>
      <c r="B276" s="1" t="n">
        <v>45902.92253472222</v>
      </c>
      <c r="C276" s="1" t="n">
        <v>45958</v>
      </c>
      <c r="D276" t="inlineStr">
        <is>
          <t>KALMAR LÄN</t>
        </is>
      </c>
      <c r="E276" t="inlineStr">
        <is>
          <t>MÖNSTERÅS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52866-2022</t>
        </is>
      </c>
      <c r="B277" s="1" t="n">
        <v>44875</v>
      </c>
      <c r="C277" s="1" t="n">
        <v>45958</v>
      </c>
      <c r="D277" t="inlineStr">
        <is>
          <t>KALMAR LÄN</t>
        </is>
      </c>
      <c r="E277" t="inlineStr">
        <is>
          <t>MÖNSTERÅS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14930-2023</t>
        </is>
      </c>
      <c r="B278" s="1" t="n">
        <v>45015</v>
      </c>
      <c r="C278" s="1" t="n">
        <v>45958</v>
      </c>
      <c r="D278" t="inlineStr">
        <is>
          <t>KALMAR LÄN</t>
        </is>
      </c>
      <c r="E278" t="inlineStr">
        <is>
          <t>MÖNSTERÅS</t>
        </is>
      </c>
      <c r="G278" t="n">
        <v>6.7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41880-2025</t>
        </is>
      </c>
      <c r="B279" s="1" t="n">
        <v>45903.35640046297</v>
      </c>
      <c r="C279" s="1" t="n">
        <v>45958</v>
      </c>
      <c r="D279" t="inlineStr">
        <is>
          <t>KALMAR LÄN</t>
        </is>
      </c>
      <c r="E279" t="inlineStr">
        <is>
          <t>MÖNSTERÅS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62204-2022</t>
        </is>
      </c>
      <c r="B280" s="1" t="n">
        <v>44922</v>
      </c>
      <c r="C280" s="1" t="n">
        <v>45958</v>
      </c>
      <c r="D280" t="inlineStr">
        <is>
          <t>KALMAR LÄN</t>
        </is>
      </c>
      <c r="E280" t="inlineStr">
        <is>
          <t>MÖNSTERÅS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39262-2022</t>
        </is>
      </c>
      <c r="B281" s="1" t="n">
        <v>44817</v>
      </c>
      <c r="C281" s="1" t="n">
        <v>45958</v>
      </c>
      <c r="D281" t="inlineStr">
        <is>
          <t>KALMAR LÄN</t>
        </is>
      </c>
      <c r="E281" t="inlineStr">
        <is>
          <t>MÖNSTERÅS</t>
        </is>
      </c>
      <c r="F281" t="inlineStr">
        <is>
          <t>Kommuner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33111-2025</t>
        </is>
      </c>
      <c r="B282" s="1" t="n">
        <v>45840.48699074074</v>
      </c>
      <c r="C282" s="1" t="n">
        <v>45958</v>
      </c>
      <c r="D282" t="inlineStr">
        <is>
          <t>KALMAR LÄN</t>
        </is>
      </c>
      <c r="E282" t="inlineStr">
        <is>
          <t>MÖNSTERÅS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12461-2022</t>
        </is>
      </c>
      <c r="B283" s="1" t="n">
        <v>44638</v>
      </c>
      <c r="C283" s="1" t="n">
        <v>45958</v>
      </c>
      <c r="D283" t="inlineStr">
        <is>
          <t>KALMAR LÄN</t>
        </is>
      </c>
      <c r="E283" t="inlineStr">
        <is>
          <t>MÖNSTERÅS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16428-2023</t>
        </is>
      </c>
      <c r="B284" s="1" t="n">
        <v>45022</v>
      </c>
      <c r="C284" s="1" t="n">
        <v>45958</v>
      </c>
      <c r="D284" t="inlineStr">
        <is>
          <t>KALMAR LÄN</t>
        </is>
      </c>
      <c r="E284" t="inlineStr">
        <is>
          <t>MÖNSTERÅS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2571-2025</t>
        </is>
      </c>
      <c r="B285" s="1" t="n">
        <v>45674.6674537037</v>
      </c>
      <c r="C285" s="1" t="n">
        <v>45958</v>
      </c>
      <c r="D285" t="inlineStr">
        <is>
          <t>KALMAR LÄN</t>
        </is>
      </c>
      <c r="E285" t="inlineStr">
        <is>
          <t>MÖNSTERÅS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63454-2023</t>
        </is>
      </c>
      <c r="B286" s="1" t="n">
        <v>45274.61356481481</v>
      </c>
      <c r="C286" s="1" t="n">
        <v>45958</v>
      </c>
      <c r="D286" t="inlineStr">
        <is>
          <t>KALMAR LÄN</t>
        </is>
      </c>
      <c r="E286" t="inlineStr">
        <is>
          <t>MÖNSTERÅS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38858-2021</t>
        </is>
      </c>
      <c r="B287" s="1" t="n">
        <v>44411</v>
      </c>
      <c r="C287" s="1" t="n">
        <v>45958</v>
      </c>
      <c r="D287" t="inlineStr">
        <is>
          <t>KALMAR LÄN</t>
        </is>
      </c>
      <c r="E287" t="inlineStr">
        <is>
          <t>MÖNSTERÅS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18732-2025</t>
        </is>
      </c>
      <c r="B288" s="1" t="n">
        <v>45763.6754050926</v>
      </c>
      <c r="C288" s="1" t="n">
        <v>45958</v>
      </c>
      <c r="D288" t="inlineStr">
        <is>
          <t>KALMAR LÄN</t>
        </is>
      </c>
      <c r="E288" t="inlineStr">
        <is>
          <t>MÖNSTERÅS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61127-2022</t>
        </is>
      </c>
      <c r="B289" s="1" t="n">
        <v>44915</v>
      </c>
      <c r="C289" s="1" t="n">
        <v>45958</v>
      </c>
      <c r="D289" t="inlineStr">
        <is>
          <t>KALMAR LÄN</t>
        </is>
      </c>
      <c r="E289" t="inlineStr">
        <is>
          <t>MÖNSTERÅS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22393-2025</t>
        </is>
      </c>
      <c r="B290" s="1" t="n">
        <v>45786.51432870371</v>
      </c>
      <c r="C290" s="1" t="n">
        <v>45958</v>
      </c>
      <c r="D290" t="inlineStr">
        <is>
          <t>KALMAR LÄN</t>
        </is>
      </c>
      <c r="E290" t="inlineStr">
        <is>
          <t>MÖNSTERÅS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4472-2025</t>
        </is>
      </c>
      <c r="B291" s="1" t="n">
        <v>45686.61859953704</v>
      </c>
      <c r="C291" s="1" t="n">
        <v>45958</v>
      </c>
      <c r="D291" t="inlineStr">
        <is>
          <t>KALMAR LÄN</t>
        </is>
      </c>
      <c r="E291" t="inlineStr">
        <is>
          <t>MÖNSTERÅS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42145-2025</t>
        </is>
      </c>
      <c r="B292" s="1" t="n">
        <v>45904.37453703704</v>
      </c>
      <c r="C292" s="1" t="n">
        <v>45958</v>
      </c>
      <c r="D292" t="inlineStr">
        <is>
          <t>KALMAR LÄN</t>
        </is>
      </c>
      <c r="E292" t="inlineStr">
        <is>
          <t>MÖNSTERÅS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4343-2021</t>
        </is>
      </c>
      <c r="B293" s="1" t="n">
        <v>44223</v>
      </c>
      <c r="C293" s="1" t="n">
        <v>45958</v>
      </c>
      <c r="D293" t="inlineStr">
        <is>
          <t>KALMAR LÄN</t>
        </is>
      </c>
      <c r="E293" t="inlineStr">
        <is>
          <t>MÖNSTERÅS</t>
        </is>
      </c>
      <c r="G293" t="n">
        <v>7.6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61197-2022</t>
        </is>
      </c>
      <c r="B294" s="1" t="n">
        <v>44915.53012731481</v>
      </c>
      <c r="C294" s="1" t="n">
        <v>45958</v>
      </c>
      <c r="D294" t="inlineStr">
        <is>
          <t>KALMAR LÄN</t>
        </is>
      </c>
      <c r="E294" t="inlineStr">
        <is>
          <t>MÖNSTERÅS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61204-2022</t>
        </is>
      </c>
      <c r="B295" s="1" t="n">
        <v>44915.53577546297</v>
      </c>
      <c r="C295" s="1" t="n">
        <v>45958</v>
      </c>
      <c r="D295" t="inlineStr">
        <is>
          <t>KALMAR LÄN</t>
        </is>
      </c>
      <c r="E295" t="inlineStr">
        <is>
          <t>MÖNSTERÅS</t>
        </is>
      </c>
      <c r="G295" t="n">
        <v>5.7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51729-2025</t>
        </is>
      </c>
      <c r="B296" s="1" t="n">
        <v>45950</v>
      </c>
      <c r="C296" s="1" t="n">
        <v>45958</v>
      </c>
      <c r="D296" t="inlineStr">
        <is>
          <t>KALMAR LÄN</t>
        </is>
      </c>
      <c r="E296" t="inlineStr">
        <is>
          <t>MÖNSTERÅS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34851-2025</t>
        </is>
      </c>
      <c r="B297" s="1" t="n">
        <v>45849.4249537037</v>
      </c>
      <c r="C297" s="1" t="n">
        <v>45958</v>
      </c>
      <c r="D297" t="inlineStr">
        <is>
          <t>KALMAR LÄN</t>
        </is>
      </c>
      <c r="E297" t="inlineStr">
        <is>
          <t>MÖNSTERÅS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34937-2025</t>
        </is>
      </c>
      <c r="B298" s="1" t="n">
        <v>45849.57783564815</v>
      </c>
      <c r="C298" s="1" t="n">
        <v>45958</v>
      </c>
      <c r="D298" t="inlineStr">
        <is>
          <t>KALMAR LÄN</t>
        </is>
      </c>
      <c r="E298" t="inlineStr">
        <is>
          <t>MÖNSTERÅS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34945-2025</t>
        </is>
      </c>
      <c r="B299" s="1" t="n">
        <v>45849.59052083334</v>
      </c>
      <c r="C299" s="1" t="n">
        <v>45958</v>
      </c>
      <c r="D299" t="inlineStr">
        <is>
          <t>KALMAR LÄN</t>
        </is>
      </c>
      <c r="E299" t="inlineStr">
        <is>
          <t>MÖNSTERÅS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51710-2025</t>
        </is>
      </c>
      <c r="B300" s="1" t="n">
        <v>45950</v>
      </c>
      <c r="C300" s="1" t="n">
        <v>45958</v>
      </c>
      <c r="D300" t="inlineStr">
        <is>
          <t>KALMAR LÄN</t>
        </is>
      </c>
      <c r="E300" t="inlineStr">
        <is>
          <t>MÖNSTERÅS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35065-2025</t>
        </is>
      </c>
      <c r="B301" s="1" t="n">
        <v>45852.43928240741</v>
      </c>
      <c r="C301" s="1" t="n">
        <v>45958</v>
      </c>
      <c r="D301" t="inlineStr">
        <is>
          <t>KALMAR LÄN</t>
        </is>
      </c>
      <c r="E301" t="inlineStr">
        <is>
          <t>MÖNSTERÅS</t>
        </is>
      </c>
      <c r="G301" t="n">
        <v>9.699999999999999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51697-2025</t>
        </is>
      </c>
      <c r="B302" s="1" t="n">
        <v>45950</v>
      </c>
      <c r="C302" s="1" t="n">
        <v>45958</v>
      </c>
      <c r="D302" t="inlineStr">
        <is>
          <t>KALMAR LÄN</t>
        </is>
      </c>
      <c r="E302" t="inlineStr">
        <is>
          <t>MÖNSTERÅS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18803-2025</t>
        </is>
      </c>
      <c r="B303" s="1" t="n">
        <v>45764.35086805555</v>
      </c>
      <c r="C303" s="1" t="n">
        <v>45958</v>
      </c>
      <c r="D303" t="inlineStr">
        <is>
          <t>KALMAR LÄN</t>
        </is>
      </c>
      <c r="E303" t="inlineStr">
        <is>
          <t>MÖNSTERÅS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29449-2021</t>
        </is>
      </c>
      <c r="B304" s="1" t="n">
        <v>44361</v>
      </c>
      <c r="C304" s="1" t="n">
        <v>45958</v>
      </c>
      <c r="D304" t="inlineStr">
        <is>
          <t>KALMAR LÄN</t>
        </is>
      </c>
      <c r="E304" t="inlineStr">
        <is>
          <t>MÖNSTERÅS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37413-2024</t>
        </is>
      </c>
      <c r="B305" s="1" t="n">
        <v>45540.6293287037</v>
      </c>
      <c r="C305" s="1" t="n">
        <v>45958</v>
      </c>
      <c r="D305" t="inlineStr">
        <is>
          <t>KALMAR LÄN</t>
        </is>
      </c>
      <c r="E305" t="inlineStr">
        <is>
          <t>MÖNSTERÅS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61874-2022</t>
        </is>
      </c>
      <c r="B306" s="1" t="n">
        <v>44917</v>
      </c>
      <c r="C306" s="1" t="n">
        <v>45958</v>
      </c>
      <c r="D306" t="inlineStr">
        <is>
          <t>KALMAR LÄN</t>
        </is>
      </c>
      <c r="E306" t="inlineStr">
        <is>
          <t>MÖNSTERÅS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34344-2023</t>
        </is>
      </c>
      <c r="B307" s="1" t="n">
        <v>45139</v>
      </c>
      <c r="C307" s="1" t="n">
        <v>45958</v>
      </c>
      <c r="D307" t="inlineStr">
        <is>
          <t>KALMAR LÄN</t>
        </is>
      </c>
      <c r="E307" t="inlineStr">
        <is>
          <t>MÖNSTERÅS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43492-2025</t>
        </is>
      </c>
      <c r="B308" s="1" t="n">
        <v>45911.51435185185</v>
      </c>
      <c r="C308" s="1" t="n">
        <v>45958</v>
      </c>
      <c r="D308" t="inlineStr">
        <is>
          <t>KALMAR LÄN</t>
        </is>
      </c>
      <c r="E308" t="inlineStr">
        <is>
          <t>MÖNSTERÅS</t>
        </is>
      </c>
      <c r="G308" t="n">
        <v>5.7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26279-2023</t>
        </is>
      </c>
      <c r="B309" s="1" t="n">
        <v>45091</v>
      </c>
      <c r="C309" s="1" t="n">
        <v>45958</v>
      </c>
      <c r="D309" t="inlineStr">
        <is>
          <t>KALMAR LÄN</t>
        </is>
      </c>
      <c r="E309" t="inlineStr">
        <is>
          <t>MÖNSTERÅS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50071-2022</t>
        </is>
      </c>
      <c r="B310" s="1" t="n">
        <v>44865.48206018518</v>
      </c>
      <c r="C310" s="1" t="n">
        <v>45958</v>
      </c>
      <c r="D310" t="inlineStr">
        <is>
          <t>KALMAR LÄN</t>
        </is>
      </c>
      <c r="E310" t="inlineStr">
        <is>
          <t>MÖNSTERÅS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35934-2025</t>
        </is>
      </c>
      <c r="B311" s="1" t="n">
        <v>45862.62900462963</v>
      </c>
      <c r="C311" s="1" t="n">
        <v>45958</v>
      </c>
      <c r="D311" t="inlineStr">
        <is>
          <t>KALMAR LÄN</t>
        </is>
      </c>
      <c r="E311" t="inlineStr">
        <is>
          <t>MÖNSTERÅS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35941-2025</t>
        </is>
      </c>
      <c r="B312" s="1" t="n">
        <v>45862.65146990741</v>
      </c>
      <c r="C312" s="1" t="n">
        <v>45958</v>
      </c>
      <c r="D312" t="inlineStr">
        <is>
          <t>KALMAR LÄN</t>
        </is>
      </c>
      <c r="E312" t="inlineStr">
        <is>
          <t>MÖNSTERÅS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43438-2025</t>
        </is>
      </c>
      <c r="B313" s="1" t="n">
        <v>45911.43789351852</v>
      </c>
      <c r="C313" s="1" t="n">
        <v>45958</v>
      </c>
      <c r="D313" t="inlineStr">
        <is>
          <t>KALMAR LÄN</t>
        </is>
      </c>
      <c r="E313" t="inlineStr">
        <is>
          <t>MÖNSTERÅS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39158-2022</t>
        </is>
      </c>
      <c r="B314" s="1" t="n">
        <v>44817</v>
      </c>
      <c r="C314" s="1" t="n">
        <v>45958</v>
      </c>
      <c r="D314" t="inlineStr">
        <is>
          <t>KALMAR LÄN</t>
        </is>
      </c>
      <c r="E314" t="inlineStr">
        <is>
          <t>MÖNSTERÅS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62283-2022</t>
        </is>
      </c>
      <c r="B315" s="1" t="n">
        <v>44923</v>
      </c>
      <c r="C315" s="1" t="n">
        <v>45958</v>
      </c>
      <c r="D315" t="inlineStr">
        <is>
          <t>KALMAR LÄN</t>
        </is>
      </c>
      <c r="E315" t="inlineStr">
        <is>
          <t>MÖNSTERÅS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15897-2024</t>
        </is>
      </c>
      <c r="B316" s="1" t="n">
        <v>45405.40068287037</v>
      </c>
      <c r="C316" s="1" t="n">
        <v>45958</v>
      </c>
      <c r="D316" t="inlineStr">
        <is>
          <t>KALMAR LÄN</t>
        </is>
      </c>
      <c r="E316" t="inlineStr">
        <is>
          <t>MÖNSTERÅS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61876-2022</t>
        </is>
      </c>
      <c r="B317" s="1" t="n">
        <v>44917</v>
      </c>
      <c r="C317" s="1" t="n">
        <v>45958</v>
      </c>
      <c r="D317" t="inlineStr">
        <is>
          <t>KALMAR LÄN</t>
        </is>
      </c>
      <c r="E317" t="inlineStr">
        <is>
          <t>MÖNSTERÅS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51478-2022</t>
        </is>
      </c>
      <c r="B318" s="1" t="n">
        <v>44869.57064814815</v>
      </c>
      <c r="C318" s="1" t="n">
        <v>45958</v>
      </c>
      <c r="D318" t="inlineStr">
        <is>
          <t>KALMAR LÄN</t>
        </is>
      </c>
      <c r="E318" t="inlineStr">
        <is>
          <t>MÖNSTERÅS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36964-2025</t>
        </is>
      </c>
      <c r="B319" s="1" t="n">
        <v>45874.63407407407</v>
      </c>
      <c r="C319" s="1" t="n">
        <v>45958</v>
      </c>
      <c r="D319" t="inlineStr">
        <is>
          <t>KALMAR LÄN</t>
        </is>
      </c>
      <c r="E319" t="inlineStr">
        <is>
          <t>MÖNSTERÅS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45066-2024</t>
        </is>
      </c>
      <c r="B320" s="1" t="n">
        <v>45575.56173611111</v>
      </c>
      <c r="C320" s="1" t="n">
        <v>45958</v>
      </c>
      <c r="D320" t="inlineStr">
        <is>
          <t>KALMAR LÄN</t>
        </is>
      </c>
      <c r="E320" t="inlineStr">
        <is>
          <t>MÖNSTERÅS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4268-2025</t>
        </is>
      </c>
      <c r="B321" s="1" t="n">
        <v>45685.62289351852</v>
      </c>
      <c r="C321" s="1" t="n">
        <v>45958</v>
      </c>
      <c r="D321" t="inlineStr">
        <is>
          <t>KALMAR LÄN</t>
        </is>
      </c>
      <c r="E321" t="inlineStr">
        <is>
          <t>MÖNSTERÅS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70680-2021</t>
        </is>
      </c>
      <c r="B322" s="1" t="n">
        <v>44537.56964120371</v>
      </c>
      <c r="C322" s="1" t="n">
        <v>45958</v>
      </c>
      <c r="D322" t="inlineStr">
        <is>
          <t>KALMAR LÄN</t>
        </is>
      </c>
      <c r="E322" t="inlineStr">
        <is>
          <t>MÖNSTERÅS</t>
        </is>
      </c>
      <c r="G322" t="n">
        <v>6.6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50913-2023</t>
        </is>
      </c>
      <c r="B323" s="1" t="n">
        <v>45218</v>
      </c>
      <c r="C323" s="1" t="n">
        <v>45958</v>
      </c>
      <c r="D323" t="inlineStr">
        <is>
          <t>KALMAR LÄN</t>
        </is>
      </c>
      <c r="E323" t="inlineStr">
        <is>
          <t>MÖNSTERÅS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37298-2025</t>
        </is>
      </c>
      <c r="B324" s="1" t="n">
        <v>45876.57542824074</v>
      </c>
      <c r="C324" s="1" t="n">
        <v>45958</v>
      </c>
      <c r="D324" t="inlineStr">
        <is>
          <t>KALMAR LÄN</t>
        </is>
      </c>
      <c r="E324" t="inlineStr">
        <is>
          <t>MÖNSTERÅS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37294-2025</t>
        </is>
      </c>
      <c r="B325" s="1" t="n">
        <v>45876.53809027778</v>
      </c>
      <c r="C325" s="1" t="n">
        <v>45958</v>
      </c>
      <c r="D325" t="inlineStr">
        <is>
          <t>KALMAR LÄN</t>
        </is>
      </c>
      <c r="E325" t="inlineStr">
        <is>
          <t>MÖNSTERÅS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36269-2023</t>
        </is>
      </c>
      <c r="B326" s="1" t="n">
        <v>45151.96359953703</v>
      </c>
      <c r="C326" s="1" t="n">
        <v>45958</v>
      </c>
      <c r="D326" t="inlineStr">
        <is>
          <t>KALMAR LÄN</t>
        </is>
      </c>
      <c r="E326" t="inlineStr">
        <is>
          <t>MÖNSTERÅS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44535-2024</t>
        </is>
      </c>
      <c r="B327" s="1" t="n">
        <v>45574.45234953704</v>
      </c>
      <c r="C327" s="1" t="n">
        <v>45958</v>
      </c>
      <c r="D327" t="inlineStr">
        <is>
          <t>KALMAR LÄN</t>
        </is>
      </c>
      <c r="E327" t="inlineStr">
        <is>
          <t>MÖNSTERÅS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37582-2025</t>
        </is>
      </c>
      <c r="B328" s="1" t="n">
        <v>45880.39017361111</v>
      </c>
      <c r="C328" s="1" t="n">
        <v>45958</v>
      </c>
      <c r="D328" t="inlineStr">
        <is>
          <t>KALMAR LÄN</t>
        </is>
      </c>
      <c r="E328" t="inlineStr">
        <is>
          <t>MÖNSTERÅS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37813-2025</t>
        </is>
      </c>
      <c r="B329" s="1" t="n">
        <v>45881.3720949074</v>
      </c>
      <c r="C329" s="1" t="n">
        <v>45958</v>
      </c>
      <c r="D329" t="inlineStr">
        <is>
          <t>KALMAR LÄN</t>
        </is>
      </c>
      <c r="E329" t="inlineStr">
        <is>
          <t>MÖNSTERÅS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59540-2024</t>
        </is>
      </c>
      <c r="B330" s="1" t="n">
        <v>45638.61381944444</v>
      </c>
      <c r="C330" s="1" t="n">
        <v>45958</v>
      </c>
      <c r="D330" t="inlineStr">
        <is>
          <t>KALMAR LÄN</t>
        </is>
      </c>
      <c r="E330" t="inlineStr">
        <is>
          <t>MÖNSTERÅS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2076-2021</t>
        </is>
      </c>
      <c r="B331" s="1" t="n">
        <v>44211</v>
      </c>
      <c r="C331" s="1" t="n">
        <v>45958</v>
      </c>
      <c r="D331" t="inlineStr">
        <is>
          <t>KALMAR LÄN</t>
        </is>
      </c>
      <c r="E331" t="inlineStr">
        <is>
          <t>MÖNSTERÅS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41480-2024</t>
        </is>
      </c>
      <c r="B332" s="1" t="n">
        <v>45560</v>
      </c>
      <c r="C332" s="1" t="n">
        <v>45958</v>
      </c>
      <c r="D332" t="inlineStr">
        <is>
          <t>KALMAR LÄN</t>
        </is>
      </c>
      <c r="E332" t="inlineStr">
        <is>
          <t>MÖNSTERÅS</t>
        </is>
      </c>
      <c r="G332" t="n">
        <v>10.2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37951-2023</t>
        </is>
      </c>
      <c r="B333" s="1" t="n">
        <v>45160</v>
      </c>
      <c r="C333" s="1" t="n">
        <v>45958</v>
      </c>
      <c r="D333" t="inlineStr">
        <is>
          <t>KALMAR LÄN</t>
        </is>
      </c>
      <c r="E333" t="inlineStr">
        <is>
          <t>MÖNSTERÅS</t>
        </is>
      </c>
      <c r="G333" t="n">
        <v>4.8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7637-2023</t>
        </is>
      </c>
      <c r="B334" s="1" t="n">
        <v>44972.57466435185</v>
      </c>
      <c r="C334" s="1" t="n">
        <v>45958</v>
      </c>
      <c r="D334" t="inlineStr">
        <is>
          <t>KALMAR LÄN</t>
        </is>
      </c>
      <c r="E334" t="inlineStr">
        <is>
          <t>MÖNSTERÅS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5639-2022</t>
        </is>
      </c>
      <c r="B335" s="1" t="n">
        <v>44595</v>
      </c>
      <c r="C335" s="1" t="n">
        <v>45958</v>
      </c>
      <c r="D335" t="inlineStr">
        <is>
          <t>KALMAR LÄN</t>
        </is>
      </c>
      <c r="E335" t="inlineStr">
        <is>
          <t>MÖNSTERÅS</t>
        </is>
      </c>
      <c r="G335" t="n">
        <v>10.2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10934-2023</t>
        </is>
      </c>
      <c r="B336" s="1" t="n">
        <v>44991.52763888889</v>
      </c>
      <c r="C336" s="1" t="n">
        <v>45958</v>
      </c>
      <c r="D336" t="inlineStr">
        <is>
          <t>KALMAR LÄN</t>
        </is>
      </c>
      <c r="E336" t="inlineStr">
        <is>
          <t>MÖNSTERÅS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8308-2025</t>
        </is>
      </c>
      <c r="B337" s="1" t="n">
        <v>45708.60461805556</v>
      </c>
      <c r="C337" s="1" t="n">
        <v>45958</v>
      </c>
      <c r="D337" t="inlineStr">
        <is>
          <t>KALMAR LÄN</t>
        </is>
      </c>
      <c r="E337" t="inlineStr">
        <is>
          <t>MÖNSTERÅS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15348-2024</t>
        </is>
      </c>
      <c r="B338" s="1" t="n">
        <v>45400.75738425926</v>
      </c>
      <c r="C338" s="1" t="n">
        <v>45958</v>
      </c>
      <c r="D338" t="inlineStr">
        <is>
          <t>KALMAR LÄN</t>
        </is>
      </c>
      <c r="E338" t="inlineStr">
        <is>
          <t>MÖNSTERÅS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64106-2023</t>
        </is>
      </c>
      <c r="B339" s="1" t="n">
        <v>45279</v>
      </c>
      <c r="C339" s="1" t="n">
        <v>45958</v>
      </c>
      <c r="D339" t="inlineStr">
        <is>
          <t>KALMAR LÄN</t>
        </is>
      </c>
      <c r="E339" t="inlineStr">
        <is>
          <t>MÖNSTERÅS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59289-2022</t>
        </is>
      </c>
      <c r="B340" s="1" t="n">
        <v>44904</v>
      </c>
      <c r="C340" s="1" t="n">
        <v>45958</v>
      </c>
      <c r="D340" t="inlineStr">
        <is>
          <t>KALMAR LÄN</t>
        </is>
      </c>
      <c r="E340" t="inlineStr">
        <is>
          <t>MÖNSTERÅS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64339-2023</t>
        </is>
      </c>
      <c r="B341" s="1" t="n">
        <v>45280.45199074074</v>
      </c>
      <c r="C341" s="1" t="n">
        <v>45958</v>
      </c>
      <c r="D341" t="inlineStr">
        <is>
          <t>KALMAR LÄN</t>
        </is>
      </c>
      <c r="E341" t="inlineStr">
        <is>
          <t>MÖNSTERÅS</t>
        </is>
      </c>
      <c r="F341" t="inlineStr">
        <is>
          <t>Övriga Aktiebolag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59309-2022</t>
        </is>
      </c>
      <c r="B342" s="1" t="n">
        <v>44904</v>
      </c>
      <c r="C342" s="1" t="n">
        <v>45958</v>
      </c>
      <c r="D342" t="inlineStr">
        <is>
          <t>KALMAR LÄN</t>
        </is>
      </c>
      <c r="E342" t="inlineStr">
        <is>
          <t>MÖNSTERÅS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59243-2022</t>
        </is>
      </c>
      <c r="B343" s="1" t="n">
        <v>44904</v>
      </c>
      <c r="C343" s="1" t="n">
        <v>45958</v>
      </c>
      <c r="D343" t="inlineStr">
        <is>
          <t>KALMAR LÄN</t>
        </is>
      </c>
      <c r="E343" t="inlineStr">
        <is>
          <t>MÖNSTERÅS</t>
        </is>
      </c>
      <c r="G343" t="n">
        <v>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55405-2023</t>
        </is>
      </c>
      <c r="B344" s="1" t="n">
        <v>45238</v>
      </c>
      <c r="C344" s="1" t="n">
        <v>45958</v>
      </c>
      <c r="D344" t="inlineStr">
        <is>
          <t>KALMAR LÄN</t>
        </is>
      </c>
      <c r="E344" t="inlineStr">
        <is>
          <t>MÖNSTERÅS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24999-2023</t>
        </is>
      </c>
      <c r="B345" s="1" t="n">
        <v>45085</v>
      </c>
      <c r="C345" s="1" t="n">
        <v>45958</v>
      </c>
      <c r="D345" t="inlineStr">
        <is>
          <t>KALMAR LÄN</t>
        </is>
      </c>
      <c r="E345" t="inlineStr">
        <is>
          <t>MÖNSTERÅS</t>
        </is>
      </c>
      <c r="G345" t="n">
        <v>6.8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21950-2023</t>
        </is>
      </c>
      <c r="B346" s="1" t="n">
        <v>45068.62135416667</v>
      </c>
      <c r="C346" s="1" t="n">
        <v>45958</v>
      </c>
      <c r="D346" t="inlineStr">
        <is>
          <t>KALMAR LÄN</t>
        </is>
      </c>
      <c r="E346" t="inlineStr">
        <is>
          <t>MÖNSTERÅS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23701-2023</t>
        </is>
      </c>
      <c r="B347" s="1" t="n">
        <v>45075</v>
      </c>
      <c r="C347" s="1" t="n">
        <v>45958</v>
      </c>
      <c r="D347" t="inlineStr">
        <is>
          <t>KALMAR LÄN</t>
        </is>
      </c>
      <c r="E347" t="inlineStr">
        <is>
          <t>MÖNSTERÅS</t>
        </is>
      </c>
      <c r="G347" t="n">
        <v>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3559-2023</t>
        </is>
      </c>
      <c r="B348" s="1" t="n">
        <v>44950.46746527778</v>
      </c>
      <c r="C348" s="1" t="n">
        <v>45958</v>
      </c>
      <c r="D348" t="inlineStr">
        <is>
          <t>KALMAR LÄN</t>
        </is>
      </c>
      <c r="E348" t="inlineStr">
        <is>
          <t>MÖNSTERÅS</t>
        </is>
      </c>
      <c r="G348" t="n">
        <v>16.4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45065-2024</t>
        </is>
      </c>
      <c r="B349" s="1" t="n">
        <v>45575.55944444444</v>
      </c>
      <c r="C349" s="1" t="n">
        <v>45958</v>
      </c>
      <c r="D349" t="inlineStr">
        <is>
          <t>KALMAR LÄN</t>
        </is>
      </c>
      <c r="E349" t="inlineStr">
        <is>
          <t>MÖNSTERÅS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44317-2023</t>
        </is>
      </c>
      <c r="B350" s="1" t="n">
        <v>45188</v>
      </c>
      <c r="C350" s="1" t="n">
        <v>45958</v>
      </c>
      <c r="D350" t="inlineStr">
        <is>
          <t>KALMAR LÄN</t>
        </is>
      </c>
      <c r="E350" t="inlineStr">
        <is>
          <t>MÖNSTERÅS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49658-2024</t>
        </is>
      </c>
      <c r="B351" s="1" t="n">
        <v>45596.63148148148</v>
      </c>
      <c r="C351" s="1" t="n">
        <v>45958</v>
      </c>
      <c r="D351" t="inlineStr">
        <is>
          <t>KALMAR LÄN</t>
        </is>
      </c>
      <c r="E351" t="inlineStr">
        <is>
          <t>MÖNSTERÅS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25577-2023</t>
        </is>
      </c>
      <c r="B352" s="1" t="n">
        <v>45089</v>
      </c>
      <c r="C352" s="1" t="n">
        <v>45958</v>
      </c>
      <c r="D352" t="inlineStr">
        <is>
          <t>KALMAR LÄN</t>
        </is>
      </c>
      <c r="E352" t="inlineStr">
        <is>
          <t>MÖNSTERÅS</t>
        </is>
      </c>
      <c r="G352" t="n">
        <v>6.3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41665-2022</t>
        </is>
      </c>
      <c r="B353" s="1" t="n">
        <v>44827</v>
      </c>
      <c r="C353" s="1" t="n">
        <v>45958</v>
      </c>
      <c r="D353" t="inlineStr">
        <is>
          <t>KALMAR LÄN</t>
        </is>
      </c>
      <c r="E353" t="inlineStr">
        <is>
          <t>MÖNSTERÅS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4946-2024</t>
        </is>
      </c>
      <c r="B354" s="1" t="n">
        <v>45329</v>
      </c>
      <c r="C354" s="1" t="n">
        <v>45958</v>
      </c>
      <c r="D354" t="inlineStr">
        <is>
          <t>KALMAR LÄN</t>
        </is>
      </c>
      <c r="E354" t="inlineStr">
        <is>
          <t>MÖNSTERÅS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5235-2024</t>
        </is>
      </c>
      <c r="B355" s="1" t="n">
        <v>45330.82181712963</v>
      </c>
      <c r="C355" s="1" t="n">
        <v>45958</v>
      </c>
      <c r="D355" t="inlineStr">
        <is>
          <t>KALMAR LÄN</t>
        </is>
      </c>
      <c r="E355" t="inlineStr">
        <is>
          <t>MÖNSTERÅS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58720-2023</t>
        </is>
      </c>
      <c r="B356" s="1" t="n">
        <v>45251.73802083333</v>
      </c>
      <c r="C356" s="1" t="n">
        <v>45958</v>
      </c>
      <c r="D356" t="inlineStr">
        <is>
          <t>KALMAR LÄN</t>
        </is>
      </c>
      <c r="E356" t="inlineStr">
        <is>
          <t>MÖNSTERÅS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57964-2024</t>
        </is>
      </c>
      <c r="B357" s="1" t="n">
        <v>45631.59407407408</v>
      </c>
      <c r="C357" s="1" t="n">
        <v>45958</v>
      </c>
      <c r="D357" t="inlineStr">
        <is>
          <t>KALMAR LÄN</t>
        </is>
      </c>
      <c r="E357" t="inlineStr">
        <is>
          <t>MÖNSTERÅS</t>
        </is>
      </c>
      <c r="F357" t="inlineStr">
        <is>
          <t>Övriga Aktiebolag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6557-2023</t>
        </is>
      </c>
      <c r="B358" s="1" t="n">
        <v>44966.45128472222</v>
      </c>
      <c r="C358" s="1" t="n">
        <v>45958</v>
      </c>
      <c r="D358" t="inlineStr">
        <is>
          <t>KALMAR LÄN</t>
        </is>
      </c>
      <c r="E358" t="inlineStr">
        <is>
          <t>MÖNSTERÅS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51533-2022</t>
        </is>
      </c>
      <c r="B359" s="1" t="n">
        <v>44869.80395833333</v>
      </c>
      <c r="C359" s="1" t="n">
        <v>45958</v>
      </c>
      <c r="D359" t="inlineStr">
        <is>
          <t>KALMAR LÄN</t>
        </is>
      </c>
      <c r="E359" t="inlineStr">
        <is>
          <t>MÖNSTERÅS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7978-2024</t>
        </is>
      </c>
      <c r="B360" s="1" t="n">
        <v>45350.59567129629</v>
      </c>
      <c r="C360" s="1" t="n">
        <v>45958</v>
      </c>
      <c r="D360" t="inlineStr">
        <is>
          <t>KALMAR LÄN</t>
        </is>
      </c>
      <c r="E360" t="inlineStr">
        <is>
          <t>MÖNSTERÅS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15067-2024</t>
        </is>
      </c>
      <c r="B361" s="1" t="n">
        <v>45399.58237268519</v>
      </c>
      <c r="C361" s="1" t="n">
        <v>45958</v>
      </c>
      <c r="D361" t="inlineStr">
        <is>
          <t>KALMAR LÄN</t>
        </is>
      </c>
      <c r="E361" t="inlineStr">
        <is>
          <t>MÖNSTERÅS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22377-2022</t>
        </is>
      </c>
      <c r="B362" s="1" t="n">
        <v>44713.41929398148</v>
      </c>
      <c r="C362" s="1" t="n">
        <v>45958</v>
      </c>
      <c r="D362" t="inlineStr">
        <is>
          <t>KALMAR LÄN</t>
        </is>
      </c>
      <c r="E362" t="inlineStr">
        <is>
          <t>MÖNSTERÅS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37376-2023</t>
        </is>
      </c>
      <c r="B363" s="1" t="n">
        <v>45155</v>
      </c>
      <c r="C363" s="1" t="n">
        <v>45958</v>
      </c>
      <c r="D363" t="inlineStr">
        <is>
          <t>KALMAR LÄN</t>
        </is>
      </c>
      <c r="E363" t="inlineStr">
        <is>
          <t>MÖNSTERÅS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42927-2023</t>
        </is>
      </c>
      <c r="B364" s="1" t="n">
        <v>45182</v>
      </c>
      <c r="C364" s="1" t="n">
        <v>45958</v>
      </c>
      <c r="D364" t="inlineStr">
        <is>
          <t>KALMAR LÄN</t>
        </is>
      </c>
      <c r="E364" t="inlineStr">
        <is>
          <t>MÖNSTERÅS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37250-2024</t>
        </is>
      </c>
      <c r="B365" s="1" t="n">
        <v>45540.35737268518</v>
      </c>
      <c r="C365" s="1" t="n">
        <v>45958</v>
      </c>
      <c r="D365" t="inlineStr">
        <is>
          <t>KALMAR LÄN</t>
        </is>
      </c>
      <c r="E365" t="inlineStr">
        <is>
          <t>MÖNSTERÅS</t>
        </is>
      </c>
      <c r="G365" t="n">
        <v>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3357-2021</t>
        </is>
      </c>
      <c r="B366" s="1" t="n">
        <v>44218</v>
      </c>
      <c r="C366" s="1" t="n">
        <v>45958</v>
      </c>
      <c r="D366" t="inlineStr">
        <is>
          <t>KALMAR LÄN</t>
        </is>
      </c>
      <c r="E366" t="inlineStr">
        <is>
          <t>MÖNSTERÅS</t>
        </is>
      </c>
      <c r="G366" t="n">
        <v>11.9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45504-2023</t>
        </is>
      </c>
      <c r="B367" s="1" t="n">
        <v>45188</v>
      </c>
      <c r="C367" s="1" t="n">
        <v>45958</v>
      </c>
      <c r="D367" t="inlineStr">
        <is>
          <t>KALMAR LÄN</t>
        </is>
      </c>
      <c r="E367" t="inlineStr">
        <is>
          <t>MÖNSTERÅS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27077-2022</t>
        </is>
      </c>
      <c r="B368" s="1" t="n">
        <v>44741.40471064814</v>
      </c>
      <c r="C368" s="1" t="n">
        <v>45958</v>
      </c>
      <c r="D368" t="inlineStr">
        <is>
          <t>KALMAR LÄN</t>
        </is>
      </c>
      <c r="E368" t="inlineStr">
        <is>
          <t>MÖNSTERÅS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36361-2023</t>
        </is>
      </c>
      <c r="B369" s="1" t="n">
        <v>45152</v>
      </c>
      <c r="C369" s="1" t="n">
        <v>45958</v>
      </c>
      <c r="D369" t="inlineStr">
        <is>
          <t>KALMAR LÄN</t>
        </is>
      </c>
      <c r="E369" t="inlineStr">
        <is>
          <t>MÖNSTERÅS</t>
        </is>
      </c>
      <c r="F369" t="inlineStr">
        <is>
          <t>Kommuner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3759-2024</t>
        </is>
      </c>
      <c r="B370" s="1" t="n">
        <v>45321.55706018519</v>
      </c>
      <c r="C370" s="1" t="n">
        <v>45958</v>
      </c>
      <c r="D370" t="inlineStr">
        <is>
          <t>KALMAR LÄN</t>
        </is>
      </c>
      <c r="E370" t="inlineStr">
        <is>
          <t>MÖNSTERÅS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59159-2023</t>
        </is>
      </c>
      <c r="B371" s="1" t="n">
        <v>45251</v>
      </c>
      <c r="C371" s="1" t="n">
        <v>45958</v>
      </c>
      <c r="D371" t="inlineStr">
        <is>
          <t>KALMAR LÄN</t>
        </is>
      </c>
      <c r="E371" t="inlineStr">
        <is>
          <t>MÖNSTERÅS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62280-2022</t>
        </is>
      </c>
      <c r="B372" s="1" t="n">
        <v>44923</v>
      </c>
      <c r="C372" s="1" t="n">
        <v>45958</v>
      </c>
      <c r="D372" t="inlineStr">
        <is>
          <t>KALMAR LÄN</t>
        </is>
      </c>
      <c r="E372" t="inlineStr">
        <is>
          <t>MÖNSTERÅS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1889-2023</t>
        </is>
      </c>
      <c r="B373" s="1" t="n">
        <v>44939</v>
      </c>
      <c r="C373" s="1" t="n">
        <v>45958</v>
      </c>
      <c r="D373" t="inlineStr">
        <is>
          <t>KALMAR LÄN</t>
        </is>
      </c>
      <c r="E373" t="inlineStr">
        <is>
          <t>MÖNSTERÅS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4104-2024</t>
        </is>
      </c>
      <c r="B374" s="1" t="n">
        <v>45323.6571875</v>
      </c>
      <c r="C374" s="1" t="n">
        <v>45958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26701-2022</t>
        </is>
      </c>
      <c r="B375" s="1" t="n">
        <v>44739</v>
      </c>
      <c r="C375" s="1" t="n">
        <v>45958</v>
      </c>
      <c r="D375" t="inlineStr">
        <is>
          <t>KALMAR LÄN</t>
        </is>
      </c>
      <c r="E375" t="inlineStr">
        <is>
          <t>MÖNSTERÅS</t>
        </is>
      </c>
      <c r="G375" t="n">
        <v>6.5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50914-2023</t>
        </is>
      </c>
      <c r="B376" s="1" t="n">
        <v>45218</v>
      </c>
      <c r="C376" s="1" t="n">
        <v>45958</v>
      </c>
      <c r="D376" t="inlineStr">
        <is>
          <t>KALMAR LÄN</t>
        </is>
      </c>
      <c r="E376" t="inlineStr">
        <is>
          <t>MÖNSTERÅS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36900-2024</t>
        </is>
      </c>
      <c r="B377" s="1" t="n">
        <v>45538.62778935185</v>
      </c>
      <c r="C377" s="1" t="n">
        <v>45958</v>
      </c>
      <c r="D377" t="inlineStr">
        <is>
          <t>KALMAR LÄN</t>
        </is>
      </c>
      <c r="E377" t="inlineStr">
        <is>
          <t>MÖNSTERÅS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40991-2024</t>
        </is>
      </c>
      <c r="B378" s="1" t="n">
        <v>45558.7166087963</v>
      </c>
      <c r="C378" s="1" t="n">
        <v>45958</v>
      </c>
      <c r="D378" t="inlineStr">
        <is>
          <t>KALMAR LÄN</t>
        </is>
      </c>
      <c r="E378" t="inlineStr">
        <is>
          <t>MÖNSTERÅS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51804-2022</t>
        </is>
      </c>
      <c r="B379" s="1" t="n">
        <v>44872</v>
      </c>
      <c r="C379" s="1" t="n">
        <v>45958</v>
      </c>
      <c r="D379" t="inlineStr">
        <is>
          <t>KALMAR LÄN</t>
        </is>
      </c>
      <c r="E379" t="inlineStr">
        <is>
          <t>MÖNSTERÅS</t>
        </is>
      </c>
      <c r="G379" t="n">
        <v>3.5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61009-2024</t>
        </is>
      </c>
      <c r="B380" s="1" t="n">
        <v>45645.44524305555</v>
      </c>
      <c r="C380" s="1" t="n">
        <v>45958</v>
      </c>
      <c r="D380" t="inlineStr">
        <is>
          <t>KALMAR LÄN</t>
        </is>
      </c>
      <c r="E380" t="inlineStr">
        <is>
          <t>MÖNSTERÅS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31754-2023</t>
        </is>
      </c>
      <c r="B381" s="1" t="n">
        <v>45106</v>
      </c>
      <c r="C381" s="1" t="n">
        <v>45958</v>
      </c>
      <c r="D381" t="inlineStr">
        <is>
          <t>KALMAR LÄN</t>
        </is>
      </c>
      <c r="E381" t="inlineStr">
        <is>
          <t>MÖNSTERÅS</t>
        </is>
      </c>
      <c r="F381" t="inlineStr">
        <is>
          <t>Kyrkan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29957-2022</t>
        </is>
      </c>
      <c r="B382" s="1" t="n">
        <v>44756.64633101852</v>
      </c>
      <c r="C382" s="1" t="n">
        <v>45958</v>
      </c>
      <c r="D382" t="inlineStr">
        <is>
          <t>KALMAR LÄN</t>
        </is>
      </c>
      <c r="E382" t="inlineStr">
        <is>
          <t>MÖNSTERÅS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19023-2025</t>
        </is>
      </c>
      <c r="B383" s="1" t="n">
        <v>45764.62177083334</v>
      </c>
      <c r="C383" s="1" t="n">
        <v>45958</v>
      </c>
      <c r="D383" t="inlineStr">
        <is>
          <t>KALMAR LÄN</t>
        </is>
      </c>
      <c r="E383" t="inlineStr">
        <is>
          <t>MÖNSTERÅS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35135-2023</t>
        </is>
      </c>
      <c r="B384" s="1" t="n">
        <v>45145.52805555556</v>
      </c>
      <c r="C384" s="1" t="n">
        <v>45958</v>
      </c>
      <c r="D384" t="inlineStr">
        <is>
          <t>KALMAR LÄN</t>
        </is>
      </c>
      <c r="E384" t="inlineStr">
        <is>
          <t>MÖNSTERÅS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762-2023</t>
        </is>
      </c>
      <c r="B385" s="1" t="n">
        <v>44931</v>
      </c>
      <c r="C385" s="1" t="n">
        <v>45958</v>
      </c>
      <c r="D385" t="inlineStr">
        <is>
          <t>KALMAR LÄN</t>
        </is>
      </c>
      <c r="E385" t="inlineStr">
        <is>
          <t>MÖNSTERÅS</t>
        </is>
      </c>
      <c r="G385" t="n">
        <v>8.199999999999999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36372-2023</t>
        </is>
      </c>
      <c r="B386" s="1" t="n">
        <v>45152.50440972222</v>
      </c>
      <c r="C386" s="1" t="n">
        <v>45958</v>
      </c>
      <c r="D386" t="inlineStr">
        <is>
          <t>KALMAR LÄN</t>
        </is>
      </c>
      <c r="E386" t="inlineStr">
        <is>
          <t>MÖNSTERÅS</t>
        </is>
      </c>
      <c r="F386" t="inlineStr">
        <is>
          <t>Kommuner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16437-2023</t>
        </is>
      </c>
      <c r="B387" s="1" t="n">
        <v>45022</v>
      </c>
      <c r="C387" s="1" t="n">
        <v>45958</v>
      </c>
      <c r="D387" t="inlineStr">
        <is>
          <t>KALMAR LÄN</t>
        </is>
      </c>
      <c r="E387" t="inlineStr">
        <is>
          <t>MÖNSTERÅS</t>
        </is>
      </c>
      <c r="G387" t="n">
        <v>5.2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13047-2022</t>
        </is>
      </c>
      <c r="B388" s="1" t="n">
        <v>44643</v>
      </c>
      <c r="C388" s="1" t="n">
        <v>45958</v>
      </c>
      <c r="D388" t="inlineStr">
        <is>
          <t>KALMAR LÄN</t>
        </is>
      </c>
      <c r="E388" t="inlineStr">
        <is>
          <t>MÖNSTERÅS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55576-2023</t>
        </is>
      </c>
      <c r="B389" s="1" t="n">
        <v>45238</v>
      </c>
      <c r="C389" s="1" t="n">
        <v>45958</v>
      </c>
      <c r="D389" t="inlineStr">
        <is>
          <t>KALMAR LÄN</t>
        </is>
      </c>
      <c r="E389" t="inlineStr">
        <is>
          <t>MÖNSTERÅS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19947-2023</t>
        </is>
      </c>
      <c r="B390" s="1" t="n">
        <v>45054.52478009259</v>
      </c>
      <c r="C390" s="1" t="n">
        <v>45958</v>
      </c>
      <c r="D390" t="inlineStr">
        <is>
          <t>KALMAR LÄN</t>
        </is>
      </c>
      <c r="E390" t="inlineStr">
        <is>
          <t>MÖNSTERÅS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44322-2023</t>
        </is>
      </c>
      <c r="B391" s="1" t="n">
        <v>45188</v>
      </c>
      <c r="C391" s="1" t="n">
        <v>45958</v>
      </c>
      <c r="D391" t="inlineStr">
        <is>
          <t>KALMAR LÄN</t>
        </is>
      </c>
      <c r="E391" t="inlineStr">
        <is>
          <t>MÖNSTERÅS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19280-2025</t>
        </is>
      </c>
      <c r="B392" s="1" t="n">
        <v>45769.54015046296</v>
      </c>
      <c r="C392" s="1" t="n">
        <v>45958</v>
      </c>
      <c r="D392" t="inlineStr">
        <is>
          <t>KALMAR LÄN</t>
        </is>
      </c>
      <c r="E392" t="inlineStr">
        <is>
          <t>MÖNSTERÅS</t>
        </is>
      </c>
      <c r="G392" t="n">
        <v>7.4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15598-2025</t>
        </is>
      </c>
      <c r="B393" s="1" t="n">
        <v>45747.92075231481</v>
      </c>
      <c r="C393" s="1" t="n">
        <v>45958</v>
      </c>
      <c r="D393" t="inlineStr">
        <is>
          <t>KALMAR LÄN</t>
        </is>
      </c>
      <c r="E393" t="inlineStr">
        <is>
          <t>MÖNSTERÅS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4780-2024</t>
        </is>
      </c>
      <c r="B394" s="1" t="n">
        <v>45328</v>
      </c>
      <c r="C394" s="1" t="n">
        <v>45958</v>
      </c>
      <c r="D394" t="inlineStr">
        <is>
          <t>KALMAR LÄN</t>
        </is>
      </c>
      <c r="E394" t="inlineStr">
        <is>
          <t>MÖNSTERÅS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>
      <c r="A395" t="inlineStr">
        <is>
          <t>A 61198-2022</t>
        </is>
      </c>
      <c r="B395" s="1" t="n">
        <v>44915</v>
      </c>
      <c r="C395" s="1" t="n">
        <v>45958</v>
      </c>
      <c r="D395" t="inlineStr">
        <is>
          <t>KALMAR LÄN</t>
        </is>
      </c>
      <c r="E395" t="inlineStr">
        <is>
          <t>MÖNSTERÅS</t>
        </is>
      </c>
      <c r="G395" t="n">
        <v>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2025-10-28T10:27:00Z</dcterms:created>
  <dcterms:modified xmlns:dcterms="http://purl.org/dc/terms/" xmlns:xsi="http://www.w3.org/2001/XMLSchema-instance" xsi:type="dcterms:W3CDTF">2025-10-28T10:27:00Z</dcterms:modified>
</cp:coreProperties>
</file>